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Almarai\"/>
    </mc:Choice>
  </mc:AlternateContent>
  <xr:revisionPtr revIDLastSave="0" documentId="13_ncr:1_{9D7B7DD1-F88E-48AC-9147-11F0515EAD7D}" xr6:coauthVersionLast="47" xr6:coauthVersionMax="47" xr10:uidLastSave="{00000000-0000-0000-0000-000000000000}"/>
  <bookViews>
    <workbookView xWindow="-20610" yWindow="1845" windowWidth="20730" windowHeight="11160" tabRatio="500" xr2:uid="{00000000-000D-0000-FFFF-FFFF00000000}"/>
  </bookViews>
  <sheets>
    <sheet name="FSM" sheetId="1" r:id="rId1"/>
    <sheet name="DCF" sheetId="2" r:id="rId2"/>
    <sheet name="WACC" sheetId="3" r:id="rId3"/>
  </sheets>
  <definedNames>
    <definedName name="CIQWBGuid" localSheetId="1" hidden="1">"DCF_complete.xlsx"</definedName>
    <definedName name="CIQWBGuid" localSheetId="2" hidden="1">"DCF_complete.xlsx"</definedName>
    <definedName name="CIQWBGuid" hidden="1">"a611639b-bab1-425e-aaa5-008c326fdfdb"</definedName>
    <definedName name="Company_Name">FSM!$D$5</definedName>
    <definedName name="Hist_Yr">FSM!#REF!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" hidden="1">43549.6880671296</definedName>
    <definedName name="IQ_NAMES_REVISION_DATE_" localSheetId="2" hidden="1">43549.6880671296</definedName>
    <definedName name="IQ_NAMES_REVISION_DATE_" hidden="1">43588.5561574074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LNK841c85bef3244d5c8fb6b3f84988d79e" localSheetId="1" hidden="1">#REF!</definedName>
    <definedName name="MLNK841c85bef3244d5c8fb6b3f84988d79e" localSheetId="2" hidden="1">#REF!</definedName>
    <definedName name="MLNK841c85bef3244d5c8fb6b3f84988d79e" hidden="1">#REF!</definedName>
    <definedName name="MLNKa7775792bf444a4785f8ed5c82461a24" localSheetId="1" hidden="1">#REF!</definedName>
    <definedName name="MLNKa7775792bf444a4785f8ed5c82461a24" localSheetId="2" hidden="1">#REF!</definedName>
    <definedName name="MLNKa7775792bf444a4785f8ed5c82461a24" hidden="1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19" i="1" l="1"/>
  <c r="K219" i="1" s="1"/>
  <c r="I219" i="1"/>
  <c r="H219" i="1"/>
  <c r="G245" i="1"/>
  <c r="D342" i="1"/>
  <c r="G339" i="1"/>
  <c r="F339" i="1"/>
  <c r="E339" i="1"/>
  <c r="F336" i="1"/>
  <c r="E336" i="1"/>
  <c r="F335" i="1"/>
  <c r="E335" i="1"/>
  <c r="F334" i="1"/>
  <c r="E334" i="1"/>
  <c r="D336" i="1"/>
  <c r="F347" i="1"/>
  <c r="E347" i="1"/>
  <c r="F346" i="1"/>
  <c r="E346" i="1"/>
  <c r="F352" i="1"/>
  <c r="E352" i="1"/>
  <c r="F351" i="1"/>
  <c r="E351" i="1"/>
  <c r="G350" i="1"/>
  <c r="F350" i="1"/>
  <c r="F353" i="1" s="1"/>
  <c r="F354" i="1" s="1"/>
  <c r="E350" i="1"/>
  <c r="E353" i="1" s="1"/>
  <c r="E354" i="1" s="1"/>
  <c r="D352" i="1"/>
  <c r="D351" i="1"/>
  <c r="D350" i="1"/>
  <c r="D347" i="1"/>
  <c r="D346" i="1"/>
  <c r="F330" i="1"/>
  <c r="F331" i="1" s="1"/>
  <c r="E330" i="1"/>
  <c r="E331" i="1" s="1"/>
  <c r="D330" i="1"/>
  <c r="D331" i="1" l="1"/>
  <c r="C13" i="3"/>
  <c r="I61" i="2"/>
  <c r="C18" i="3" s="1"/>
  <c r="C62" i="2"/>
  <c r="C63" i="2"/>
  <c r="C60" i="2"/>
  <c r="D14" i="2"/>
  <c r="D221" i="1"/>
  <c r="D226" i="1"/>
  <c r="E226" i="1"/>
  <c r="F226" i="1"/>
  <c r="G78" i="1"/>
  <c r="F85" i="1"/>
  <c r="E85" i="1"/>
  <c r="D85" i="1"/>
  <c r="D27" i="1"/>
  <c r="E27" i="1"/>
  <c r="F27" i="1"/>
  <c r="F324" i="1"/>
  <c r="F320" i="1" s="1"/>
  <c r="E324" i="1"/>
  <c r="E320" i="1" s="1"/>
  <c r="D324" i="1"/>
  <c r="D320" i="1" s="1"/>
  <c r="H78" i="1" l="1"/>
  <c r="D72" i="2"/>
  <c r="C72" i="2"/>
  <c r="G324" i="1"/>
  <c r="H324" i="1" s="1"/>
  <c r="I78" i="1" l="1"/>
  <c r="I324" i="1"/>
  <c r="J78" i="1" l="1"/>
  <c r="J324" i="1"/>
  <c r="K78" i="1" l="1"/>
  <c r="K324" i="1"/>
  <c r="G145" i="1" l="1"/>
  <c r="G88" i="1"/>
  <c r="G30" i="1"/>
  <c r="G241" i="1" s="1"/>
  <c r="F241" i="1"/>
  <c r="E241" i="1"/>
  <c r="D241" i="1"/>
  <c r="F243" i="1"/>
  <c r="G240" i="1" s="1"/>
  <c r="E243" i="1"/>
  <c r="F240" i="1" s="1"/>
  <c r="D243" i="1"/>
  <c r="E240" i="1" s="1"/>
  <c r="F311" i="1"/>
  <c r="G308" i="1" s="1"/>
  <c r="E311" i="1"/>
  <c r="F308" i="1" s="1"/>
  <c r="D311" i="1"/>
  <c r="E308" i="1" s="1"/>
  <c r="G77" i="1"/>
  <c r="H77" i="1" s="1"/>
  <c r="I77" i="1" s="1"/>
  <c r="J77" i="1" s="1"/>
  <c r="K77" i="1" s="1"/>
  <c r="F223" i="1"/>
  <c r="E223" i="1"/>
  <c r="F222" i="1"/>
  <c r="E222" i="1"/>
  <c r="F221" i="1"/>
  <c r="G221" i="1" s="1"/>
  <c r="H221" i="1" s="1"/>
  <c r="I221" i="1" s="1"/>
  <c r="E221" i="1"/>
  <c r="D223" i="1"/>
  <c r="D222" i="1"/>
  <c r="F299" i="1"/>
  <c r="E299" i="1"/>
  <c r="F298" i="1"/>
  <c r="E298" i="1"/>
  <c r="D298" i="1"/>
  <c r="D299" i="1"/>
  <c r="F296" i="1"/>
  <c r="E296" i="1"/>
  <c r="F295" i="1"/>
  <c r="E295" i="1"/>
  <c r="F294" i="1"/>
  <c r="E294" i="1"/>
  <c r="F292" i="1"/>
  <c r="G288" i="1" s="1"/>
  <c r="E292" i="1"/>
  <c r="F288" i="1" s="1"/>
  <c r="D292" i="1"/>
  <c r="F237" i="1"/>
  <c r="G233" i="1" s="1"/>
  <c r="E237" i="1"/>
  <c r="F233" i="1" s="1"/>
  <c r="D237" i="1"/>
  <c r="E233" i="1" s="1"/>
  <c r="G56" i="1"/>
  <c r="H56" i="1" s="1"/>
  <c r="I56" i="1" s="1"/>
  <c r="J56" i="1" s="1"/>
  <c r="K56" i="1" s="1"/>
  <c r="G69" i="1"/>
  <c r="H69" i="1" s="1"/>
  <c r="I69" i="1" s="1"/>
  <c r="J69" i="1" s="1"/>
  <c r="K69" i="1" s="1"/>
  <c r="G91" i="1"/>
  <c r="H91" i="1" s="1"/>
  <c r="I91" i="1" s="1"/>
  <c r="J91" i="1" s="1"/>
  <c r="K91" i="1" s="1"/>
  <c r="G83" i="1"/>
  <c r="H83" i="1" s="1"/>
  <c r="I83" i="1" s="1"/>
  <c r="J83" i="1" s="1"/>
  <c r="K83" i="1" s="1"/>
  <c r="G68" i="1"/>
  <c r="H68" i="1" s="1"/>
  <c r="I68" i="1" s="1"/>
  <c r="J68" i="1" s="1"/>
  <c r="K68" i="1" s="1"/>
  <c r="G92" i="1"/>
  <c r="H92" i="1" s="1"/>
  <c r="I92" i="1" s="1"/>
  <c r="J92" i="1" s="1"/>
  <c r="K92" i="1" s="1"/>
  <c r="G101" i="1"/>
  <c r="H101" i="1" s="1"/>
  <c r="I101" i="1" s="1"/>
  <c r="J101" i="1" s="1"/>
  <c r="K101" i="1" s="1"/>
  <c r="G100" i="1"/>
  <c r="H100" i="1" s="1"/>
  <c r="I100" i="1" s="1"/>
  <c r="J100" i="1" s="1"/>
  <c r="K100" i="1" s="1"/>
  <c r="G99" i="1"/>
  <c r="H99" i="1" s="1"/>
  <c r="I99" i="1" s="1"/>
  <c r="J99" i="1" s="1"/>
  <c r="K99" i="1" s="1"/>
  <c r="G98" i="1"/>
  <c r="H98" i="1" s="1"/>
  <c r="G67" i="1"/>
  <c r="F198" i="1"/>
  <c r="E198" i="1"/>
  <c r="F197" i="1"/>
  <c r="E197" i="1"/>
  <c r="F196" i="1"/>
  <c r="F208" i="1" s="1"/>
  <c r="G208" i="1" s="1"/>
  <c r="E196" i="1"/>
  <c r="F191" i="1"/>
  <c r="F207" i="1" s="1"/>
  <c r="G207" i="1" s="1"/>
  <c r="E191" i="1"/>
  <c r="E207" i="1" s="1"/>
  <c r="F190" i="1"/>
  <c r="E190" i="1"/>
  <c r="E206" i="1" s="1"/>
  <c r="D198" i="1"/>
  <c r="D197" i="1"/>
  <c r="D196" i="1"/>
  <c r="D208" i="1" s="1"/>
  <c r="C198" i="1"/>
  <c r="C197" i="1"/>
  <c r="C196" i="1"/>
  <c r="D191" i="1"/>
  <c r="D207" i="1" s="1"/>
  <c r="D190" i="1"/>
  <c r="G57" i="1"/>
  <c r="H57" i="1" s="1"/>
  <c r="I57" i="1" s="1"/>
  <c r="J57" i="1" s="1"/>
  <c r="K57" i="1" s="1"/>
  <c r="C2" i="1"/>
  <c r="F282" i="1"/>
  <c r="G282" i="1" s="1"/>
  <c r="E282" i="1"/>
  <c r="F281" i="1"/>
  <c r="G281" i="1" s="1"/>
  <c r="H281" i="1" s="1"/>
  <c r="E281" i="1"/>
  <c r="D282" i="1"/>
  <c r="D281" i="1"/>
  <c r="F280" i="1"/>
  <c r="G277" i="1" s="1"/>
  <c r="E280" i="1"/>
  <c r="F277" i="1" s="1"/>
  <c r="D280" i="1"/>
  <c r="E277" i="1" s="1"/>
  <c r="F257" i="1"/>
  <c r="G257" i="1" s="1"/>
  <c r="E257" i="1"/>
  <c r="F256" i="1"/>
  <c r="G256" i="1" s="1"/>
  <c r="E256" i="1"/>
  <c r="D257" i="1"/>
  <c r="D256" i="1"/>
  <c r="F255" i="1"/>
  <c r="G252" i="1" s="1"/>
  <c r="E255" i="1"/>
  <c r="F252" i="1" s="1"/>
  <c r="D255" i="1"/>
  <c r="E252" i="1" s="1"/>
  <c r="F159" i="1"/>
  <c r="G159" i="1" s="1"/>
  <c r="H159" i="1" s="1"/>
  <c r="D164" i="1"/>
  <c r="D166" i="1" s="1"/>
  <c r="E164" i="1"/>
  <c r="E166" i="1" s="1"/>
  <c r="F164" i="1"/>
  <c r="F165" i="1" s="1"/>
  <c r="G165" i="1" s="1"/>
  <c r="F160" i="1"/>
  <c r="G160" i="1" s="1"/>
  <c r="E160" i="1"/>
  <c r="E159" i="1"/>
  <c r="D160" i="1"/>
  <c r="D159" i="1"/>
  <c r="F157" i="1"/>
  <c r="G154" i="1" s="1"/>
  <c r="E157" i="1"/>
  <c r="F154" i="1" s="1"/>
  <c r="D157" i="1"/>
  <c r="E154" i="1" s="1"/>
  <c r="F271" i="1"/>
  <c r="G271" i="1" s="1"/>
  <c r="H271" i="1" s="1"/>
  <c r="I271" i="1" s="1"/>
  <c r="J271" i="1" s="1"/>
  <c r="K271" i="1" s="1"/>
  <c r="E271" i="1"/>
  <c r="F270" i="1"/>
  <c r="G270" i="1" s="1"/>
  <c r="E270" i="1"/>
  <c r="D271" i="1"/>
  <c r="D270" i="1"/>
  <c r="F269" i="1"/>
  <c r="G269" i="1" s="1"/>
  <c r="E269" i="1"/>
  <c r="D269" i="1"/>
  <c r="F268" i="1"/>
  <c r="G267" i="1" s="1"/>
  <c r="E268" i="1"/>
  <c r="F267" i="1" s="1"/>
  <c r="D268" i="1"/>
  <c r="E267" i="1" s="1"/>
  <c r="F266" i="1"/>
  <c r="G263" i="1" s="1"/>
  <c r="E266" i="1"/>
  <c r="F263" i="1" s="1"/>
  <c r="D266" i="1"/>
  <c r="E263" i="1" s="1"/>
  <c r="H67" i="1" l="1"/>
  <c r="D193" i="1"/>
  <c r="H88" i="1"/>
  <c r="G138" i="1"/>
  <c r="H30" i="1"/>
  <c r="H241" i="1" s="1"/>
  <c r="J221" i="1"/>
  <c r="I98" i="1"/>
  <c r="F313" i="1"/>
  <c r="G313" i="1" s="1"/>
  <c r="F314" i="1"/>
  <c r="G314" i="1" s="1"/>
  <c r="E313" i="1"/>
  <c r="E314" i="1"/>
  <c r="F301" i="1"/>
  <c r="F302" i="1"/>
  <c r="G295" i="1"/>
  <c r="H295" i="1" s="1"/>
  <c r="G294" i="1"/>
  <c r="H294" i="1" s="1"/>
  <c r="G296" i="1"/>
  <c r="H296" i="1" s="1"/>
  <c r="F193" i="1"/>
  <c r="E199" i="1"/>
  <c r="E288" i="1"/>
  <c r="D199" i="1"/>
  <c r="E208" i="1"/>
  <c r="H207" i="1"/>
  <c r="H208" i="1"/>
  <c r="D206" i="1"/>
  <c r="F206" i="1"/>
  <c r="G206" i="1" s="1"/>
  <c r="F199" i="1"/>
  <c r="E193" i="1"/>
  <c r="D165" i="1"/>
  <c r="F166" i="1"/>
  <c r="H270" i="1"/>
  <c r="H165" i="1"/>
  <c r="H256" i="1"/>
  <c r="H282" i="1"/>
  <c r="H160" i="1"/>
  <c r="I281" i="1"/>
  <c r="H257" i="1"/>
  <c r="E165" i="1"/>
  <c r="H269" i="1"/>
  <c r="I67" i="1" l="1"/>
  <c r="I88" i="1"/>
  <c r="H138" i="1"/>
  <c r="I30" i="1"/>
  <c r="I241" i="1" s="1"/>
  <c r="K221" i="1"/>
  <c r="J98" i="1"/>
  <c r="G310" i="1"/>
  <c r="G119" i="1" s="1"/>
  <c r="H314" i="1"/>
  <c r="G309" i="1"/>
  <c r="G118" i="1" s="1"/>
  <c r="H313" i="1"/>
  <c r="E301" i="1"/>
  <c r="G301" i="1" s="1"/>
  <c r="G302" i="1" s="1"/>
  <c r="E302" i="1"/>
  <c r="F201" i="1"/>
  <c r="I295" i="1"/>
  <c r="I296" i="1"/>
  <c r="D201" i="1"/>
  <c r="D202" i="1" s="1"/>
  <c r="I294" i="1"/>
  <c r="E201" i="1"/>
  <c r="E202" i="1" s="1"/>
  <c r="H206" i="1"/>
  <c r="I208" i="1"/>
  <c r="I207" i="1"/>
  <c r="I256" i="1"/>
  <c r="I270" i="1"/>
  <c r="I269" i="1"/>
  <c r="I160" i="1"/>
  <c r="I165" i="1"/>
  <c r="I257" i="1"/>
  <c r="J281" i="1"/>
  <c r="I282" i="1"/>
  <c r="J67" i="1" l="1"/>
  <c r="F202" i="1"/>
  <c r="D32" i="2"/>
  <c r="J30" i="1"/>
  <c r="K30" i="1" s="1"/>
  <c r="K241" i="1" s="1"/>
  <c r="J88" i="1"/>
  <c r="I138" i="1"/>
  <c r="G311" i="1"/>
  <c r="G90" i="1" s="1"/>
  <c r="I314" i="1"/>
  <c r="I313" i="1"/>
  <c r="K98" i="1"/>
  <c r="H301" i="1"/>
  <c r="J296" i="1"/>
  <c r="J294" i="1"/>
  <c r="J295" i="1"/>
  <c r="E203" i="1"/>
  <c r="F203" i="1"/>
  <c r="I206" i="1"/>
  <c r="J207" i="1"/>
  <c r="J208" i="1"/>
  <c r="J282" i="1"/>
  <c r="J257" i="1"/>
  <c r="J160" i="1"/>
  <c r="J270" i="1"/>
  <c r="K281" i="1"/>
  <c r="J165" i="1"/>
  <c r="J269" i="1"/>
  <c r="J256" i="1"/>
  <c r="K67" i="1" l="1"/>
  <c r="J241" i="1"/>
  <c r="I301" i="1"/>
  <c r="H302" i="1"/>
  <c r="K88" i="1"/>
  <c r="K138" i="1" s="1"/>
  <c r="J138" i="1"/>
  <c r="H308" i="1"/>
  <c r="H310" i="1" s="1"/>
  <c r="H119" i="1" s="1"/>
  <c r="J314" i="1"/>
  <c r="J313" i="1"/>
  <c r="K294" i="1"/>
  <c r="K295" i="1"/>
  <c r="K296" i="1"/>
  <c r="K207" i="1"/>
  <c r="K208" i="1"/>
  <c r="J206" i="1"/>
  <c r="K256" i="1"/>
  <c r="K165" i="1"/>
  <c r="K270" i="1"/>
  <c r="K257" i="1"/>
  <c r="K269" i="1"/>
  <c r="K160" i="1"/>
  <c r="K282" i="1"/>
  <c r="H309" i="1" l="1"/>
  <c r="H118" i="1" s="1"/>
  <c r="J301" i="1"/>
  <c r="I302" i="1"/>
  <c r="K313" i="1"/>
  <c r="K314" i="1"/>
  <c r="K206" i="1"/>
  <c r="H311" i="1" l="1"/>
  <c r="H90" i="1" s="1"/>
  <c r="I308" i="1"/>
  <c r="I309" i="1" s="1"/>
  <c r="I118" i="1" s="1"/>
  <c r="K301" i="1"/>
  <c r="K302" i="1" s="1"/>
  <c r="J302" i="1"/>
  <c r="I310" i="1" l="1"/>
  <c r="I119" i="1" s="1"/>
  <c r="I311" i="1" l="1"/>
  <c r="I90" i="1" s="1"/>
  <c r="F217" i="1"/>
  <c r="C57" i="2" s="1"/>
  <c r="C19" i="3" s="1"/>
  <c r="E217" i="1"/>
  <c r="D217" i="1"/>
  <c r="F44" i="1"/>
  <c r="E44" i="1"/>
  <c r="F43" i="1"/>
  <c r="E43" i="1"/>
  <c r="F42" i="1"/>
  <c r="E42" i="1"/>
  <c r="F41" i="1"/>
  <c r="E41" i="1"/>
  <c r="D44" i="1"/>
  <c r="D43" i="1"/>
  <c r="D42" i="1"/>
  <c r="D41" i="1"/>
  <c r="F39" i="1"/>
  <c r="E39" i="1"/>
  <c r="G175" i="1"/>
  <c r="H175" i="1" s="1"/>
  <c r="I175" i="1" s="1"/>
  <c r="J175" i="1" s="1"/>
  <c r="K175" i="1" s="1"/>
  <c r="G174" i="1"/>
  <c r="H174" i="1" s="1"/>
  <c r="I174" i="1" s="1"/>
  <c r="J174" i="1" s="1"/>
  <c r="K174" i="1" s="1"/>
  <c r="G173" i="1"/>
  <c r="G172" i="1"/>
  <c r="H172" i="1" s="1"/>
  <c r="I172" i="1" s="1"/>
  <c r="F183" i="1"/>
  <c r="F182" i="1"/>
  <c r="F181" i="1"/>
  <c r="F180" i="1"/>
  <c r="E183" i="1"/>
  <c r="E182" i="1"/>
  <c r="E181" i="1"/>
  <c r="E180" i="1"/>
  <c r="E176" i="1"/>
  <c r="E178" i="1" s="1"/>
  <c r="D176" i="1"/>
  <c r="D178" i="1" s="1"/>
  <c r="F176" i="1"/>
  <c r="F178" i="1" s="1"/>
  <c r="F103" i="1"/>
  <c r="F105" i="1" s="1"/>
  <c r="E103" i="1"/>
  <c r="E105" i="1" s="1"/>
  <c r="D103" i="1"/>
  <c r="D105" i="1" s="1"/>
  <c r="F93" i="1"/>
  <c r="E93" i="1"/>
  <c r="D93" i="1"/>
  <c r="F18" i="1"/>
  <c r="F40" i="1" s="1"/>
  <c r="E18" i="1"/>
  <c r="E40" i="1" s="1"/>
  <c r="F70" i="1"/>
  <c r="E70" i="1"/>
  <c r="F59" i="1"/>
  <c r="E59" i="1"/>
  <c r="D70" i="1"/>
  <c r="D59" i="1"/>
  <c r="D18" i="1"/>
  <c r="D23" i="1" s="1"/>
  <c r="D339" i="1" s="1"/>
  <c r="J308" i="1" l="1"/>
  <c r="J310" i="1" s="1"/>
  <c r="J119" i="1" s="1"/>
  <c r="D343" i="1"/>
  <c r="E342" i="1"/>
  <c r="E343" i="1"/>
  <c r="F343" i="1"/>
  <c r="F342" i="1"/>
  <c r="E18" i="3"/>
  <c r="E19" i="3"/>
  <c r="D26" i="1"/>
  <c r="D28" i="1" s="1"/>
  <c r="D29" i="1" s="1"/>
  <c r="D234" i="1" s="1"/>
  <c r="D246" i="1" s="1"/>
  <c r="D32" i="1"/>
  <c r="F215" i="1"/>
  <c r="F224" i="1" s="1"/>
  <c r="G224" i="1" s="1"/>
  <c r="H224" i="1" s="1"/>
  <c r="E215" i="1"/>
  <c r="E216" i="1" s="1"/>
  <c r="D224" i="1"/>
  <c r="G215" i="1"/>
  <c r="G226" i="1" s="1"/>
  <c r="G44" i="1"/>
  <c r="H44" i="1" s="1"/>
  <c r="I44" i="1" s="1"/>
  <c r="J44" i="1" s="1"/>
  <c r="K44" i="1" s="1"/>
  <c r="G41" i="1"/>
  <c r="H41" i="1" s="1"/>
  <c r="I41" i="1" s="1"/>
  <c r="J41" i="1" s="1"/>
  <c r="K41" i="1" s="1"/>
  <c r="G42" i="1"/>
  <c r="H42" i="1" s="1"/>
  <c r="I42" i="1" s="1"/>
  <c r="J42" i="1" s="1"/>
  <c r="K42" i="1" s="1"/>
  <c r="E95" i="1"/>
  <c r="E107" i="1" s="1"/>
  <c r="F95" i="1"/>
  <c r="F107" i="1" s="1"/>
  <c r="G43" i="1"/>
  <c r="H43" i="1" s="1"/>
  <c r="I43" i="1" s="1"/>
  <c r="J43" i="1" s="1"/>
  <c r="K43" i="1" s="1"/>
  <c r="E72" i="1"/>
  <c r="D72" i="1"/>
  <c r="D335" i="1" s="1"/>
  <c r="F72" i="1"/>
  <c r="E23" i="1"/>
  <c r="D95" i="1"/>
  <c r="D107" i="1" s="1"/>
  <c r="F23" i="1"/>
  <c r="G176" i="1"/>
  <c r="D40" i="1"/>
  <c r="G40" i="1" s="1"/>
  <c r="H40" i="1" s="1"/>
  <c r="I40" i="1" s="1"/>
  <c r="J40" i="1" s="1"/>
  <c r="K40" i="1" s="1"/>
  <c r="J172" i="1"/>
  <c r="H173" i="1"/>
  <c r="J309" i="1" l="1"/>
  <c r="D33" i="1"/>
  <c r="D334" i="1"/>
  <c r="D356" i="1" s="1"/>
  <c r="D353" i="1"/>
  <c r="D354" i="1" s="1"/>
  <c r="D45" i="1"/>
  <c r="E26" i="1"/>
  <c r="E45" i="1" s="1"/>
  <c r="E32" i="1"/>
  <c r="F26" i="1"/>
  <c r="F45" i="1" s="1"/>
  <c r="F32" i="1"/>
  <c r="F356" i="1" s="1"/>
  <c r="D18" i="2"/>
  <c r="D245" i="1"/>
  <c r="G217" i="1"/>
  <c r="H215" i="1" s="1"/>
  <c r="H226" i="1" s="1"/>
  <c r="F218" i="1"/>
  <c r="F216" i="1"/>
  <c r="E218" i="1"/>
  <c r="E224" i="1"/>
  <c r="I224" i="1"/>
  <c r="E109" i="1"/>
  <c r="D109" i="1"/>
  <c r="F109" i="1"/>
  <c r="G16" i="1"/>
  <c r="F28" i="1"/>
  <c r="F29" i="1" s="1"/>
  <c r="I173" i="1"/>
  <c r="H176" i="1"/>
  <c r="K172" i="1"/>
  <c r="J118" i="1" l="1"/>
  <c r="J311" i="1"/>
  <c r="E33" i="1"/>
  <c r="E356" i="1"/>
  <c r="F36" i="1"/>
  <c r="F35" i="1"/>
  <c r="E28" i="1"/>
  <c r="E29" i="1" s="1"/>
  <c r="E234" i="1" s="1"/>
  <c r="F234" i="1"/>
  <c r="F246" i="1" s="1"/>
  <c r="G246" i="1" s="1"/>
  <c r="D16" i="2"/>
  <c r="D17" i="2" s="1"/>
  <c r="F33" i="1"/>
  <c r="G320" i="1"/>
  <c r="E14" i="2"/>
  <c r="C14" i="2" s="1"/>
  <c r="D22" i="2"/>
  <c r="G45" i="1"/>
  <c r="G218" i="1"/>
  <c r="D19" i="2"/>
  <c r="H217" i="1"/>
  <c r="I215" i="1" s="1"/>
  <c r="J224" i="1"/>
  <c r="G289" i="1"/>
  <c r="G131" i="1" s="1"/>
  <c r="G290" i="1"/>
  <c r="G291" i="1"/>
  <c r="G132" i="1" s="1"/>
  <c r="G178" i="1"/>
  <c r="G197" i="1"/>
  <c r="G80" i="1" s="1"/>
  <c r="G198" i="1"/>
  <c r="G81" i="1" s="1"/>
  <c r="G191" i="1"/>
  <c r="G55" i="1" s="1"/>
  <c r="H16" i="1"/>
  <c r="G155" i="1"/>
  <c r="G264" i="1"/>
  <c r="G253" i="1"/>
  <c r="G130" i="1" s="1"/>
  <c r="G279" i="1"/>
  <c r="G254" i="1"/>
  <c r="G156" i="1"/>
  <c r="G116" i="1" s="1"/>
  <c r="G278" i="1"/>
  <c r="G133" i="1" s="1"/>
  <c r="G265" i="1"/>
  <c r="G140" i="1" s="1"/>
  <c r="G19" i="1"/>
  <c r="G22" i="1"/>
  <c r="G21" i="1"/>
  <c r="G39" i="1"/>
  <c r="G20" i="1"/>
  <c r="G18" i="1"/>
  <c r="J173" i="1"/>
  <c r="I176" i="1"/>
  <c r="F245" i="1" l="1"/>
  <c r="K308" i="1"/>
  <c r="J90" i="1"/>
  <c r="E246" i="1"/>
  <c r="E245" i="1"/>
  <c r="H218" i="1"/>
  <c r="E36" i="1"/>
  <c r="E35" i="1"/>
  <c r="H245" i="1"/>
  <c r="I245" i="1" s="1"/>
  <c r="J245" i="1" s="1"/>
  <c r="K245" i="1" s="1"/>
  <c r="D21" i="2"/>
  <c r="C7" i="3"/>
  <c r="E22" i="2"/>
  <c r="H45" i="1"/>
  <c r="G129" i="1"/>
  <c r="G134" i="1" s="1"/>
  <c r="E27" i="2"/>
  <c r="E28" i="2" s="1"/>
  <c r="H320" i="1"/>
  <c r="F14" i="2"/>
  <c r="F15" i="2" s="1"/>
  <c r="E15" i="2"/>
  <c r="D23" i="2"/>
  <c r="G164" i="1"/>
  <c r="G117" i="1" s="1"/>
  <c r="I217" i="1"/>
  <c r="J215" i="1" s="1"/>
  <c r="K224" i="1"/>
  <c r="H246" i="1"/>
  <c r="I246" i="1" s="1"/>
  <c r="J246" i="1" s="1"/>
  <c r="K246" i="1" s="1"/>
  <c r="G292" i="1"/>
  <c r="H288" i="1" s="1"/>
  <c r="H290" i="1"/>
  <c r="H289" i="1"/>
  <c r="H131" i="1" s="1"/>
  <c r="H291" i="1"/>
  <c r="H132" i="1" s="1"/>
  <c r="H198" i="1"/>
  <c r="H81" i="1" s="1"/>
  <c r="H197" i="1"/>
  <c r="H80" i="1" s="1"/>
  <c r="H191" i="1"/>
  <c r="H55" i="1" s="1"/>
  <c r="G166" i="1"/>
  <c r="E25" i="2" s="1"/>
  <c r="G280" i="1"/>
  <c r="G17" i="1"/>
  <c r="G23" i="1"/>
  <c r="G255" i="1"/>
  <c r="G268" i="1"/>
  <c r="G266" i="1"/>
  <c r="G157" i="1"/>
  <c r="H265" i="1"/>
  <c r="H140" i="1" s="1"/>
  <c r="H278" i="1"/>
  <c r="H133" i="1" s="1"/>
  <c r="H254" i="1"/>
  <c r="H253" i="1"/>
  <c r="H130" i="1" s="1"/>
  <c r="H155" i="1"/>
  <c r="H279" i="1"/>
  <c r="H264" i="1"/>
  <c r="H156" i="1"/>
  <c r="H116" i="1" s="1"/>
  <c r="H22" i="1"/>
  <c r="H21" i="1"/>
  <c r="H20" i="1"/>
  <c r="H19" i="1"/>
  <c r="H39" i="1"/>
  <c r="H18" i="1"/>
  <c r="I16" i="1"/>
  <c r="H178" i="1"/>
  <c r="K173" i="1"/>
  <c r="K176" i="1" s="1"/>
  <c r="J176" i="1"/>
  <c r="K309" i="1" l="1"/>
  <c r="K310" i="1"/>
  <c r="K119" i="1" s="1"/>
  <c r="I320" i="1"/>
  <c r="G14" i="2"/>
  <c r="G15" i="2" s="1"/>
  <c r="H129" i="1"/>
  <c r="H134" i="1" s="1"/>
  <c r="F27" i="2"/>
  <c r="F28" i="2" s="1"/>
  <c r="E18" i="2"/>
  <c r="C18" i="2" s="1"/>
  <c r="G32" i="1"/>
  <c r="I45" i="1"/>
  <c r="F22" i="2"/>
  <c r="G299" i="1"/>
  <c r="G66" i="1" s="1"/>
  <c r="G298" i="1"/>
  <c r="G54" i="1" s="1"/>
  <c r="I218" i="1"/>
  <c r="H164" i="1"/>
  <c r="H117" i="1" s="1"/>
  <c r="J217" i="1"/>
  <c r="K215" i="1" s="1"/>
  <c r="G243" i="1"/>
  <c r="H292" i="1"/>
  <c r="I290" i="1"/>
  <c r="I291" i="1"/>
  <c r="I132" i="1" s="1"/>
  <c r="I289" i="1"/>
  <c r="I131" i="1" s="1"/>
  <c r="H252" i="1"/>
  <c r="H255" i="1" s="1"/>
  <c r="G65" i="1"/>
  <c r="G196" i="1"/>
  <c r="G190" i="1"/>
  <c r="H277" i="1"/>
  <c r="H280" i="1" s="1"/>
  <c r="G63" i="1"/>
  <c r="I178" i="1"/>
  <c r="I197" i="1"/>
  <c r="I80" i="1" s="1"/>
  <c r="I198" i="1"/>
  <c r="I81" i="1" s="1"/>
  <c r="I191" i="1"/>
  <c r="I55" i="1" s="1"/>
  <c r="H154" i="1"/>
  <c r="H157" i="1" s="1"/>
  <c r="G62" i="1"/>
  <c r="H166" i="1"/>
  <c r="F25" i="2" s="1"/>
  <c r="J16" i="1"/>
  <c r="H23" i="1"/>
  <c r="H17" i="1"/>
  <c r="G64" i="1"/>
  <c r="H263" i="1"/>
  <c r="H266" i="1" s="1"/>
  <c r="K16" i="1"/>
  <c r="I265" i="1"/>
  <c r="I140" i="1" s="1"/>
  <c r="I278" i="1"/>
  <c r="I133" i="1" s="1"/>
  <c r="I155" i="1"/>
  <c r="I264" i="1"/>
  <c r="I253" i="1"/>
  <c r="I130" i="1" s="1"/>
  <c r="I279" i="1"/>
  <c r="I156" i="1"/>
  <c r="I116" i="1" s="1"/>
  <c r="I254" i="1"/>
  <c r="I39" i="1"/>
  <c r="I22" i="1"/>
  <c r="I21" i="1"/>
  <c r="I19" i="1"/>
  <c r="I20" i="1"/>
  <c r="I18" i="1"/>
  <c r="G79" i="1"/>
  <c r="H267" i="1"/>
  <c r="H268" i="1" s="1"/>
  <c r="H79" i="1" s="1"/>
  <c r="G89" i="1"/>
  <c r="G93" i="1" s="1"/>
  <c r="K118" i="1" l="1"/>
  <c r="K311" i="1"/>
  <c r="K90" i="1" s="1"/>
  <c r="J45" i="1"/>
  <c r="G22" i="2"/>
  <c r="K320" i="1"/>
  <c r="I14" i="2"/>
  <c r="H32" i="1"/>
  <c r="F18" i="2"/>
  <c r="E16" i="2"/>
  <c r="G33" i="1"/>
  <c r="I129" i="1"/>
  <c r="G27" i="2"/>
  <c r="G28" i="2" s="1"/>
  <c r="J320" i="1"/>
  <c r="H14" i="2"/>
  <c r="H15" i="2" s="1"/>
  <c r="E21" i="2"/>
  <c r="E23" i="2"/>
  <c r="E19" i="2"/>
  <c r="J218" i="1"/>
  <c r="I134" i="1"/>
  <c r="H299" i="1"/>
  <c r="H66" i="1" s="1"/>
  <c r="H298" i="1"/>
  <c r="H54" i="1" s="1"/>
  <c r="I288" i="1"/>
  <c r="I292" i="1" s="1"/>
  <c r="I164" i="1"/>
  <c r="I117" i="1" s="1"/>
  <c r="K217" i="1"/>
  <c r="K218" i="1" s="1"/>
  <c r="H240" i="1"/>
  <c r="H243" i="1" s="1"/>
  <c r="G104" i="1"/>
  <c r="K290" i="1"/>
  <c r="K291" i="1"/>
  <c r="K132" i="1" s="1"/>
  <c r="K289" i="1"/>
  <c r="K131" i="1" s="1"/>
  <c r="J289" i="1"/>
  <c r="J131" i="1" s="1"/>
  <c r="J291" i="1"/>
  <c r="J132" i="1" s="1"/>
  <c r="J290" i="1"/>
  <c r="G70" i="1"/>
  <c r="I252" i="1"/>
  <c r="I255" i="1" s="1"/>
  <c r="H65" i="1"/>
  <c r="I277" i="1"/>
  <c r="I280" i="1" s="1"/>
  <c r="H63" i="1"/>
  <c r="G82" i="1"/>
  <c r="G199" i="1"/>
  <c r="H196" i="1"/>
  <c r="H190" i="1"/>
  <c r="K197" i="1"/>
  <c r="K80" i="1" s="1"/>
  <c r="K198" i="1"/>
  <c r="K81" i="1" s="1"/>
  <c r="K191" i="1"/>
  <c r="K55" i="1" s="1"/>
  <c r="J198" i="1"/>
  <c r="J81" i="1" s="1"/>
  <c r="J197" i="1"/>
  <c r="J80" i="1" s="1"/>
  <c r="J191" i="1"/>
  <c r="J55" i="1" s="1"/>
  <c r="G53" i="1"/>
  <c r="G193" i="1"/>
  <c r="I166" i="1"/>
  <c r="G25" i="2" s="1"/>
  <c r="I154" i="1"/>
  <c r="I157" i="1" s="1"/>
  <c r="H62" i="1"/>
  <c r="I17" i="1"/>
  <c r="I23" i="1"/>
  <c r="I263" i="1"/>
  <c r="I266" i="1" s="1"/>
  <c r="H64" i="1"/>
  <c r="I267" i="1"/>
  <c r="I268" i="1" s="1"/>
  <c r="I79" i="1" s="1"/>
  <c r="H89" i="1"/>
  <c r="H93" i="1" s="1"/>
  <c r="K265" i="1"/>
  <c r="K140" i="1" s="1"/>
  <c r="K278" i="1"/>
  <c r="K133" i="1" s="1"/>
  <c r="K155" i="1"/>
  <c r="K264" i="1"/>
  <c r="K253" i="1"/>
  <c r="K130" i="1" s="1"/>
  <c r="K279" i="1"/>
  <c r="K156" i="1"/>
  <c r="K116" i="1" s="1"/>
  <c r="K254" i="1"/>
  <c r="K22" i="1"/>
  <c r="K21" i="1"/>
  <c r="K20" i="1"/>
  <c r="K19" i="1"/>
  <c r="K39" i="1"/>
  <c r="K18" i="1"/>
  <c r="J265" i="1"/>
  <c r="J140" i="1" s="1"/>
  <c r="J278" i="1"/>
  <c r="J133" i="1" s="1"/>
  <c r="J156" i="1"/>
  <c r="J116" i="1" s="1"/>
  <c r="J155" i="1"/>
  <c r="J253" i="1"/>
  <c r="J130" i="1" s="1"/>
  <c r="J264" i="1"/>
  <c r="J279" i="1"/>
  <c r="J254" i="1"/>
  <c r="J22" i="1"/>
  <c r="J21" i="1"/>
  <c r="J20" i="1"/>
  <c r="J19" i="1"/>
  <c r="J39" i="1"/>
  <c r="J18" i="1"/>
  <c r="K178" i="1"/>
  <c r="J178" i="1"/>
  <c r="E17" i="2" l="1"/>
  <c r="C16" i="2"/>
  <c r="I32" i="1"/>
  <c r="G18" i="2"/>
  <c r="I15" i="2"/>
  <c r="K129" i="1"/>
  <c r="K134" i="1" s="1"/>
  <c r="I27" i="2"/>
  <c r="I28" i="2" s="1"/>
  <c r="J129" i="1"/>
  <c r="J134" i="1" s="1"/>
  <c r="H27" i="2"/>
  <c r="H28" i="2" s="1"/>
  <c r="F21" i="2"/>
  <c r="F23" i="2"/>
  <c r="F19" i="2"/>
  <c r="F16" i="2"/>
  <c r="F17" i="2" s="1"/>
  <c r="H33" i="1"/>
  <c r="K45" i="1"/>
  <c r="I22" i="2" s="1"/>
  <c r="H22" i="2"/>
  <c r="I299" i="1"/>
  <c r="I66" i="1" s="1"/>
  <c r="I298" i="1"/>
  <c r="I54" i="1" s="1"/>
  <c r="J288" i="1"/>
  <c r="J292" i="1" s="1"/>
  <c r="K164" i="1"/>
  <c r="K117" i="1" s="1"/>
  <c r="J164" i="1"/>
  <c r="J117" i="1" s="1"/>
  <c r="I240" i="1"/>
  <c r="I243" i="1" s="1"/>
  <c r="H104" i="1"/>
  <c r="J277" i="1"/>
  <c r="J280" i="1" s="1"/>
  <c r="I63" i="1"/>
  <c r="I196" i="1"/>
  <c r="I190" i="1"/>
  <c r="J252" i="1"/>
  <c r="I65" i="1"/>
  <c r="H199" i="1"/>
  <c r="H82" i="1"/>
  <c r="G201" i="1"/>
  <c r="E32" i="2" s="1"/>
  <c r="H53" i="1"/>
  <c r="H193" i="1"/>
  <c r="J154" i="1"/>
  <c r="J157" i="1" s="1"/>
  <c r="I62" i="1"/>
  <c r="J166" i="1"/>
  <c r="H25" i="2" s="1"/>
  <c r="K166" i="1"/>
  <c r="I25" i="2" s="1"/>
  <c r="H70" i="1"/>
  <c r="J255" i="1"/>
  <c r="J17" i="1"/>
  <c r="J23" i="1"/>
  <c r="J267" i="1"/>
  <c r="J268" i="1" s="1"/>
  <c r="J79" i="1" s="1"/>
  <c r="I89" i="1"/>
  <c r="I93" i="1" s="1"/>
  <c r="K17" i="1"/>
  <c r="K23" i="1"/>
  <c r="J263" i="1"/>
  <c r="J266" i="1" s="1"/>
  <c r="I64" i="1"/>
  <c r="E33" i="2" l="1"/>
  <c r="E26" i="2"/>
  <c r="E30" i="2" s="1"/>
  <c r="G21" i="2"/>
  <c r="G23" i="2"/>
  <c r="G19" i="2"/>
  <c r="I18" i="2"/>
  <c r="K32" i="1"/>
  <c r="J32" i="1"/>
  <c r="H18" i="2"/>
  <c r="I33" i="1"/>
  <c r="G16" i="2"/>
  <c r="G17" i="2" s="1"/>
  <c r="J299" i="1"/>
  <c r="J66" i="1" s="1"/>
  <c r="J298" i="1"/>
  <c r="J54" i="1" s="1"/>
  <c r="K288" i="1"/>
  <c r="K292" i="1" s="1"/>
  <c r="J240" i="1"/>
  <c r="J243" i="1" s="1"/>
  <c r="I104" i="1"/>
  <c r="H201" i="1"/>
  <c r="J196" i="1"/>
  <c r="J190" i="1"/>
  <c r="K252" i="1"/>
  <c r="K255" i="1" s="1"/>
  <c r="K65" i="1" s="1"/>
  <c r="J65" i="1"/>
  <c r="I199" i="1"/>
  <c r="I82" i="1"/>
  <c r="I70" i="1"/>
  <c r="K277" i="1"/>
  <c r="K280" i="1" s="1"/>
  <c r="K63" i="1" s="1"/>
  <c r="J63" i="1"/>
  <c r="G203" i="1"/>
  <c r="G123" i="1" s="1"/>
  <c r="G202" i="1"/>
  <c r="K196" i="1"/>
  <c r="K190" i="1"/>
  <c r="I53" i="1"/>
  <c r="I193" i="1"/>
  <c r="K154" i="1"/>
  <c r="K157" i="1" s="1"/>
  <c r="K62" i="1" s="1"/>
  <c r="J62" i="1"/>
  <c r="K267" i="1"/>
  <c r="K268" i="1" s="1"/>
  <c r="K79" i="1" s="1"/>
  <c r="J89" i="1"/>
  <c r="J93" i="1" s="1"/>
  <c r="K263" i="1"/>
  <c r="K266" i="1" s="1"/>
  <c r="K64" i="1" s="1"/>
  <c r="J64" i="1"/>
  <c r="H21" i="2" l="1"/>
  <c r="H23" i="2"/>
  <c r="H19" i="2"/>
  <c r="I21" i="2"/>
  <c r="I23" i="2"/>
  <c r="I19" i="2"/>
  <c r="J33" i="1"/>
  <c r="H16" i="2"/>
  <c r="H17" i="2" s="1"/>
  <c r="H202" i="1"/>
  <c r="F32" i="2"/>
  <c r="I16" i="2"/>
  <c r="K33" i="1"/>
  <c r="K299" i="1"/>
  <c r="K66" i="1" s="1"/>
  <c r="K298" i="1"/>
  <c r="K54" i="1" s="1"/>
  <c r="K240" i="1"/>
  <c r="K243" i="1" s="1"/>
  <c r="K104" i="1" s="1"/>
  <c r="J104" i="1"/>
  <c r="H203" i="1"/>
  <c r="H123" i="1" s="1"/>
  <c r="K193" i="1"/>
  <c r="K53" i="1"/>
  <c r="J70" i="1"/>
  <c r="I201" i="1"/>
  <c r="G32" i="2" s="1"/>
  <c r="J193" i="1"/>
  <c r="J53" i="1"/>
  <c r="K199" i="1"/>
  <c r="K82" i="1"/>
  <c r="J199" i="1"/>
  <c r="J82" i="1"/>
  <c r="K89" i="1"/>
  <c r="K93" i="1" s="1"/>
  <c r="J201" i="1" l="1"/>
  <c r="H32" i="2" s="1"/>
  <c r="H33" i="2" s="1"/>
  <c r="I17" i="2"/>
  <c r="I42" i="2"/>
  <c r="I44" i="2" s="1"/>
  <c r="G26" i="2"/>
  <c r="G30" i="2" s="1"/>
  <c r="G38" i="2" s="1"/>
  <c r="F33" i="2"/>
  <c r="F26" i="2"/>
  <c r="F30" i="2" s="1"/>
  <c r="F38" i="2" s="1"/>
  <c r="G33" i="2"/>
  <c r="K201" i="1"/>
  <c r="I202" i="1"/>
  <c r="J203" i="1"/>
  <c r="J123" i="1" s="1"/>
  <c r="I203" i="1"/>
  <c r="I123" i="1" s="1"/>
  <c r="J202" i="1"/>
  <c r="K70" i="1"/>
  <c r="H26" i="2" l="1"/>
  <c r="H30" i="2" s="1"/>
  <c r="H38" i="2" s="1"/>
  <c r="K202" i="1"/>
  <c r="I32" i="2"/>
  <c r="K203" i="1"/>
  <c r="K123" i="1" s="1"/>
  <c r="I33" i="2" l="1"/>
  <c r="I26" i="2"/>
  <c r="I30" i="2" s="1"/>
  <c r="I38" i="2" s="1"/>
  <c r="C43" i="2" s="1"/>
  <c r="C65" i="2"/>
  <c r="C70" i="2" l="1"/>
  <c r="D70" i="2"/>
  <c r="O90" i="2"/>
  <c r="P90" i="2" s="1"/>
  <c r="Q90" i="2" s="1"/>
  <c r="G90" i="2"/>
  <c r="F90" i="2" s="1"/>
  <c r="E90" i="2" s="1"/>
  <c r="H90" i="2" l="1"/>
  <c r="I90" i="2" s="1"/>
  <c r="N90" i="2"/>
  <c r="M90" i="2" s="1"/>
  <c r="B3" i="2" l="1"/>
  <c r="Q130" i="2"/>
  <c r="O130" i="2"/>
  <c r="Q129" i="2"/>
  <c r="O129" i="2"/>
  <c r="Q128" i="2"/>
  <c r="O128" i="2"/>
  <c r="D130" i="2"/>
  <c r="E129" i="2"/>
  <c r="C129" i="2"/>
  <c r="E128" i="2"/>
  <c r="C128" i="2"/>
  <c r="P129" i="2" l="1"/>
  <c r="D128" i="2"/>
  <c r="P128" i="2"/>
  <c r="P130" i="2"/>
  <c r="D129" i="2"/>
  <c r="B3" i="3" l="1"/>
  <c r="B35" i="2"/>
  <c r="C12" i="2" l="1"/>
  <c r="D37" i="2"/>
  <c r="D12" i="2"/>
  <c r="E12" i="2" s="1"/>
  <c r="E37" i="2" s="1"/>
  <c r="D5" i="2"/>
  <c r="D8" i="2" s="1"/>
  <c r="F12" i="2" l="1"/>
  <c r="F37" i="2" s="1"/>
  <c r="C38" i="2" l="1"/>
  <c r="E38" i="2" s="1"/>
  <c r="G12" i="2"/>
  <c r="G37" i="2" s="1"/>
  <c r="H12" i="2" l="1"/>
  <c r="H37" i="2" s="1"/>
  <c r="I12" i="2" l="1"/>
  <c r="I37" i="2" s="1"/>
  <c r="B43" i="2" l="1"/>
  <c r="E44" i="2"/>
  <c r="B44" i="2"/>
  <c r="F13" i="1" l="1"/>
  <c r="F14" i="1"/>
  <c r="F318" i="1" l="1"/>
  <c r="F328" i="1"/>
  <c r="F317" i="1"/>
  <c r="F327" i="1"/>
  <c r="F306" i="1"/>
  <c r="F305" i="1"/>
  <c r="F275" i="1"/>
  <c r="F286" i="1"/>
  <c r="F274" i="1"/>
  <c r="F285" i="1"/>
  <c r="F249" i="1"/>
  <c r="F260" i="1"/>
  <c r="F250" i="1"/>
  <c r="F261" i="1"/>
  <c r="F48" i="1"/>
  <c r="F229" i="1"/>
  <c r="F230" i="1"/>
  <c r="F212" i="1"/>
  <c r="F187" i="1"/>
  <c r="F211" i="1"/>
  <c r="F186" i="1"/>
  <c r="F170" i="1"/>
  <c r="F152" i="1"/>
  <c r="F169" i="1"/>
  <c r="F151" i="1"/>
  <c r="F49" i="1"/>
  <c r="G13" i="1"/>
  <c r="E13" i="1"/>
  <c r="E317" i="1" l="1"/>
  <c r="E327" i="1"/>
  <c r="G317" i="1"/>
  <c r="G327" i="1"/>
  <c r="G305" i="1"/>
  <c r="E305" i="1"/>
  <c r="G274" i="1"/>
  <c r="G285" i="1"/>
  <c r="E274" i="1"/>
  <c r="E285" i="1"/>
  <c r="E249" i="1"/>
  <c r="E260" i="1"/>
  <c r="G249" i="1"/>
  <c r="G260" i="1"/>
  <c r="E48" i="1"/>
  <c r="G48" i="1"/>
  <c r="E229" i="1"/>
  <c r="G229" i="1"/>
  <c r="G211" i="1"/>
  <c r="G186" i="1"/>
  <c r="E211" i="1"/>
  <c r="E186" i="1"/>
  <c r="G169" i="1"/>
  <c r="E151" i="1"/>
  <c r="E169" i="1"/>
  <c r="D13" i="1"/>
  <c r="H13" i="1"/>
  <c r="G151" i="1"/>
  <c r="G112" i="1"/>
  <c r="D317" i="1" l="1"/>
  <c r="D327" i="1"/>
  <c r="H317" i="1"/>
  <c r="H327" i="1"/>
  <c r="H305" i="1"/>
  <c r="D305" i="1"/>
  <c r="D285" i="1"/>
  <c r="D274" i="1"/>
  <c r="H285" i="1"/>
  <c r="H274" i="1"/>
  <c r="H249" i="1"/>
  <c r="H260" i="1"/>
  <c r="D249" i="1"/>
  <c r="D260" i="1"/>
  <c r="D48" i="1"/>
  <c r="H48" i="1"/>
  <c r="D229" i="1"/>
  <c r="H229" i="1"/>
  <c r="D186" i="1"/>
  <c r="D211" i="1"/>
  <c r="H186" i="1"/>
  <c r="H211" i="1"/>
  <c r="H169" i="1"/>
  <c r="D169" i="1"/>
  <c r="D151" i="1"/>
  <c r="I13" i="1"/>
  <c r="H151" i="1"/>
  <c r="H112" i="1"/>
  <c r="I317" i="1" l="1"/>
  <c r="I327" i="1"/>
  <c r="I305" i="1"/>
  <c r="I285" i="1"/>
  <c r="I274" i="1"/>
  <c r="I249" i="1"/>
  <c r="I260" i="1"/>
  <c r="I48" i="1"/>
  <c r="I229" i="1"/>
  <c r="I211" i="1"/>
  <c r="I186" i="1"/>
  <c r="I169" i="1"/>
  <c r="J13" i="1"/>
  <c r="I151" i="1"/>
  <c r="I112" i="1"/>
  <c r="J317" i="1" l="1"/>
  <c r="J327" i="1"/>
  <c r="J305" i="1"/>
  <c r="J274" i="1"/>
  <c r="J285" i="1"/>
  <c r="J249" i="1"/>
  <c r="J260" i="1"/>
  <c r="J48" i="1"/>
  <c r="J229" i="1"/>
  <c r="J211" i="1"/>
  <c r="J186" i="1"/>
  <c r="J169" i="1"/>
  <c r="K13" i="1"/>
  <c r="J151" i="1"/>
  <c r="J112" i="1"/>
  <c r="K317" i="1" l="1"/>
  <c r="K327" i="1"/>
  <c r="K305" i="1"/>
  <c r="K285" i="1"/>
  <c r="K274" i="1"/>
  <c r="K249" i="1"/>
  <c r="K260" i="1"/>
  <c r="K48" i="1"/>
  <c r="K229" i="1"/>
  <c r="K211" i="1"/>
  <c r="K186" i="1"/>
  <c r="K169" i="1"/>
  <c r="K151" i="1"/>
  <c r="K112" i="1"/>
  <c r="G14" i="1" l="1"/>
  <c r="G318" i="1" l="1"/>
  <c r="G328" i="1"/>
  <c r="G306" i="1"/>
  <c r="G286" i="1"/>
  <c r="G275" i="1"/>
  <c r="G250" i="1"/>
  <c r="G261" i="1"/>
  <c r="G230" i="1"/>
  <c r="G212" i="1"/>
  <c r="G187" i="1"/>
  <c r="G170" i="1"/>
  <c r="G152" i="1"/>
  <c r="G113" i="1"/>
  <c r="G49" i="1"/>
  <c r="H14" i="1"/>
  <c r="E14" i="1"/>
  <c r="E318" i="1" l="1"/>
  <c r="E328" i="1"/>
  <c r="H318" i="1"/>
  <c r="H328" i="1"/>
  <c r="H306" i="1"/>
  <c r="E306" i="1"/>
  <c r="E275" i="1"/>
  <c r="E286" i="1"/>
  <c r="H286" i="1"/>
  <c r="H275" i="1"/>
  <c r="H250" i="1"/>
  <c r="H261" i="1"/>
  <c r="E250" i="1"/>
  <c r="E261" i="1"/>
  <c r="E230" i="1"/>
  <c r="H230" i="1"/>
  <c r="E212" i="1"/>
  <c r="E187" i="1"/>
  <c r="H187" i="1"/>
  <c r="H212" i="1"/>
  <c r="H170" i="1"/>
  <c r="E170" i="1"/>
  <c r="E152" i="1"/>
  <c r="H152" i="1"/>
  <c r="H113" i="1"/>
  <c r="H49" i="1"/>
  <c r="E49" i="1"/>
  <c r="D14" i="1"/>
  <c r="I14" i="1"/>
  <c r="D318" i="1" l="1"/>
  <c r="D328" i="1"/>
  <c r="I318" i="1"/>
  <c r="I328" i="1"/>
  <c r="D306" i="1"/>
  <c r="I306" i="1"/>
  <c r="D286" i="1"/>
  <c r="D275" i="1"/>
  <c r="I275" i="1"/>
  <c r="I286" i="1"/>
  <c r="I250" i="1"/>
  <c r="I261" i="1"/>
  <c r="D250" i="1"/>
  <c r="D261" i="1"/>
  <c r="D230" i="1"/>
  <c r="I230" i="1"/>
  <c r="D187" i="1"/>
  <c r="D212" i="1"/>
  <c r="I212" i="1"/>
  <c r="I187" i="1"/>
  <c r="I170" i="1"/>
  <c r="D170" i="1"/>
  <c r="D152" i="1"/>
  <c r="I152" i="1"/>
  <c r="I113" i="1"/>
  <c r="I49" i="1"/>
  <c r="D49" i="1"/>
  <c r="J14" i="1"/>
  <c r="J318" i="1" l="1"/>
  <c r="J328" i="1"/>
  <c r="J306" i="1"/>
  <c r="J275" i="1"/>
  <c r="J286" i="1"/>
  <c r="J250" i="1"/>
  <c r="J261" i="1"/>
  <c r="J230" i="1"/>
  <c r="J212" i="1"/>
  <c r="J187" i="1"/>
  <c r="J170" i="1"/>
  <c r="J152" i="1"/>
  <c r="J113" i="1"/>
  <c r="J49" i="1"/>
  <c r="K14" i="1"/>
  <c r="K318" i="1" l="1"/>
  <c r="K328" i="1"/>
  <c r="K306" i="1"/>
  <c r="K275" i="1"/>
  <c r="K286" i="1"/>
  <c r="K250" i="1"/>
  <c r="K261" i="1"/>
  <c r="K230" i="1"/>
  <c r="K212" i="1"/>
  <c r="K187" i="1"/>
  <c r="K170" i="1"/>
  <c r="K152" i="1"/>
  <c r="K113" i="1"/>
  <c r="K49" i="1"/>
  <c r="G99" i="2" l="1"/>
  <c r="F99" i="2" s="1"/>
  <c r="E99" i="2" s="1"/>
  <c r="O99" i="2"/>
  <c r="P99" i="2" s="1"/>
  <c r="Q99" i="2" s="1"/>
  <c r="N99" i="2" l="1"/>
  <c r="M99" i="2" s="1"/>
  <c r="H99" i="2"/>
  <c r="I99" i="2" s="1"/>
  <c r="F219" i="1" l="1"/>
  <c r="C8" i="3" s="1"/>
  <c r="E21" i="3" s="1"/>
  <c r="E219" i="1"/>
  <c r="H4" i="2" l="1"/>
  <c r="L93" i="2"/>
  <c r="D102" i="2"/>
  <c r="D93" i="2"/>
  <c r="L102" i="2"/>
  <c r="G24" i="1"/>
  <c r="G26" i="1" l="1"/>
  <c r="G27" i="1" s="1"/>
  <c r="G28" i="1" s="1"/>
  <c r="I45" i="2"/>
  <c r="I51" i="2"/>
  <c r="C44" i="2"/>
  <c r="C45" i="2" s="1"/>
  <c r="B129" i="2"/>
  <c r="D103" i="2"/>
  <c r="D104" i="2" s="1"/>
  <c r="D101" i="2"/>
  <c r="D100" i="2" s="1"/>
  <c r="B128" i="2"/>
  <c r="G128" i="2"/>
  <c r="L94" i="2"/>
  <c r="L95" i="2" s="1"/>
  <c r="L92" i="2"/>
  <c r="L91" i="2" s="1"/>
  <c r="D94" i="2"/>
  <c r="D95" i="2" s="1"/>
  <c r="D92" i="2"/>
  <c r="D91" i="2" s="1"/>
  <c r="G129" i="2"/>
  <c r="L101" i="2"/>
  <c r="L100" i="2" s="1"/>
  <c r="L103" i="2"/>
  <c r="L104" i="2" s="1"/>
  <c r="F39" i="2"/>
  <c r="E39" i="2"/>
  <c r="G39" i="2"/>
  <c r="H39" i="2"/>
  <c r="I39" i="2"/>
  <c r="G29" i="1"/>
  <c r="G115" i="1"/>
  <c r="G120" i="1" s="1"/>
  <c r="G124" i="1" s="1"/>
  <c r="G125" i="1" s="1"/>
  <c r="H24" i="1"/>
  <c r="H339" i="1" s="1"/>
  <c r="I226" i="1"/>
  <c r="H26" i="1" l="1"/>
  <c r="H27" i="1" s="1"/>
  <c r="H28" i="1" s="1"/>
  <c r="H350" i="1" s="1"/>
  <c r="G130" i="2"/>
  <c r="G35" i="1"/>
  <c r="G36" i="1"/>
  <c r="C46" i="2"/>
  <c r="C47" i="2" s="1"/>
  <c r="C69" i="2" s="1"/>
  <c r="C51" i="2"/>
  <c r="G234" i="1"/>
  <c r="I24" i="1"/>
  <c r="I339" i="1" s="1"/>
  <c r="J226" i="1"/>
  <c r="G235" i="1"/>
  <c r="G139" i="1" s="1"/>
  <c r="I26" i="1" l="1"/>
  <c r="C82" i="2"/>
  <c r="C83" i="2"/>
  <c r="C84" i="2"/>
  <c r="C71" i="2"/>
  <c r="C73" i="2" s="1"/>
  <c r="D90" i="2" s="1"/>
  <c r="C79" i="2"/>
  <c r="C77" i="2"/>
  <c r="C78" i="2"/>
  <c r="L90" i="2" s="1"/>
  <c r="I46" i="2"/>
  <c r="I47" i="2" s="1"/>
  <c r="C49" i="2"/>
  <c r="C50" i="2" s="1"/>
  <c r="G237" i="1"/>
  <c r="H233" i="1" s="1"/>
  <c r="H29" i="1"/>
  <c r="H115" i="1"/>
  <c r="H120" i="1" s="1"/>
  <c r="H124" i="1" s="1"/>
  <c r="H125" i="1" s="1"/>
  <c r="G321" i="1"/>
  <c r="G322" i="1" s="1"/>
  <c r="K226" i="1"/>
  <c r="I27" i="1"/>
  <c r="I28" i="1" s="1"/>
  <c r="I350" i="1" s="1"/>
  <c r="H36" i="1" l="1"/>
  <c r="H35" i="1"/>
  <c r="G102" i="1"/>
  <c r="G103" i="1" s="1"/>
  <c r="G105" i="1" s="1"/>
  <c r="G347" i="1" s="1"/>
  <c r="H7" i="2"/>
  <c r="H8" i="2" s="1"/>
  <c r="I49" i="2"/>
  <c r="I50" i="2" s="1"/>
  <c r="D69" i="2"/>
  <c r="H234" i="1"/>
  <c r="H235" i="1" s="1"/>
  <c r="H139" i="1" s="1"/>
  <c r="J24" i="1"/>
  <c r="J339" i="1" s="1"/>
  <c r="I29" i="1"/>
  <c r="I115" i="1"/>
  <c r="I120" i="1" s="1"/>
  <c r="I124" i="1" s="1"/>
  <c r="I125" i="1" s="1"/>
  <c r="G84" i="1"/>
  <c r="G323" i="1"/>
  <c r="G141" i="1" s="1"/>
  <c r="G142" i="1" s="1"/>
  <c r="G144" i="1" s="1"/>
  <c r="G146" i="1" s="1"/>
  <c r="G85" i="1" l="1"/>
  <c r="G95" i="1" s="1"/>
  <c r="G107" i="1" s="1"/>
  <c r="G330" i="1"/>
  <c r="J26" i="1"/>
  <c r="J27" i="1" s="1"/>
  <c r="J28" i="1" s="1"/>
  <c r="I36" i="1"/>
  <c r="I35" i="1"/>
  <c r="H237" i="1"/>
  <c r="H102" i="1" s="1"/>
  <c r="H103" i="1" s="1"/>
  <c r="H105" i="1" s="1"/>
  <c r="H347" i="1" s="1"/>
  <c r="D84" i="2"/>
  <c r="D82" i="2"/>
  <c r="D83" i="2"/>
  <c r="D71" i="2"/>
  <c r="D73" i="2" s="1"/>
  <c r="D99" i="2" s="1"/>
  <c r="D79" i="2"/>
  <c r="D77" i="2"/>
  <c r="D78" i="2"/>
  <c r="L99" i="2" s="1"/>
  <c r="I234" i="1"/>
  <c r="I235" i="1" s="1"/>
  <c r="I139" i="1" s="1"/>
  <c r="G58" i="1"/>
  <c r="G148" i="1" s="1"/>
  <c r="J29" i="1" l="1"/>
  <c r="J36" i="1" s="1"/>
  <c r="J350" i="1"/>
  <c r="J115" i="1"/>
  <c r="J120" i="1" s="1"/>
  <c r="J124" i="1" s="1"/>
  <c r="J125" i="1" s="1"/>
  <c r="G331" i="1"/>
  <c r="I233" i="1"/>
  <c r="I237" i="1" s="1"/>
  <c r="I102" i="1" s="1"/>
  <c r="I103" i="1" s="1"/>
  <c r="I105" i="1" s="1"/>
  <c r="I347" i="1" s="1"/>
  <c r="J35" i="1"/>
  <c r="G59" i="1"/>
  <c r="H145" i="1"/>
  <c r="H321" i="1" s="1"/>
  <c r="H322" i="1" s="1"/>
  <c r="J234" i="1" l="1"/>
  <c r="J235" i="1" s="1"/>
  <c r="J139" i="1" s="1"/>
  <c r="G336" i="1"/>
  <c r="G334" i="1"/>
  <c r="G72" i="1"/>
  <c r="G342" i="1"/>
  <c r="G343" i="1"/>
  <c r="J233" i="1"/>
  <c r="K24" i="1"/>
  <c r="K339" i="1" s="1"/>
  <c r="H323" i="1"/>
  <c r="H141" i="1" s="1"/>
  <c r="H142" i="1" s="1"/>
  <c r="H144" i="1" s="1"/>
  <c r="H146" i="1" s="1"/>
  <c r="H84" i="1"/>
  <c r="J237" i="1" l="1"/>
  <c r="J102" i="1" s="1"/>
  <c r="J103" i="1" s="1"/>
  <c r="J105" i="1" s="1"/>
  <c r="J347" i="1" s="1"/>
  <c r="G346" i="1"/>
  <c r="G351" i="1"/>
  <c r="G352" i="1"/>
  <c r="G335" i="1"/>
  <c r="G109" i="1"/>
  <c r="H85" i="1"/>
  <c r="H95" i="1" s="1"/>
  <c r="H107" i="1" s="1"/>
  <c r="H330" i="1"/>
  <c r="K26" i="1"/>
  <c r="K27" i="1" s="1"/>
  <c r="K28" i="1" s="1"/>
  <c r="K350" i="1" s="1"/>
  <c r="G356" i="1"/>
  <c r="H58" i="1"/>
  <c r="K233" i="1" l="1"/>
  <c r="K29" i="1"/>
  <c r="K234" i="1" s="1"/>
  <c r="K235" i="1" s="1"/>
  <c r="K139" i="1" s="1"/>
  <c r="K115" i="1"/>
  <c r="K120" i="1" s="1"/>
  <c r="K124" i="1" s="1"/>
  <c r="K125" i="1" s="1"/>
  <c r="G353" i="1"/>
  <c r="G354" i="1" s="1"/>
  <c r="H331" i="1"/>
  <c r="K35" i="1"/>
  <c r="K36" i="1"/>
  <c r="H59" i="1"/>
  <c r="I145" i="1"/>
  <c r="I321" i="1" s="1"/>
  <c r="I322" i="1" s="1"/>
  <c r="H148" i="1"/>
  <c r="H336" i="1" l="1"/>
  <c r="H334" i="1"/>
  <c r="H72" i="1"/>
  <c r="H342" i="1"/>
  <c r="H343" i="1"/>
  <c r="H356" i="1"/>
  <c r="K237" i="1"/>
  <c r="K102" i="1" s="1"/>
  <c r="K103" i="1" s="1"/>
  <c r="K105" i="1" s="1"/>
  <c r="K347" i="1" s="1"/>
  <c r="I84" i="1"/>
  <c r="I323" i="1"/>
  <c r="I141" i="1" s="1"/>
  <c r="I142" i="1" s="1"/>
  <c r="I144" i="1" s="1"/>
  <c r="I146" i="1" s="1"/>
  <c r="H346" i="1" l="1"/>
  <c r="H351" i="1"/>
  <c r="H352" i="1"/>
  <c r="H335" i="1"/>
  <c r="I85" i="1"/>
  <c r="I95" i="1" s="1"/>
  <c r="I107" i="1" s="1"/>
  <c r="I330" i="1"/>
  <c r="H109" i="1"/>
  <c r="I58" i="1"/>
  <c r="I148" i="1" s="1"/>
  <c r="H353" i="1" l="1"/>
  <c r="H354" i="1" s="1"/>
  <c r="I331" i="1"/>
  <c r="J145" i="1"/>
  <c r="J321" i="1" s="1"/>
  <c r="J322" i="1" s="1"/>
  <c r="I59" i="1"/>
  <c r="I334" i="1" l="1"/>
  <c r="I336" i="1"/>
  <c r="I72" i="1"/>
  <c r="I342" i="1"/>
  <c r="I343" i="1"/>
  <c r="I356" i="1"/>
  <c r="J84" i="1"/>
  <c r="J323" i="1"/>
  <c r="J141" i="1" s="1"/>
  <c r="J142" i="1" s="1"/>
  <c r="J144" i="1" s="1"/>
  <c r="J146" i="1" s="1"/>
  <c r="I352" i="1" l="1"/>
  <c r="I351" i="1"/>
  <c r="I353" i="1" s="1"/>
  <c r="I354" i="1" s="1"/>
  <c r="I346" i="1"/>
  <c r="I335" i="1"/>
  <c r="J85" i="1"/>
  <c r="J95" i="1" s="1"/>
  <c r="J107" i="1" s="1"/>
  <c r="J330" i="1"/>
  <c r="I109" i="1"/>
  <c r="J58" i="1"/>
  <c r="J331" i="1" l="1"/>
  <c r="K145" i="1"/>
  <c r="K321" i="1" s="1"/>
  <c r="K322" i="1" s="1"/>
  <c r="J59" i="1"/>
  <c r="J148" i="1"/>
  <c r="J334" i="1" l="1"/>
  <c r="J336" i="1"/>
  <c r="J72" i="1"/>
  <c r="J343" i="1"/>
  <c r="J356" i="1" s="1"/>
  <c r="J342" i="1"/>
  <c r="K323" i="1"/>
  <c r="K141" i="1" s="1"/>
  <c r="K142" i="1" s="1"/>
  <c r="K144" i="1" s="1"/>
  <c r="K146" i="1" s="1"/>
  <c r="K84" i="1"/>
  <c r="J352" i="1" l="1"/>
  <c r="J346" i="1"/>
  <c r="J351" i="1"/>
  <c r="J353" i="1" s="1"/>
  <c r="J354" i="1" s="1"/>
  <c r="J335" i="1"/>
  <c r="K85" i="1"/>
  <c r="K95" i="1" s="1"/>
  <c r="K107" i="1" s="1"/>
  <c r="K330" i="1"/>
  <c r="J109" i="1"/>
  <c r="K58" i="1"/>
  <c r="K59" i="1" s="1"/>
  <c r="K331" i="1" l="1"/>
  <c r="K72" i="1"/>
  <c r="K342" i="1"/>
  <c r="K343" i="1"/>
  <c r="K148" i="1"/>
  <c r="K109" i="1" l="1"/>
  <c r="K346" i="1"/>
  <c r="K351" i="1"/>
  <c r="K352" i="1"/>
  <c r="K336" i="1"/>
  <c r="K334" i="1"/>
  <c r="K356" i="1" s="1"/>
  <c r="K335" i="1"/>
  <c r="K353" i="1" l="1"/>
  <c r="K35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Wall Street Prep</author>
  </authors>
  <commentList>
    <comment ref="I51" authorId="0" shapeId="0" xr:uid="{D1208E5C-C909-44F5-91F2-795AF7B374D0}">
      <text>
        <r>
          <rPr>
            <b/>
            <sz val="9"/>
            <color indexed="81"/>
            <rFont val="Tahoma"/>
            <family val="2"/>
          </rPr>
          <t>Wall Street Prep:</t>
        </r>
        <r>
          <rPr>
            <sz val="9"/>
            <color indexed="81"/>
            <rFont val="Tahoma"/>
            <family val="2"/>
          </rPr>
          <t xml:space="preserve">
Implied g = [r -FCF(t)/TV]/(1+FCF(t)/TV)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 Wael</author>
  </authors>
  <commentList>
    <comment ref="C6" authorId="0" shapeId="0" xr:uid="{22C26E4F-9491-4007-8CA3-346963207757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Note 7.1 "avg interest rate on borrowings"</t>
        </r>
      </text>
    </comment>
    <comment ref="C10" authorId="0" shapeId="0" xr:uid="{80123CF2-7060-49DA-81F5-1263CAECCF1A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Saudi sovereign USD/SAR yield 10Y</t>
        </r>
      </text>
    </comment>
    <comment ref="C11" authorId="0" shapeId="0" xr:uid="{6B95AB09-7B91-47F8-B246-AFB96B32D79E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Blume-adjusted</t>
        </r>
      </text>
    </comment>
    <comment ref="C12" authorId="0" shapeId="0" xr:uid="{59E05674-684A-4763-8371-658A97CA9A72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Damodaran Market Risk Premium</t>
        </r>
      </text>
    </comment>
  </commentList>
</comments>
</file>

<file path=xl/sharedStrings.xml><?xml version="1.0" encoding="utf-8"?>
<sst xmlns="http://schemas.openxmlformats.org/spreadsheetml/2006/main" count="431" uniqueCount="326">
  <si>
    <t>Company Name</t>
  </si>
  <si>
    <t>Ticker</t>
  </si>
  <si>
    <t>Last Historical Year</t>
  </si>
  <si>
    <t>ASSETS</t>
  </si>
  <si>
    <t>Current Assets</t>
  </si>
  <si>
    <t>Total Current Assets</t>
  </si>
  <si>
    <t>Non-Current Assets</t>
  </si>
  <si>
    <t>Total Non-Current Assets</t>
  </si>
  <si>
    <t>Total Assets</t>
  </si>
  <si>
    <t>LIABILITIES AND EQUITY</t>
  </si>
  <si>
    <t>Current Liabilities</t>
  </si>
  <si>
    <t>Total Current Liabilities</t>
  </si>
  <si>
    <t>Non-Current Liabilities</t>
  </si>
  <si>
    <t>Total Non-Current Liabilities</t>
  </si>
  <si>
    <t>Total Liabilities</t>
  </si>
  <si>
    <t>Equity</t>
  </si>
  <si>
    <t>Total Equity</t>
  </si>
  <si>
    <t>Total Liabilites &amp; Equity</t>
  </si>
  <si>
    <t>Balance Check</t>
  </si>
  <si>
    <t>Cash Generated from Operations</t>
  </si>
  <si>
    <t>CASH FLOWS FROM INVESTING ACTIVITIES</t>
  </si>
  <si>
    <t>CASH FLOWS FROM FINANCING ACTIVITIES</t>
  </si>
  <si>
    <t>Reconciliation Check vs BS Cash</t>
  </si>
  <si>
    <t>Depreciation &amp; amortization</t>
  </si>
  <si>
    <t>EBITDA</t>
  </si>
  <si>
    <t>Revenue growth</t>
  </si>
  <si>
    <t>Tax rate</t>
  </si>
  <si>
    <t>Growth Rates &amp; Margins</t>
  </si>
  <si>
    <t>Latest Closing Share Price</t>
  </si>
  <si>
    <t>Latest Closing Share Price Date</t>
  </si>
  <si>
    <t>Shares outstanding</t>
  </si>
  <si>
    <t>PROPERTY, PLANT &amp; EQUIPMENT</t>
  </si>
  <si>
    <t>Beginning of period</t>
  </si>
  <si>
    <t>Plus: Capital expenditures</t>
  </si>
  <si>
    <t>Less: Depreciation</t>
  </si>
  <si>
    <t>End of period</t>
  </si>
  <si>
    <t>IMPUTING TOTAL DEPRECIATION &amp; AMORTIZATION</t>
  </si>
  <si>
    <t>D&amp;A not related to PP&amp;E</t>
  </si>
  <si>
    <t>as % of revenue</t>
  </si>
  <si>
    <t xml:space="preserve">Depreciation &amp; Amortization - Total </t>
  </si>
  <si>
    <t>% growth</t>
  </si>
  <si>
    <t>INCOME STATEMENT</t>
  </si>
  <si>
    <t xml:space="preserve">Fiscal year  </t>
  </si>
  <si>
    <t>Fiscal year end date</t>
  </si>
  <si>
    <t>BALANCE SHEET</t>
  </si>
  <si>
    <t>CASH FLOW STATEMENT</t>
  </si>
  <si>
    <t>Discounted Cash Flow Valuation</t>
  </si>
  <si>
    <t>Most recent fiscal year end</t>
  </si>
  <si>
    <t>Discount rate (WACC)</t>
  </si>
  <si>
    <t>Link from WACC</t>
  </si>
  <si>
    <t>End of first fiscal year</t>
  </si>
  <si>
    <t>Share price (Public Co)</t>
  </si>
  <si>
    <t>Most recent quarter end date</t>
  </si>
  <si>
    <t>Share price date</t>
  </si>
  <si>
    <t xml:space="preserve">Valuation date </t>
  </si>
  <si>
    <t>Portion of First Year Cash Flows</t>
  </si>
  <si>
    <t>Unlevered Free Cash Flows</t>
  </si>
  <si>
    <t>LTM</t>
  </si>
  <si>
    <t>Actual</t>
  </si>
  <si>
    <t>Forecasts</t>
  </si>
  <si>
    <t>Fiscal year ended</t>
  </si>
  <si>
    <t>Revenue</t>
  </si>
  <si>
    <t>% margin</t>
  </si>
  <si>
    <t>EBIT</t>
  </si>
  <si>
    <t>Tax on EBIT</t>
  </si>
  <si>
    <t>NOPAT (aka EBIAT)</t>
  </si>
  <si>
    <t>Changes in net working capital</t>
  </si>
  <si>
    <t>Capital expenditures</t>
  </si>
  <si>
    <t>Unlevered free cash flows (UFCF)</t>
  </si>
  <si>
    <t>Net working capital (WC Assets - WC liabilities)</t>
  </si>
  <si>
    <t>Val date</t>
  </si>
  <si>
    <t xml:space="preserve">Yr 1 - Stub </t>
  </si>
  <si>
    <t>Year 2</t>
  </si>
  <si>
    <t>Year 3</t>
  </si>
  <si>
    <t>Year 4</t>
  </si>
  <si>
    <t>Year 5</t>
  </si>
  <si>
    <t>Date for discounting cash flows</t>
  </si>
  <si>
    <t>Unlevered free cash flows (UFCF) stub adjusted</t>
  </si>
  <si>
    <t>Present value of of unlevered free cash flows</t>
  </si>
  <si>
    <t>Terminal value - growth in perpetuity approach</t>
  </si>
  <si>
    <t>Terminal value - EBITDA multiple approach</t>
  </si>
  <si>
    <t>Long term growth rate</t>
  </si>
  <si>
    <t>Terminal year EBITDA</t>
  </si>
  <si>
    <t>EBITDA multiple</t>
  </si>
  <si>
    <t>Present value of terminal value</t>
  </si>
  <si>
    <t>Present value of stage 1 cash flows</t>
  </si>
  <si>
    <t>Total enterprise value (TEV)</t>
  </si>
  <si>
    <t>Enterprise value (stage 1 + 2)</t>
  </si>
  <si>
    <t>Terminal value as % of TEV</t>
  </si>
  <si>
    <t>Stage 1 cash flows as % of TEV</t>
  </si>
  <si>
    <t>Cash flows as % of TEV</t>
  </si>
  <si>
    <t>Implied TV exit EBITDA multiple</t>
  </si>
  <si>
    <t>Implied terminal growth rate</t>
  </si>
  <si>
    <t>Net debt</t>
  </si>
  <si>
    <t>Source doc</t>
  </si>
  <si>
    <t>Source date</t>
  </si>
  <si>
    <t>Date</t>
  </si>
  <si>
    <t>Shares</t>
  </si>
  <si>
    <t>Gross debt and equivalents</t>
  </si>
  <si>
    <t>Basic shares</t>
  </si>
  <si>
    <t>Debt</t>
  </si>
  <si>
    <t>Restricted stock / RSUs</t>
  </si>
  <si>
    <t>Convertible debt</t>
  </si>
  <si>
    <t>Options / warrants</t>
  </si>
  <si>
    <t>Preferred stock</t>
  </si>
  <si>
    <t>Noncontrolling (minority) interests</t>
  </si>
  <si>
    <t>Convertible preferred stock</t>
  </si>
  <si>
    <t>Nonoperating assets</t>
  </si>
  <si>
    <t>Net diluted shares outstanding</t>
  </si>
  <si>
    <t xml:space="preserve">Cash </t>
  </si>
  <si>
    <t xml:space="preserve">Equity investments </t>
  </si>
  <si>
    <t>Valuation</t>
  </si>
  <si>
    <t>Perpetuity</t>
  </si>
  <si>
    <t>Enterprise value</t>
  </si>
  <si>
    <t xml:space="preserve">Equity value </t>
  </si>
  <si>
    <t>Equity value per share</t>
  </si>
  <si>
    <t>Last twelve months (LTM)</t>
  </si>
  <si>
    <t>EV / Revenue</t>
  </si>
  <si>
    <t xml:space="preserve">EV / EBITDA </t>
  </si>
  <si>
    <t>EV / EBIT</t>
  </si>
  <si>
    <t>Year 1</t>
  </si>
  <si>
    <t>Outputs</t>
  </si>
  <si>
    <t>LTM EBITDA multiple</t>
  </si>
  <si>
    <t>Long term growth rate (g):</t>
  </si>
  <si>
    <t>WACC:</t>
  </si>
  <si>
    <t xml:space="preserve">Data </t>
  </si>
  <si>
    <t>Tables</t>
  </si>
  <si>
    <t>Exit EBITDA Multiple</t>
  </si>
  <si>
    <t>Equity value range</t>
  </si>
  <si>
    <t>Football field</t>
  </si>
  <si>
    <t>Low</t>
  </si>
  <si>
    <t>Diff.</t>
  </si>
  <si>
    <t>High</t>
  </si>
  <si>
    <t>52 Week Market High/Low</t>
  </si>
  <si>
    <t>WACC Buildup</t>
  </si>
  <si>
    <t>Cost of capital assumptions</t>
  </si>
  <si>
    <t>Cost of debt</t>
  </si>
  <si>
    <t>Cost of debt (after tax)</t>
  </si>
  <si>
    <t xml:space="preserve">Risk free rate </t>
  </si>
  <si>
    <t xml:space="preserve">Beta </t>
  </si>
  <si>
    <t>Market risk premium</t>
  </si>
  <si>
    <t>Cost of equity</t>
  </si>
  <si>
    <t>Capital weights (capital structure)</t>
  </si>
  <si>
    <t xml:space="preserve">Target </t>
  </si>
  <si>
    <t xml:space="preserve">Current </t>
  </si>
  <si>
    <t>(override)</t>
  </si>
  <si>
    <t>% of total</t>
  </si>
  <si>
    <t>Cost of capital (WACC)</t>
  </si>
  <si>
    <t>CapEx % of revenue</t>
  </si>
  <si>
    <t>EBITDA margin %</t>
  </si>
  <si>
    <t>Implied Share Price</t>
  </si>
  <si>
    <t>Upside / (Downside)</t>
  </si>
  <si>
    <t>Finance costs</t>
  </si>
  <si>
    <t>Changes in Working Capital</t>
  </si>
  <si>
    <t>Net change in cash and cash equivalents</t>
  </si>
  <si>
    <t>Cash and cash equivalents at 1 January</t>
  </si>
  <si>
    <t>Cash and cash equivalents at 31 December</t>
  </si>
  <si>
    <t>WORKING CAPITAL SCHEDULE</t>
  </si>
  <si>
    <t>Operating Working Capital Assets</t>
  </si>
  <si>
    <t>Total Operating WC Assets</t>
  </si>
  <si>
    <t>Net Working Capital</t>
  </si>
  <si>
    <t>NWC as % of revenue</t>
  </si>
  <si>
    <t>Change in NWC (− = cash used)</t>
  </si>
  <si>
    <t>Operating Working Capital Liabilities</t>
  </si>
  <si>
    <t>Total Operating WC Liabilities</t>
  </si>
  <si>
    <t>DEBT &amp; INTEREST SCHEDULE</t>
  </si>
  <si>
    <t>Average debt</t>
  </si>
  <si>
    <t>Effective interest rate</t>
  </si>
  <si>
    <t>EQUITY &amp; NCI ROLL-FORWARD</t>
  </si>
  <si>
    <t>Retained Earnings</t>
  </si>
  <si>
    <t>Plus: Net income to parent</t>
  </si>
  <si>
    <t>Less: Dividends &amp; distributions</t>
  </si>
  <si>
    <t>Other (FX-to-RE, reserve transfer)</t>
  </si>
  <si>
    <t>End of period (= BS)</t>
  </si>
  <si>
    <t>Non-controlling Interests</t>
  </si>
  <si>
    <t>Plus: NCI share of net income</t>
  </si>
  <si>
    <t>NCI dividends &amp; acquisitions (net)</t>
  </si>
  <si>
    <t>NCI % of total net income</t>
  </si>
  <si>
    <t>Debt securities (optional cash asset)</t>
  </si>
  <si>
    <t>Operating cash flow before working capital</t>
  </si>
  <si>
    <t>Proceeds (repayments) of loans &amp; facilities</t>
  </si>
  <si>
    <t>Dividends paid to parent shareholders</t>
  </si>
  <si>
    <t>Net cash flow from financing activities</t>
  </si>
  <si>
    <t>Net cash flows used in investing activities</t>
  </si>
  <si>
    <t>Net cash flows from operating activities</t>
  </si>
  <si>
    <t>PP&amp;E depreciation as % of revenue</t>
  </si>
  <si>
    <t>Net change in working capital</t>
  </si>
  <si>
    <t>Consolidated FS 2025</t>
  </si>
  <si>
    <t>12/31/2025</t>
  </si>
  <si>
    <t>Gross Margin % of Revenue</t>
  </si>
  <si>
    <t>Check vs IS (row 16)</t>
  </si>
  <si>
    <t>Depreciation of PP&amp;E</t>
  </si>
  <si>
    <t>Non-PP&amp;E D&amp;A (ROU/intang./inv. prop.)</t>
  </si>
  <si>
    <t>CapEx</t>
  </si>
  <si>
    <t>Non-PP&amp;E asset reinvestment</t>
  </si>
  <si>
    <t>Net income</t>
  </si>
  <si>
    <t>Midyear adjustment?</t>
  </si>
  <si>
    <t>Cost of Sales</t>
  </si>
  <si>
    <t>Gross Profit</t>
  </si>
  <si>
    <t>Operating Profit</t>
  </si>
  <si>
    <t>Deferred Tax Assets</t>
  </si>
  <si>
    <t>Income Tax Payable</t>
  </si>
  <si>
    <t>WC DRIVERS (DAYS)</t>
  </si>
  <si>
    <t>DIO (days, off COGS)</t>
  </si>
  <si>
    <t>DSO (days, off revenue)</t>
  </si>
  <si>
    <t>DPO (days, off COGS)</t>
  </si>
  <si>
    <t>Plus: Additions</t>
  </si>
  <si>
    <t>Less: Amortization</t>
  </si>
  <si>
    <t>Additions % revenue</t>
  </si>
  <si>
    <t>Amortization % revenue</t>
  </si>
  <si>
    <t>LEASE SCHEDULE</t>
  </si>
  <si>
    <t>ROU — Beginning</t>
  </si>
  <si>
    <t>Plus: New leases</t>
  </si>
  <si>
    <t>Less: ROU depreciation</t>
  </si>
  <si>
    <t>ROU — End</t>
  </si>
  <si>
    <t>Lease liab — Beginning</t>
  </si>
  <si>
    <t>Lease liab — End</t>
  </si>
  <si>
    <t>ST share of liability</t>
  </si>
  <si>
    <t>New leases % revenue</t>
  </si>
  <si>
    <t>ROU dep % revenue</t>
  </si>
  <si>
    <t>Revolver draw / (paydown)</t>
  </si>
  <si>
    <t>Lease principal payments</t>
  </si>
  <si>
    <t>Almarai Company</t>
  </si>
  <si>
    <t>2280.SR</t>
  </si>
  <si>
    <t>Selling and Distribution Expenses</t>
  </si>
  <si>
    <t>General and Administration Expenses</t>
  </si>
  <si>
    <t>Other Expenses, net</t>
  </si>
  <si>
    <t>Impairment Loss on Financial Assets</t>
  </si>
  <si>
    <t>Finance Cost, net</t>
  </si>
  <si>
    <t>Share of Results of Associate</t>
  </si>
  <si>
    <t>Profit before Zakat and Income Tax</t>
  </si>
  <si>
    <t>Profit for the year</t>
  </si>
  <si>
    <t>Attributable to Shareholders</t>
  </si>
  <si>
    <t>Attributable to Non-Controlling Interests</t>
  </si>
  <si>
    <t>Basic EPS (SAR)</t>
  </si>
  <si>
    <t>Selling and Distribution Expenses %</t>
  </si>
  <si>
    <t>General and Administration Expenses % of Revenue</t>
  </si>
  <si>
    <t>Other Expenses, net %</t>
  </si>
  <si>
    <t>Impairment Loss on Financial Assets %</t>
  </si>
  <si>
    <t>All amounts are shown in Saudi riyal, except per-share data, ratios, and shares outstanding</t>
  </si>
  <si>
    <t>Property, Plant and Equipment</t>
  </si>
  <si>
    <t>Long-Term Prepayments</t>
  </si>
  <si>
    <t>Right-of-Use Assets</t>
  </si>
  <si>
    <t>Intangible Assets and Goodwill</t>
  </si>
  <si>
    <t>Biological Assets</t>
  </si>
  <si>
    <t>Investments</t>
  </si>
  <si>
    <t>Derivative Financial Instruments</t>
  </si>
  <si>
    <t>Inventories</t>
  </si>
  <si>
    <t>Trade Receivables, Prepayments and Other Receivables</t>
  </si>
  <si>
    <t>Time Deposit</t>
  </si>
  <si>
    <t>Cash and Cash Equivalents</t>
  </si>
  <si>
    <t>Share Capital</t>
  </si>
  <si>
    <t>Statutory Reserve</t>
  </si>
  <si>
    <t>Treasury Shares</t>
  </si>
  <si>
    <t>Other Reserves</t>
  </si>
  <si>
    <t>Equity Attributable to Equity Holders of the Company</t>
  </si>
  <si>
    <t>Non-Controlling Interest</t>
  </si>
  <si>
    <t>Loans and Borrowings</t>
  </si>
  <si>
    <t>Lease Liabilities</t>
  </si>
  <si>
    <t>Employee Retirement Benefits</t>
  </si>
  <si>
    <t>Deferred Tax Liabilities</t>
  </si>
  <si>
    <t>Bank Overdrafts</t>
  </si>
  <si>
    <t>Zakat Payable</t>
  </si>
  <si>
    <t>Trade and Other Payables</t>
  </si>
  <si>
    <t>-</t>
  </si>
  <si>
    <t>Dairy and Juice</t>
  </si>
  <si>
    <t>Bakery</t>
  </si>
  <si>
    <t>Poultry</t>
  </si>
  <si>
    <t>Other Activities</t>
  </si>
  <si>
    <t>Total</t>
  </si>
  <si>
    <t>REVENUE BUILD BY SEGMENT (SAR '000)</t>
  </si>
  <si>
    <t>Total Debt (Excluding Leases)</t>
  </si>
  <si>
    <t>INTANGIBLE ASSETS &amp; GOODWILL ROLL-FORWARD</t>
  </si>
  <si>
    <t>LONG-TERM PREPAYMENTS</t>
  </si>
  <si>
    <t>BIOLOGICAL ASSETS</t>
  </si>
  <si>
    <t>Employee Retirement Benefits Schedule</t>
  </si>
  <si>
    <t>Less: Disposals (net)</t>
  </si>
  <si>
    <t>Current Bio Assets</t>
  </si>
  <si>
    <t>Non-Current Bio Assets</t>
  </si>
  <si>
    <t>Depreciation % revenue</t>
  </si>
  <si>
    <t>Disposals % revenue</t>
  </si>
  <si>
    <t>Current Bio Assets %</t>
  </si>
  <si>
    <t>Non-Current Bio Assets %</t>
  </si>
  <si>
    <t>Current Loans</t>
  </si>
  <si>
    <t>Non-current Loans</t>
  </si>
  <si>
    <t>Rate</t>
  </si>
  <si>
    <t>Provision</t>
  </si>
  <si>
    <t>Benefits paid</t>
  </si>
  <si>
    <t>Provision % of BOP</t>
  </si>
  <si>
    <t>Benefits paid % of BOP</t>
  </si>
  <si>
    <t>Dividend payout ratio % of Net Income to Parent</t>
  </si>
  <si>
    <t>Net draw / (repayment)</t>
  </si>
  <si>
    <t>Biological asset additions</t>
  </si>
  <si>
    <t>Biological asset disposal proceeds</t>
  </si>
  <si>
    <t>ERB provision (non-cash add-back)</t>
  </si>
  <si>
    <t>ERB benefits paid (cash)</t>
  </si>
  <si>
    <t>LT prepayment additions</t>
  </si>
  <si>
    <t>Revolver</t>
  </si>
  <si>
    <t>Cash before revolver</t>
  </si>
  <si>
    <t>Revolver EOP</t>
  </si>
  <si>
    <t>Cash of Revenue %</t>
  </si>
  <si>
    <t>Minimum cash (% revenue)</t>
  </si>
  <si>
    <t>Zakat &amp; Income Tax</t>
  </si>
  <si>
    <t>Diluted EPS (SAR)</t>
  </si>
  <si>
    <t>Financial Ratios</t>
  </si>
  <si>
    <t>Net Debt</t>
  </si>
  <si>
    <t>Net Debt / EBITDA</t>
  </si>
  <si>
    <t>Gross Leverage (Total Debt / Total Assets)</t>
  </si>
  <si>
    <t>Net Debt / Equity</t>
  </si>
  <si>
    <t>Current Ratio</t>
  </si>
  <si>
    <t>Quick Ratio</t>
  </si>
  <si>
    <t>Strong / Adequate / Elevated</t>
  </si>
  <si>
    <t>Total Debt</t>
  </si>
  <si>
    <t>Interest Coverage Ratio EBT / Finance Cost</t>
  </si>
  <si>
    <t>Returns &amp; Profitability</t>
  </si>
  <si>
    <t>Return on Assets (ROA)</t>
  </si>
  <si>
    <t>Return on Equity (ROE)</t>
  </si>
  <si>
    <t>DuPont</t>
  </si>
  <si>
    <t>Net profit margin</t>
  </si>
  <si>
    <t>Asset turnover</t>
  </si>
  <si>
    <t>Equity multiplier (leverage)</t>
  </si>
  <si>
    <t>ROE (DuPont)</t>
  </si>
  <si>
    <t>Check: DuPont = direct ROE</t>
  </si>
  <si>
    <t>Leverage Ratios</t>
  </si>
  <si>
    <t>Coverage Ratios</t>
  </si>
  <si>
    <t>Liquidity Ratios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</si>
</sst>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164" formatCode="&quot;$&quot;#,##0.00_);\(&quot;$&quot;#,##0.00\)"/>
    <numFmt numFmtId="165" formatCode="_(* #,##0_);_(* \(#,##0\);_(* &quot;-&quot;_);_(@_)"/>
    <numFmt numFmtId="166" formatCode="&quot;FY&quot;yy"/>
    <numFmt numFmtId="167" formatCode="0.0%"/>
    <numFmt numFmtId="168" formatCode="_(* #,##0.00_);_(* \(#,##0.00\);_(* \-??_);_(@_)"/>
    <numFmt numFmtId="169" formatCode="_(* #,##0_);_(* \(#,##0\);_(* \-??_);_(@_)"/>
    <numFmt numFmtId="170" formatCode="_(* #,##0_);_(* \(#,##0\);_(* \-_);_(@_)"/>
    <numFmt numFmtId="171" formatCode="_(* #,##0_);_(* \(#,##0\);_(* &quot;-&quot;??_);_(@_)"/>
    <numFmt numFmtId="172" formatCode="#,##0.000_);\(#,##0.000\)"/>
    <numFmt numFmtId="173" formatCode="m/d/yy;@"/>
    <numFmt numFmtId="174" formatCode="0\A;[Red]0\A"/>
    <numFmt numFmtId="175" formatCode="0\P_);\(0\P\)"/>
    <numFmt numFmtId="176" formatCode="0.0%_);\(0.0%\);@_)"/>
    <numFmt numFmtId="177" formatCode="_(#,##0.0%_);\(#,##0.0%\);_(&quot;–&quot;_)_%;_(@_)_%"/>
    <numFmt numFmtId="178" formatCode="0000\A"/>
    <numFmt numFmtId="179" formatCode="0000\P"/>
    <numFmt numFmtId="180" formatCode="#,##0_);\(#,##0\);@_)"/>
    <numFmt numFmtId="181" formatCode="0.0\x_);\(0.0\x\);@_)"/>
    <numFmt numFmtId="182" formatCode="0.000%_);\(0.000%\);@_)"/>
    <numFmt numFmtId="183" formatCode="#,##0.000_);\(#,##0.000\);@_)"/>
    <numFmt numFmtId="184" formatCode="_([$$]#,##0_)_%;\([$$]#,##0\)_%;_(&quot;–&quot;_)_%;_(@_)_%"/>
    <numFmt numFmtId="185" formatCode="&quot;$&quot;#,##0.00_);\(&quot;$&quot;#,##0.00\);@_)"/>
    <numFmt numFmtId="186" formatCode="_(0.0\x_)_';_(\(0.0\x\)_';_(&quot;–&quot;_)_%;_(@_)_%"/>
    <numFmt numFmtId="187" formatCode="_(0.0_)_'_x;_(\(0.0\)_';_(&quot;–&quot;_)_%;_(@_)_%"/>
    <numFmt numFmtId="188" formatCode="#,##0.00_);\(#,##0.00\);\-_);@_)"/>
    <numFmt numFmtId="189" formatCode="#,##0.0_);\(#,##0.0\);\-_);@_)"/>
    <numFmt numFmtId="190" formatCode="_(#,##0.00%_);\(#,##0.00%\);_(&quot;–&quot;_)_%;_(@_)_%"/>
    <numFmt numFmtId="191" formatCode="_(* #,##0.0_);_(* \(#,##0.0\);_(* \-??_);_(@_)"/>
    <numFmt numFmtId="192" formatCode="d/m/yy;@"/>
    <numFmt numFmtId="193" formatCode="[$-409]mmmmm/yy;@"/>
    <numFmt numFmtId="194" formatCode="&quot;SAR&quot;\ #,##0.00"/>
    <numFmt numFmtId="195" formatCode="0.00\x_);\(0.00\x\);@_)"/>
  </numFmts>
  <fonts count="41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Calibri"/>
      <family val="2"/>
      <scheme val="minor"/>
    </font>
    <font>
      <sz val="10"/>
      <name val="Times New Roman"/>
      <family val="1"/>
    </font>
    <font>
      <sz val="11"/>
      <color rgb="FF008000"/>
      <name val="Calibri"/>
      <family val="2"/>
      <scheme val="minor"/>
    </font>
    <font>
      <u/>
      <sz val="11"/>
      <color theme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</font>
    <font>
      <sz val="11"/>
      <color theme="4" tint="-0.249977111117893"/>
      <name val="Calibri"/>
      <family val="2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FF"/>
      <name val="Calibri"/>
      <family val="2"/>
      <charset val="1"/>
    </font>
    <font>
      <sz val="11"/>
      <color theme="4" tint="-0.249977111117893"/>
      <name val="Calibri"/>
      <family val="2"/>
      <scheme val="minor"/>
    </font>
    <font>
      <sz val="10"/>
      <name val="Arial"/>
      <family val="2"/>
    </font>
    <font>
      <b/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2F2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168" fontId="5" fillId="0" borderId="0"/>
    <xf numFmtId="9" fontId="5" fillId="0" borderId="0"/>
    <xf numFmtId="0" fontId="4" fillId="0" borderId="0"/>
    <xf numFmtId="37" fontId="23" fillId="0" borderId="0"/>
    <xf numFmtId="0" fontId="25" fillId="0" borderId="0" applyNumberFormat="0" applyFill="0" applyBorder="0" applyAlignment="0" applyProtection="0"/>
    <xf numFmtId="193" fontId="39" fillId="0" borderId="0"/>
  </cellStyleXfs>
  <cellXfs count="273">
    <xf numFmtId="0" fontId="0" fillId="0" borderId="0" xfId="0"/>
    <xf numFmtId="167" fontId="5" fillId="0" borderId="0" xfId="2" applyNumberFormat="1"/>
    <xf numFmtId="0" fontId="6" fillId="0" borderId="4" xfId="0" applyFont="1" applyBorder="1"/>
    <xf numFmtId="0" fontId="7" fillId="0" borderId="0" xfId="0" applyFont="1"/>
    <xf numFmtId="0" fontId="8" fillId="0" borderId="0" xfId="0" applyFont="1" applyAlignment="1">
      <alignment horizontal="center"/>
    </xf>
    <xf numFmtId="14" fontId="8" fillId="0" borderId="0" xfId="0" applyNumberFormat="1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9" fillId="0" borderId="4" xfId="0" applyFont="1" applyBorder="1"/>
    <xf numFmtId="0" fontId="9" fillId="0" borderId="5" xfId="0" applyFont="1" applyBorder="1"/>
    <xf numFmtId="170" fontId="13" fillId="0" borderId="0" xfId="1" applyNumberFormat="1" applyFont="1"/>
    <xf numFmtId="0" fontId="14" fillId="0" borderId="1" xfId="0" applyFont="1" applyBorder="1"/>
    <xf numFmtId="169" fontId="14" fillId="0" borderId="1" xfId="1" applyNumberFormat="1" applyFont="1" applyBorder="1"/>
    <xf numFmtId="0" fontId="14" fillId="0" borderId="0" xfId="0" applyFont="1"/>
    <xf numFmtId="169" fontId="14" fillId="0" borderId="0" xfId="1" applyNumberFormat="1" applyFont="1"/>
    <xf numFmtId="167" fontId="10" fillId="0" borderId="0" xfId="2" applyNumberFormat="1" applyFont="1"/>
    <xf numFmtId="0" fontId="14" fillId="0" borderId="3" xfId="0" applyFont="1" applyBorder="1"/>
    <xf numFmtId="0" fontId="9" fillId="0" borderId="0" xfId="0" applyFont="1" applyAlignment="1">
      <alignment horizontal="left" indent="1"/>
    </xf>
    <xf numFmtId="169" fontId="9" fillId="0" borderId="0" xfId="0" applyNumberFormat="1" applyFont="1"/>
    <xf numFmtId="169" fontId="9" fillId="0" borderId="0" xfId="1" applyNumberFormat="1" applyFont="1"/>
    <xf numFmtId="0" fontId="16" fillId="0" borderId="2" xfId="0" applyFont="1" applyBorder="1"/>
    <xf numFmtId="169" fontId="14" fillId="0" borderId="2" xfId="1" applyNumberFormat="1" applyFont="1" applyBorder="1"/>
    <xf numFmtId="167" fontId="9" fillId="0" borderId="0" xfId="2" applyNumberFormat="1" applyFont="1"/>
    <xf numFmtId="167" fontId="13" fillId="0" borderId="0" xfId="0" applyNumberFormat="1" applyFont="1"/>
    <xf numFmtId="1" fontId="9" fillId="0" borderId="0" xfId="2" applyNumberFormat="1" applyFont="1"/>
    <xf numFmtId="0" fontId="12" fillId="0" borderId="0" xfId="0" applyFont="1" applyAlignment="1">
      <alignment horizontal="left" indent="1"/>
    </xf>
    <xf numFmtId="169" fontId="14" fillId="0" borderId="0" xfId="0" applyNumberFormat="1" applyFont="1"/>
    <xf numFmtId="0" fontId="14" fillId="0" borderId="1" xfId="0" applyFont="1" applyBorder="1" applyAlignment="1">
      <alignment horizontal="left"/>
    </xf>
    <xf numFmtId="0" fontId="18" fillId="0" borderId="0" xfId="0" applyFont="1" applyAlignment="1">
      <alignment horizontal="center" vertical="center"/>
    </xf>
    <xf numFmtId="170" fontId="9" fillId="0" borderId="0" xfId="0" applyNumberFormat="1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indent="2"/>
    </xf>
    <xf numFmtId="170" fontId="15" fillId="0" borderId="3" xfId="1" applyNumberFormat="1" applyFont="1" applyBorder="1"/>
    <xf numFmtId="0" fontId="19" fillId="0" borderId="0" xfId="0" applyFont="1"/>
    <xf numFmtId="0" fontId="11" fillId="0" borderId="0" xfId="0" applyFont="1"/>
    <xf numFmtId="0" fontId="19" fillId="0" borderId="0" xfId="0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0" fontId="12" fillId="0" borderId="0" xfId="0" applyFont="1"/>
    <xf numFmtId="170" fontId="12" fillId="0" borderId="0" xfId="0" applyNumberFormat="1" applyFont="1" applyAlignment="1">
      <alignment horizontal="center" vertical="center"/>
    </xf>
    <xf numFmtId="10" fontId="9" fillId="0" borderId="0" xfId="2" applyNumberFormat="1" applyFont="1"/>
    <xf numFmtId="0" fontId="14" fillId="0" borderId="3" xfId="0" applyFont="1" applyBorder="1" applyAlignment="1">
      <alignment horizontal="left"/>
    </xf>
    <xf numFmtId="0" fontId="6" fillId="0" borderId="6" xfId="0" applyFont="1" applyBorder="1"/>
    <xf numFmtId="0" fontId="0" fillId="0" borderId="6" xfId="0" applyBorder="1"/>
    <xf numFmtId="174" fontId="6" fillId="0" borderId="0" xfId="0" applyNumberFormat="1" applyFont="1"/>
    <xf numFmtId="175" fontId="6" fillId="0" borderId="0" xfId="0" applyNumberFormat="1" applyFont="1"/>
    <xf numFmtId="0" fontId="20" fillId="0" borderId="6" xfId="0" applyFont="1" applyBorder="1"/>
    <xf numFmtId="173" fontId="20" fillId="0" borderId="2" xfId="0" applyNumberFormat="1" applyFont="1" applyBorder="1"/>
    <xf numFmtId="0" fontId="15" fillId="0" borderId="0" xfId="0" applyFont="1"/>
    <xf numFmtId="173" fontId="20" fillId="0" borderId="6" xfId="0" applyNumberFormat="1" applyFont="1" applyBorder="1"/>
    <xf numFmtId="0" fontId="21" fillId="0" borderId="0" xfId="0" applyFont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0" fontId="0" fillId="0" borderId="3" xfId="0" applyBorder="1"/>
    <xf numFmtId="174" fontId="6" fillId="0" borderId="3" xfId="0" applyNumberFormat="1" applyFont="1" applyBorder="1"/>
    <xf numFmtId="175" fontId="6" fillId="0" borderId="3" xfId="0" applyNumberFormat="1" applyFont="1" applyBorder="1"/>
    <xf numFmtId="0" fontId="4" fillId="0" borderId="0" xfId="3"/>
    <xf numFmtId="0" fontId="6" fillId="0" borderId="4" xfId="3" applyFont="1" applyBorder="1"/>
    <xf numFmtId="0" fontId="4" fillId="0" borderId="4" xfId="3" applyBorder="1"/>
    <xf numFmtId="0" fontId="22" fillId="0" borderId="5" xfId="3" applyFont="1" applyBorder="1"/>
    <xf numFmtId="14" fontId="8" fillId="0" borderId="0" xfId="4" applyNumberFormat="1" applyFont="1" applyAlignment="1">
      <alignment horizontal="right"/>
    </xf>
    <xf numFmtId="176" fontId="24" fillId="0" borderId="0" xfId="3" applyNumberFormat="1" applyFont="1"/>
    <xf numFmtId="14" fontId="7" fillId="0" borderId="0" xfId="4" applyNumberFormat="1" applyFont="1" applyAlignment="1">
      <alignment horizontal="right"/>
    </xf>
    <xf numFmtId="14" fontId="8" fillId="0" borderId="0" xfId="3" applyNumberFormat="1" applyFont="1" applyAlignment="1">
      <alignment horizontal="right"/>
    </xf>
    <xf numFmtId="0" fontId="25" fillId="0" borderId="0" xfId="5" applyBorder="1"/>
    <xf numFmtId="177" fontId="7" fillId="0" borderId="0" xfId="3" applyNumberFormat="1" applyFont="1"/>
    <xf numFmtId="164" fontId="24" fillId="0" borderId="0" xfId="3" applyNumberFormat="1" applyFont="1" applyAlignment="1">
      <alignment horizontal="right"/>
    </xf>
    <xf numFmtId="0" fontId="6" fillId="0" borderId="7" xfId="3" applyFont="1" applyBorder="1"/>
    <xf numFmtId="0" fontId="4" fillId="0" borderId="7" xfId="3" applyBorder="1"/>
    <xf numFmtId="164" fontId="24" fillId="0" borderId="7" xfId="3" applyNumberFormat="1" applyFont="1" applyBorder="1" applyAlignment="1">
      <alignment horizontal="right"/>
    </xf>
    <xf numFmtId="0" fontId="26" fillId="0" borderId="0" xfId="3" applyFont="1" applyAlignment="1">
      <alignment horizontal="centerContinuous"/>
    </xf>
    <xf numFmtId="0" fontId="27" fillId="0" borderId="8" xfId="3" applyFont="1" applyBorder="1" applyAlignment="1">
      <alignment horizontal="centerContinuous"/>
    </xf>
    <xf numFmtId="0" fontId="20" fillId="0" borderId="0" xfId="3" applyFont="1"/>
    <xf numFmtId="14" fontId="4" fillId="0" borderId="0" xfId="3" applyNumberFormat="1" applyAlignment="1">
      <alignment horizontal="center"/>
    </xf>
    <xf numFmtId="180" fontId="7" fillId="0" borderId="0" xfId="3" applyNumberFormat="1" applyFont="1"/>
    <xf numFmtId="180" fontId="24" fillId="0" borderId="0" xfId="3" applyNumberFormat="1" applyFont="1"/>
    <xf numFmtId="0" fontId="4" fillId="0" borderId="0" xfId="3" applyAlignment="1">
      <alignment horizontal="left" indent="1"/>
    </xf>
    <xf numFmtId="0" fontId="6" fillId="0" borderId="0" xfId="3" applyFont="1"/>
    <xf numFmtId="180" fontId="28" fillId="0" borderId="0" xfId="3" applyNumberFormat="1" applyFont="1"/>
    <xf numFmtId="180" fontId="4" fillId="0" borderId="0" xfId="3" applyNumberFormat="1"/>
    <xf numFmtId="37" fontId="7" fillId="0" borderId="0" xfId="3" applyNumberFormat="1" applyFont="1"/>
    <xf numFmtId="180" fontId="24" fillId="0" borderId="7" xfId="3" applyNumberFormat="1" applyFont="1" applyBorder="1"/>
    <xf numFmtId="180" fontId="27" fillId="0" borderId="7" xfId="3" applyNumberFormat="1" applyFont="1" applyBorder="1" applyAlignment="1">
      <alignment horizontal="center"/>
    </xf>
    <xf numFmtId="180" fontId="27" fillId="0" borderId="0" xfId="3" applyNumberFormat="1" applyFont="1"/>
    <xf numFmtId="14" fontId="4" fillId="0" borderId="0" xfId="3" applyNumberFormat="1"/>
    <xf numFmtId="177" fontId="4" fillId="0" borderId="0" xfId="3" applyNumberFormat="1" applyAlignment="1">
      <alignment horizontal="center"/>
    </xf>
    <xf numFmtId="180" fontId="7" fillId="0" borderId="7" xfId="3" applyNumberFormat="1" applyFont="1" applyBorder="1"/>
    <xf numFmtId="0" fontId="28" fillId="0" borderId="0" xfId="3" applyFont="1"/>
    <xf numFmtId="177" fontId="8" fillId="0" borderId="0" xfId="3" applyNumberFormat="1" applyFont="1"/>
    <xf numFmtId="179" fontId="4" fillId="0" borderId="0" xfId="3" applyNumberFormat="1"/>
    <xf numFmtId="181" fontId="8" fillId="0" borderId="0" xfId="3" applyNumberFormat="1" applyFont="1"/>
    <xf numFmtId="180" fontId="6" fillId="0" borderId="0" xfId="3" applyNumberFormat="1" applyFont="1"/>
    <xf numFmtId="0" fontId="20" fillId="0" borderId="0" xfId="3" applyFont="1" applyAlignment="1">
      <alignment horizontal="left"/>
    </xf>
    <xf numFmtId="177" fontId="20" fillId="0" borderId="0" xfId="3" applyNumberFormat="1" applyFont="1"/>
    <xf numFmtId="182" fontId="20" fillId="0" borderId="0" xfId="3" applyNumberFormat="1" applyFont="1"/>
    <xf numFmtId="177" fontId="4" fillId="0" borderId="0" xfId="3" applyNumberFormat="1"/>
    <xf numFmtId="181" fontId="20" fillId="0" borderId="0" xfId="3" applyNumberFormat="1" applyFont="1"/>
    <xf numFmtId="176" fontId="4" fillId="0" borderId="0" xfId="3" quotePrefix="1" applyNumberFormat="1"/>
    <xf numFmtId="0" fontId="4" fillId="0" borderId="0" xfId="3" applyAlignment="1">
      <alignment horizontal="left"/>
    </xf>
    <xf numFmtId="0" fontId="29" fillId="0" borderId="0" xfId="3" applyFont="1"/>
    <xf numFmtId="0" fontId="29" fillId="0" borderId="0" xfId="3" applyFont="1" applyAlignment="1">
      <alignment horizontal="right"/>
    </xf>
    <xf numFmtId="0" fontId="29" fillId="0" borderId="0" xfId="3" applyFont="1" applyAlignment="1">
      <alignment horizontal="left" vertical="center"/>
    </xf>
    <xf numFmtId="14" fontId="7" fillId="0" borderId="0" xfId="3" applyNumberFormat="1" applyFont="1"/>
    <xf numFmtId="183" fontId="8" fillId="0" borderId="0" xfId="3" applyNumberFormat="1" applyFont="1"/>
    <xf numFmtId="172" fontId="8" fillId="0" borderId="0" xfId="3" applyNumberFormat="1" applyFont="1"/>
    <xf numFmtId="37" fontId="24" fillId="0" borderId="0" xfId="3" applyNumberFormat="1" applyFont="1"/>
    <xf numFmtId="172" fontId="24" fillId="0" borderId="0" xfId="3" applyNumberFormat="1" applyFont="1" applyAlignment="1">
      <alignment horizontal="right"/>
    </xf>
    <xf numFmtId="0" fontId="7" fillId="0" borderId="0" xfId="3" applyFont="1" applyAlignment="1">
      <alignment horizontal="left" indent="1"/>
    </xf>
    <xf numFmtId="0" fontId="6" fillId="0" borderId="0" xfId="3" applyFont="1" applyAlignment="1">
      <alignment horizontal="left"/>
    </xf>
    <xf numFmtId="184" fontId="8" fillId="0" borderId="0" xfId="3" applyNumberFormat="1" applyFont="1"/>
    <xf numFmtId="0" fontId="4" fillId="0" borderId="0" xfId="3" applyAlignment="1">
      <alignment horizontal="left" vertical="center" indent="1"/>
    </xf>
    <xf numFmtId="172" fontId="4" fillId="0" borderId="0" xfId="3" applyNumberFormat="1"/>
    <xf numFmtId="183" fontId="30" fillId="0" borderId="0" xfId="3" applyNumberFormat="1" applyFont="1"/>
    <xf numFmtId="0" fontId="6" fillId="0" borderId="0" xfId="3" applyFont="1" applyAlignment="1">
      <alignment vertical="center"/>
    </xf>
    <xf numFmtId="0" fontId="26" fillId="0" borderId="0" xfId="3" applyFont="1" applyAlignment="1">
      <alignment horizontal="right"/>
    </xf>
    <xf numFmtId="180" fontId="4" fillId="0" borderId="0" xfId="3" applyNumberFormat="1" applyAlignment="1">
      <alignment horizontal="right"/>
    </xf>
    <xf numFmtId="37" fontId="20" fillId="0" borderId="7" xfId="3" applyNumberFormat="1" applyFont="1" applyBorder="1" applyAlignment="1">
      <alignment horizontal="right"/>
    </xf>
    <xf numFmtId="37" fontId="4" fillId="0" borderId="0" xfId="3" applyNumberFormat="1" applyAlignment="1">
      <alignment horizontal="right"/>
    </xf>
    <xf numFmtId="187" fontId="4" fillId="0" borderId="0" xfId="3" applyNumberFormat="1" applyAlignment="1">
      <alignment horizontal="right"/>
    </xf>
    <xf numFmtId="0" fontId="7" fillId="2" borderId="0" xfId="3" applyFont="1" applyFill="1"/>
    <xf numFmtId="0" fontId="31" fillId="0" borderId="0" xfId="3" applyFont="1" applyAlignment="1">
      <alignment horizontal="centerContinuous"/>
    </xf>
    <xf numFmtId="0" fontId="26" fillId="0" borderId="9" xfId="3" applyFont="1" applyBorder="1" applyAlignment="1">
      <alignment horizontal="centerContinuous"/>
    </xf>
    <xf numFmtId="0" fontId="4" fillId="0" borderId="0" xfId="3" applyAlignment="1">
      <alignment horizontal="centerContinuous"/>
    </xf>
    <xf numFmtId="0" fontId="4" fillId="0" borderId="9" xfId="3" applyBorder="1" applyAlignment="1">
      <alignment horizontal="centerContinuous"/>
    </xf>
    <xf numFmtId="0" fontId="4" fillId="0" borderId="0" xfId="3" applyAlignment="1">
      <alignment horizontal="right"/>
    </xf>
    <xf numFmtId="167" fontId="8" fillId="3" borderId="11" xfId="3" applyNumberFormat="1" applyFont="1" applyFill="1" applyBorder="1"/>
    <xf numFmtId="181" fontId="4" fillId="0" borderId="12" xfId="3" applyNumberFormat="1" applyBorder="1" applyAlignment="1">
      <alignment horizontal="right"/>
    </xf>
    <xf numFmtId="188" fontId="4" fillId="0" borderId="0" xfId="3" applyNumberFormat="1"/>
    <xf numFmtId="188" fontId="4" fillId="0" borderId="9" xfId="3" applyNumberFormat="1" applyBorder="1"/>
    <xf numFmtId="181" fontId="4" fillId="0" borderId="0" xfId="3" applyNumberFormat="1" applyAlignment="1">
      <alignment horizontal="right"/>
    </xf>
    <xf numFmtId="167" fontId="8" fillId="3" borderId="14" xfId="3" applyNumberFormat="1" applyFont="1" applyFill="1" applyBorder="1" applyAlignment="1">
      <alignment horizontal="right"/>
    </xf>
    <xf numFmtId="0" fontId="28" fillId="2" borderId="0" xfId="3" applyFont="1" applyFill="1" applyAlignment="1">
      <alignment horizontal="center"/>
    </xf>
    <xf numFmtId="189" fontId="4" fillId="0" borderId="0" xfId="3" applyNumberFormat="1"/>
    <xf numFmtId="181" fontId="8" fillId="3" borderId="11" xfId="3" applyNumberFormat="1" applyFont="1" applyFill="1" applyBorder="1"/>
    <xf numFmtId="0" fontId="4" fillId="0" borderId="9" xfId="3" applyBorder="1"/>
    <xf numFmtId="0" fontId="6" fillId="4" borderId="0" xfId="3" applyFont="1" applyFill="1"/>
    <xf numFmtId="0" fontId="6" fillId="4" borderId="9" xfId="3" applyFont="1" applyFill="1" applyBorder="1"/>
    <xf numFmtId="190" fontId="4" fillId="0" borderId="0" xfId="3" applyNumberFormat="1"/>
    <xf numFmtId="0" fontId="4" fillId="0" borderId="10" xfId="3" applyBorder="1"/>
    <xf numFmtId="0" fontId="4" fillId="0" borderId="11" xfId="3" applyBorder="1" applyAlignment="1">
      <alignment horizontal="right"/>
    </xf>
    <xf numFmtId="0" fontId="4" fillId="0" borderId="13" xfId="3" applyBorder="1" applyAlignment="1">
      <alignment horizontal="right"/>
    </xf>
    <xf numFmtId="0" fontId="4" fillId="0" borderId="11" xfId="3" applyBorder="1"/>
    <xf numFmtId="0" fontId="4" fillId="0" borderId="15" xfId="3" applyBorder="1"/>
    <xf numFmtId="177" fontId="7" fillId="0" borderId="0" xfId="0" applyNumberFormat="1" applyFont="1"/>
    <xf numFmtId="0" fontId="28" fillId="0" borderId="7" xfId="3" applyFont="1" applyBorder="1"/>
    <xf numFmtId="0" fontId="7" fillId="0" borderId="7" xfId="3" applyFont="1" applyBorder="1"/>
    <xf numFmtId="0" fontId="28" fillId="0" borderId="7" xfId="3" applyFont="1" applyBorder="1" applyAlignment="1">
      <alignment horizontal="right"/>
    </xf>
    <xf numFmtId="0" fontId="29" fillId="0" borderId="0" xfId="3" applyFont="1" applyAlignment="1">
      <alignment horizontal="left"/>
    </xf>
    <xf numFmtId="0" fontId="6" fillId="0" borderId="6" xfId="3" applyFont="1" applyBorder="1"/>
    <xf numFmtId="0" fontId="6" fillId="0" borderId="10" xfId="3" applyFont="1" applyBorder="1"/>
    <xf numFmtId="10" fontId="8" fillId="0" borderId="0" xfId="3" applyNumberFormat="1" applyFont="1"/>
    <xf numFmtId="190" fontId="24" fillId="0" borderId="7" xfId="3" applyNumberFormat="1" applyFont="1" applyBorder="1"/>
    <xf numFmtId="190" fontId="7" fillId="0" borderId="0" xfId="3" applyNumberFormat="1" applyFont="1"/>
    <xf numFmtId="10" fontId="8" fillId="0" borderId="7" xfId="3" applyNumberFormat="1" applyFont="1" applyBorder="1"/>
    <xf numFmtId="10" fontId="7" fillId="0" borderId="0" xfId="3" applyNumberFormat="1" applyFont="1"/>
    <xf numFmtId="167" fontId="7" fillId="0" borderId="0" xfId="3" applyNumberFormat="1" applyFont="1"/>
    <xf numFmtId="0" fontId="4" fillId="0" borderId="6" xfId="3" applyBorder="1"/>
    <xf numFmtId="167" fontId="27" fillId="0" borderId="0" xfId="3" applyNumberFormat="1" applyFont="1" applyAlignment="1">
      <alignment horizontal="right"/>
    </xf>
    <xf numFmtId="9" fontId="8" fillId="0" borderId="0" xfId="3" applyNumberFormat="1" applyFont="1"/>
    <xf numFmtId="176" fontId="4" fillId="0" borderId="0" xfId="3" applyNumberFormat="1"/>
    <xf numFmtId="9" fontId="7" fillId="0" borderId="0" xfId="3" applyNumberFormat="1" applyFont="1"/>
    <xf numFmtId="0" fontId="6" fillId="0" borderId="11" xfId="3" applyFont="1" applyBorder="1"/>
    <xf numFmtId="176" fontId="6" fillId="0" borderId="13" xfId="3" applyNumberFormat="1" applyFont="1" applyBorder="1"/>
    <xf numFmtId="180" fontId="7" fillId="0" borderId="0" xfId="0" applyNumberFormat="1" applyFont="1"/>
    <xf numFmtId="14" fontId="0" fillId="0" borderId="0" xfId="0" applyNumberFormat="1"/>
    <xf numFmtId="39" fontId="8" fillId="0" borderId="0" xfId="3" applyNumberFormat="1" applyFont="1"/>
    <xf numFmtId="170" fontId="15" fillId="0" borderId="0" xfId="1" applyNumberFormat="1" applyFont="1"/>
    <xf numFmtId="170" fontId="14" fillId="0" borderId="0" xfId="0" applyNumberFormat="1" applyFont="1"/>
    <xf numFmtId="185" fontId="0" fillId="0" borderId="6" xfId="0" applyNumberFormat="1" applyBorder="1" applyAlignment="1">
      <alignment horizontal="right"/>
    </xf>
    <xf numFmtId="185" fontId="0" fillId="0" borderId="12" xfId="0" applyNumberFormat="1" applyBorder="1"/>
    <xf numFmtId="181" fontId="32" fillId="3" borderId="11" xfId="3" applyNumberFormat="1" applyFont="1" applyFill="1" applyBorder="1"/>
    <xf numFmtId="0" fontId="0" fillId="0" borderId="16" xfId="0" quotePrefix="1" applyBorder="1"/>
    <xf numFmtId="39" fontId="0" fillId="0" borderId="0" xfId="0" applyNumberFormat="1"/>
    <xf numFmtId="39" fontId="0" fillId="0" borderId="17" xfId="0" applyNumberFormat="1" applyBorder="1"/>
    <xf numFmtId="0" fontId="0" fillId="0" borderId="16" xfId="0" applyBorder="1"/>
    <xf numFmtId="0" fontId="0" fillId="0" borderId="18" xfId="0" applyBorder="1"/>
    <xf numFmtId="39" fontId="0" fillId="0" borderId="6" xfId="0" applyNumberFormat="1" applyBorder="1"/>
    <xf numFmtId="39" fontId="7" fillId="0" borderId="6" xfId="0" applyNumberFormat="1" applyFont="1" applyBorder="1"/>
    <xf numFmtId="39" fontId="0" fillId="0" borderId="12" xfId="0" applyNumberFormat="1" applyBorder="1"/>
    <xf numFmtId="0" fontId="0" fillId="0" borderId="9" xfId="0" applyBorder="1"/>
    <xf numFmtId="39" fontId="7" fillId="0" borderId="0" xfId="0" applyNumberFormat="1" applyFont="1"/>
    <xf numFmtId="39" fontId="7" fillId="0" borderId="17" xfId="0" applyNumberFormat="1" applyFont="1" applyBorder="1"/>
    <xf numFmtId="0" fontId="0" fillId="0" borderId="19" xfId="0" applyBorder="1"/>
    <xf numFmtId="39" fontId="7" fillId="0" borderId="12" xfId="0" applyNumberFormat="1" applyFont="1" applyBorder="1"/>
    <xf numFmtId="178" fontId="6" fillId="0" borderId="20" xfId="3" applyNumberFormat="1" applyFont="1" applyBorder="1"/>
    <xf numFmtId="180" fontId="24" fillId="0" borderId="21" xfId="3" applyNumberFormat="1" applyFont="1" applyBorder="1"/>
    <xf numFmtId="9" fontId="5" fillId="0" borderId="21" xfId="2" applyBorder="1"/>
    <xf numFmtId="180" fontId="7" fillId="0" borderId="21" xfId="3" applyNumberFormat="1" applyFont="1" applyBorder="1"/>
    <xf numFmtId="176" fontId="24" fillId="0" borderId="21" xfId="3" applyNumberFormat="1" applyFont="1" applyBorder="1"/>
    <xf numFmtId="180" fontId="28" fillId="0" borderId="22" xfId="3" applyNumberFormat="1" applyFont="1" applyBorder="1"/>
    <xf numFmtId="179" fontId="6" fillId="0" borderId="23" xfId="3" applyNumberFormat="1" applyFont="1" applyBorder="1"/>
    <xf numFmtId="179" fontId="6" fillId="0" borderId="20" xfId="3" applyNumberFormat="1" applyFont="1" applyBorder="1"/>
    <xf numFmtId="14" fontId="22" fillId="0" borderId="5" xfId="3" applyNumberFormat="1" applyFont="1" applyBorder="1"/>
    <xf numFmtId="169" fontId="5" fillId="0" borderId="0" xfId="1" applyNumberFormat="1"/>
    <xf numFmtId="170" fontId="9" fillId="0" borderId="0" xfId="0" applyNumberFormat="1" applyFont="1" applyAlignment="1">
      <alignment horizontal="center" vertical="center"/>
    </xf>
    <xf numFmtId="170" fontId="0" fillId="0" borderId="0" xfId="0" applyNumberFormat="1"/>
    <xf numFmtId="169" fontId="34" fillId="0" borderId="0" xfId="1" applyNumberFormat="1" applyFont="1"/>
    <xf numFmtId="180" fontId="8" fillId="0" borderId="0" xfId="3" applyNumberFormat="1" applyFont="1"/>
    <xf numFmtId="3" fontId="6" fillId="0" borderId="0" xfId="3" applyNumberFormat="1" applyFont="1"/>
    <xf numFmtId="14" fontId="8" fillId="0" borderId="0" xfId="3" applyNumberFormat="1" applyFont="1" applyAlignment="1">
      <alignment horizontal="left" vertical="center"/>
    </xf>
    <xf numFmtId="0" fontId="8" fillId="0" borderId="0" xfId="3" applyFont="1" applyAlignment="1">
      <alignment horizontal="left" vertical="center"/>
    </xf>
    <xf numFmtId="167" fontId="7" fillId="3" borderId="14" xfId="0" applyNumberFormat="1" applyFont="1" applyFill="1" applyBorder="1" applyAlignment="1">
      <alignment horizontal="right"/>
    </xf>
    <xf numFmtId="167" fontId="7" fillId="3" borderId="24" xfId="0" applyNumberFormat="1" applyFont="1" applyFill="1" applyBorder="1" applyAlignment="1">
      <alignment horizontal="right"/>
    </xf>
    <xf numFmtId="167" fontId="7" fillId="3" borderId="10" xfId="0" applyNumberFormat="1" applyFont="1" applyFill="1" applyBorder="1"/>
    <xf numFmtId="167" fontId="7" fillId="3" borderId="11" xfId="0" applyNumberFormat="1" applyFont="1" applyFill="1" applyBorder="1"/>
    <xf numFmtId="191" fontId="5" fillId="0" borderId="0" xfId="1" applyNumberFormat="1"/>
    <xf numFmtId="0" fontId="14" fillId="0" borderId="0" xfId="0" applyFont="1" applyAlignment="1">
      <alignment horizontal="left"/>
    </xf>
    <xf numFmtId="171" fontId="13" fillId="0" borderId="0" xfId="0" applyNumberFormat="1" applyFont="1"/>
    <xf numFmtId="165" fontId="14" fillId="0" borderId="0" xfId="0" applyNumberFormat="1" applyFont="1" applyAlignment="1">
      <alignment horizontal="center" vertical="center"/>
    </xf>
    <xf numFmtId="165" fontId="12" fillId="0" borderId="0" xfId="1" applyNumberFormat="1" applyFont="1"/>
    <xf numFmtId="165" fontId="9" fillId="0" borderId="0" xfId="0" applyNumberFormat="1" applyFont="1" applyAlignment="1">
      <alignment horizontal="center" vertical="center"/>
    </xf>
    <xf numFmtId="165" fontId="9" fillId="0" borderId="0" xfId="0" applyNumberFormat="1" applyFont="1"/>
    <xf numFmtId="165" fontId="15" fillId="0" borderId="0" xfId="1" applyNumberFormat="1" applyFont="1"/>
    <xf numFmtId="165" fontId="14" fillId="0" borderId="0" xfId="1" applyNumberFormat="1" applyFont="1"/>
    <xf numFmtId="165" fontId="18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165" fontId="12" fillId="0" borderId="0" xfId="0" applyNumberFormat="1" applyFont="1"/>
    <xf numFmtId="165" fontId="21" fillId="0" borderId="0" xfId="0" applyNumberFormat="1" applyFont="1" applyAlignment="1">
      <alignment horizontal="center" vertical="center"/>
    </xf>
    <xf numFmtId="165" fontId="15" fillId="0" borderId="0" xfId="0" applyNumberFormat="1" applyFont="1" applyAlignment="1">
      <alignment horizontal="center" vertical="center"/>
    </xf>
    <xf numFmtId="9" fontId="5" fillId="0" borderId="0" xfId="2"/>
    <xf numFmtId="165" fontId="15" fillId="0" borderId="3" xfId="1" applyNumberFormat="1" applyFont="1" applyBorder="1"/>
    <xf numFmtId="9" fontId="34" fillId="0" borderId="0" xfId="2" applyFont="1"/>
    <xf numFmtId="167" fontId="12" fillId="0" borderId="3" xfId="2" applyNumberFormat="1" applyFont="1" applyBorder="1"/>
    <xf numFmtId="167" fontId="7" fillId="0" borderId="0" xfId="0" applyNumberFormat="1" applyFont="1"/>
    <xf numFmtId="167" fontId="34" fillId="0" borderId="0" xfId="2" applyNumberFormat="1" applyFont="1"/>
    <xf numFmtId="170" fontId="14" fillId="0" borderId="0" xfId="0" applyNumberFormat="1" applyFont="1" applyAlignment="1">
      <alignment horizontal="center" vertical="center"/>
    </xf>
    <xf numFmtId="0" fontId="3" fillId="0" borderId="0" xfId="3" applyFont="1"/>
    <xf numFmtId="37" fontId="3" fillId="0" borderId="0" xfId="3" applyNumberFormat="1" applyFont="1" applyAlignment="1">
      <alignment horizontal="right"/>
    </xf>
    <xf numFmtId="169" fontId="14" fillId="0" borderId="0" xfId="0" applyNumberFormat="1" applyFont="1" applyAlignment="1">
      <alignment horizontal="center" vertical="center"/>
    </xf>
    <xf numFmtId="169" fontId="15" fillId="0" borderId="0" xfId="0" applyNumberFormat="1" applyFont="1" applyAlignment="1">
      <alignment horizontal="center" vertical="center"/>
    </xf>
    <xf numFmtId="169" fontId="15" fillId="0" borderId="0" xfId="1" applyNumberFormat="1" applyFont="1"/>
    <xf numFmtId="176" fontId="0" fillId="0" borderId="0" xfId="0" quotePrefix="1" applyNumberFormat="1"/>
    <xf numFmtId="167" fontId="7" fillId="3" borderId="25" xfId="0" applyNumberFormat="1" applyFont="1" applyFill="1" applyBorder="1"/>
    <xf numFmtId="181" fontId="7" fillId="0" borderId="0" xfId="3" applyNumberFormat="1" applyFont="1"/>
    <xf numFmtId="181" fontId="32" fillId="3" borderId="25" xfId="3" applyNumberFormat="1" applyFont="1" applyFill="1" applyBorder="1"/>
    <xf numFmtId="0" fontId="6" fillId="0" borderId="0" xfId="0" applyFont="1"/>
    <xf numFmtId="165" fontId="20" fillId="0" borderId="0" xfId="0" applyNumberFormat="1" applyFont="1"/>
    <xf numFmtId="169" fontId="12" fillId="0" borderId="0" xfId="1" applyNumberFormat="1" applyFont="1"/>
    <xf numFmtId="171" fontId="9" fillId="0" borderId="0" xfId="0" applyNumberFormat="1" applyFont="1"/>
    <xf numFmtId="167" fontId="9" fillId="0" borderId="0" xfId="2" applyNumberFormat="1" applyFont="1" applyAlignment="1">
      <alignment horizontal="left"/>
    </xf>
    <xf numFmtId="0" fontId="9" fillId="0" borderId="0" xfId="0" applyFont="1" applyAlignment="1">
      <alignment horizontal="left"/>
    </xf>
    <xf numFmtId="171" fontId="14" fillId="0" borderId="0" xfId="1" applyNumberFormat="1" applyFont="1"/>
    <xf numFmtId="0" fontId="16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168" fontId="9" fillId="0" borderId="0" xfId="1" applyFont="1"/>
    <xf numFmtId="0" fontId="14" fillId="0" borderId="0" xfId="0" applyFont="1" applyAlignment="1">
      <alignment horizontal="left" indent="1"/>
    </xf>
    <xf numFmtId="192" fontId="20" fillId="0" borderId="2" xfId="0" applyNumberFormat="1" applyFont="1" applyBorder="1"/>
    <xf numFmtId="192" fontId="2" fillId="0" borderId="2" xfId="0" applyNumberFormat="1" applyFont="1" applyBorder="1" applyAlignment="1">
      <alignment horizontal="center"/>
    </xf>
    <xf numFmtId="170" fontId="14" fillId="0" borderId="3" xfId="0" applyNumberFormat="1" applyFont="1" applyBorder="1" applyAlignment="1">
      <alignment horizontal="center" vertical="center"/>
    </xf>
    <xf numFmtId="14" fontId="22" fillId="0" borderId="0" xfId="0" applyNumberFormat="1" applyFont="1" applyAlignment="1">
      <alignment horizontal="left"/>
    </xf>
    <xf numFmtId="170" fontId="12" fillId="0" borderId="0" xfId="1" applyNumberFormat="1" applyFont="1"/>
    <xf numFmtId="170" fontId="13" fillId="0" borderId="0" xfId="0" applyNumberFormat="1" applyFont="1"/>
    <xf numFmtId="190" fontId="38" fillId="0" borderId="7" xfId="3" applyNumberFormat="1" applyFont="1" applyBorder="1"/>
    <xf numFmtId="186" fontId="0" fillId="0" borderId="0" xfId="0" applyNumberFormat="1" applyAlignment="1">
      <alignment horizontal="right"/>
    </xf>
    <xf numFmtId="187" fontId="0" fillId="0" borderId="0" xfId="0" applyNumberFormat="1" applyAlignment="1">
      <alignment horizontal="right"/>
    </xf>
    <xf numFmtId="0" fontId="8" fillId="0" borderId="0" xfId="0" applyFont="1" applyAlignment="1">
      <alignment horizontal="center" vertical="center"/>
    </xf>
    <xf numFmtId="169" fontId="37" fillId="0" borderId="0" xfId="1" applyNumberFormat="1" applyFont="1" applyAlignment="1">
      <alignment horizontal="center" vertical="center"/>
    </xf>
    <xf numFmtId="169" fontId="13" fillId="0" borderId="0" xfId="1" applyNumberFormat="1" applyFont="1"/>
    <xf numFmtId="165" fontId="13" fillId="0" borderId="0" xfId="1" applyNumberFormat="1" applyFont="1"/>
    <xf numFmtId="1" fontId="9" fillId="0" borderId="0" xfId="0" applyNumberFormat="1" applyFont="1"/>
    <xf numFmtId="1" fontId="9" fillId="0" borderId="0" xfId="0" applyNumberFormat="1" applyFont="1" applyAlignment="1">
      <alignment horizontal="center" vertical="center"/>
    </xf>
    <xf numFmtId="0" fontId="20" fillId="0" borderId="0" xfId="0" applyFont="1"/>
    <xf numFmtId="173" fontId="20" fillId="0" borderId="0" xfId="0" applyNumberFormat="1" applyFont="1"/>
    <xf numFmtId="194" fontId="8" fillId="0" borderId="0" xfId="0" applyNumberFormat="1" applyFont="1" applyAlignment="1">
      <alignment horizontal="center"/>
    </xf>
    <xf numFmtId="10" fontId="5" fillId="0" borderId="0" xfId="2" applyNumberFormat="1"/>
    <xf numFmtId="167" fontId="12" fillId="0" borderId="0" xfId="2" applyNumberFormat="1" applyFont="1"/>
    <xf numFmtId="10" fontId="13" fillId="0" borderId="0" xfId="2" applyNumberFormat="1" applyFont="1"/>
    <xf numFmtId="10" fontId="34" fillId="0" borderId="0" xfId="2" applyNumberFormat="1" applyFont="1"/>
    <xf numFmtId="1" fontId="9" fillId="0" borderId="0" xfId="0" applyNumberFormat="1" applyFont="1" applyAlignment="1">
      <alignment horizontal="right" vertical="center"/>
    </xf>
    <xf numFmtId="194" fontId="8" fillId="0" borderId="0" xfId="0" applyNumberFormat="1" applyFont="1" applyAlignment="1">
      <alignment horizontal="right" vertical="center"/>
    </xf>
    <xf numFmtId="0" fontId="40" fillId="0" borderId="0" xfId="0" applyFont="1" applyAlignment="1">
      <alignment horizontal="center"/>
    </xf>
    <xf numFmtId="194" fontId="32" fillId="0" borderId="0" xfId="0" applyNumberFormat="1" applyFont="1" applyAlignment="1">
      <alignment horizontal="right" vertical="center"/>
    </xf>
    <xf numFmtId="192" fontId="1" fillId="0" borderId="2" xfId="0" applyNumberFormat="1" applyFont="1" applyBorder="1"/>
    <xf numFmtId="195" fontId="32" fillId="0" borderId="0" xfId="3" applyNumberFormat="1" applyFont="1"/>
  </cellXfs>
  <cellStyles count="7">
    <cellStyle name="Comma" xfId="1" builtinId="3"/>
    <cellStyle name="Hyperlink" xfId="5" builtinId="8"/>
    <cellStyle name="Normal" xfId="0" builtinId="0"/>
    <cellStyle name="Normal 15" xfId="6" xr:uid="{6DDD7A4B-57F6-404C-BA97-B891B271587B}"/>
    <cellStyle name="Normal 2" xfId="3" xr:uid="{937EC6E3-AE83-4BBC-ACEF-6FAAD38BC45D}"/>
    <cellStyle name="Normal_DCF_Model" xfId="4" xr:uid="{EB47B55B-6DFA-4D8F-B164-61C0BEC4F72F}"/>
    <cellStyle name="Percent" xfId="2" builtinId="5"/>
  </cellStyles>
  <dxfs count="3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  <border>
        <left/>
        <right/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F4F"/>
      <rgbColor rgb="FF222A3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DCF Equity Valuation Range 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9.3x-11.3x Exit EBITDA Range at 6.7% WACC</c:v>
                </c:pt>
                <c:pt idx="1">
                  <c:v>DCF Value at 2.0%-4.0% Perpetuity Range at 6.7%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DCF!$C$128:$C$130</c:f>
              <c:numCache>
                <c:formatCode>#,##0.00_);\(#,##0.00\)</c:formatCode>
                <c:ptCount val="3"/>
                <c:pt idx="0">
                  <c:v>46.967559619900719</c:v>
                </c:pt>
                <c:pt idx="1">
                  <c:v>60.985654113897908</c:v>
                </c:pt>
                <c:pt idx="2">
                  <c:v>38.18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83-4E91-8D66-944AAAC33F38}"/>
            </c:ext>
          </c:extLst>
        </c:ser>
        <c:ser>
          <c:idx val="1"/>
          <c:order val="1"/>
          <c:invertIfNegative val="0"/>
          <c:cat>
            <c:strRef>
              <c:f>DCF!$B$128:$B$130</c:f>
              <c:strCache>
                <c:ptCount val="3"/>
                <c:pt idx="0">
                  <c:v>DCF Value at 9.3x-11.3x Exit EBITDA Range at 6.7% WACC</c:v>
                </c:pt>
                <c:pt idx="1">
                  <c:v>DCF Value at 2.0%-4.0% Perpetuity Range at 6.7%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DCF!$D$128:$D$130</c:f>
              <c:numCache>
                <c:formatCode>#,##0.00_);\(#,##0.00\)</c:formatCode>
                <c:ptCount val="3"/>
                <c:pt idx="0">
                  <c:v>5.4844768164348991</c:v>
                </c:pt>
                <c:pt idx="1">
                  <c:v>18.450599046201646</c:v>
                </c:pt>
                <c:pt idx="2">
                  <c:v>15.869999999999997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83-4E91-8D66-944AAAC33F38}"/>
            </c:ext>
          </c:extLst>
        </c:ser>
        <c:ser>
          <c:idx val="2"/>
          <c:order val="2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9.3x-11.3x Exit EBITDA Range at 6.7% WACC</c:v>
                </c:pt>
                <c:pt idx="1">
                  <c:v>DCF Value at 2.0%-4.0% Perpetuity Range at 6.7%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DCF!$E$128:$E$130</c:f>
              <c:numCache>
                <c:formatCode>#,##0.00_);\(#,##0.00\)</c:formatCode>
                <c:ptCount val="3"/>
                <c:pt idx="0">
                  <c:v>52.452036436335618</c:v>
                </c:pt>
                <c:pt idx="1">
                  <c:v>79.436253160099554</c:v>
                </c:pt>
                <c:pt idx="2">
                  <c:v>54.05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3-4E91-8D66-944AAAC33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400"/>
          <c:min val="10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LTM EBITDA Multiple Range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2.0%-4.0% Perpetuity Growth at 6.7% WACC</c:v>
                </c:pt>
                <c:pt idx="1">
                  <c:v>LTM EBITDA Purchase Multiple at 10.4x-11.4x Exit EBITDA Multiple at 6.7% WACC</c:v>
                </c:pt>
                <c:pt idx="2">
                  <c:v>LTM EBITDA Purchase Multiple at 4.7%-8.7% WACC at 10.3x Exit EBITDA</c:v>
                </c:pt>
              </c:strCache>
            </c:strRef>
          </c:cat>
          <c:val>
            <c:numRef>
              <c:f>DCF!$O$128:$O$130</c:f>
              <c:numCache>
                <c:formatCode>#,##0.00_);\(#,##0.00\)</c:formatCode>
                <c:ptCount val="3"/>
                <c:pt idx="0">
                  <c:v>12.884546422426325</c:v>
                </c:pt>
                <c:pt idx="1">
                  <c:v>10.427229639356584</c:v>
                </c:pt>
                <c:pt idx="2">
                  <c:v>9.253778951905943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5-4FE9-8BD7-0E0161403D7A}"/>
            </c:ext>
          </c:extLst>
        </c:ser>
        <c:ser>
          <c:idx val="1"/>
          <c:order val="1"/>
          <c:spPr>
            <a:solidFill>
              <a:schemeClr val="tx2"/>
            </a:solidFill>
          </c:spPr>
          <c:invertIfNegative val="0"/>
          <c:cat>
            <c:strRef>
              <c:f>DCF!$G$128:$G$130</c:f>
              <c:strCache>
                <c:ptCount val="3"/>
                <c:pt idx="0">
                  <c:v>LTM EBITDA Purchase Multiple at 2.0%-4.0% Perpetuity Growth at 6.7% WACC</c:v>
                </c:pt>
                <c:pt idx="1">
                  <c:v>LTM EBITDA Purchase Multiple at 10.4x-11.4x Exit EBITDA Multiple at 6.7% WACC</c:v>
                </c:pt>
                <c:pt idx="2">
                  <c:v>LTM EBITDA Purchase Multiple at 4.7%-8.7% WACC at 10.3x Exit EBITDA</c:v>
                </c:pt>
              </c:strCache>
            </c:strRef>
          </c:cat>
          <c:val>
            <c:numRef>
              <c:f>DCF!$P$128:$P$130</c:f>
              <c:numCache>
                <c:formatCode>#,##0.00_);\(#,##0.00\)</c:formatCode>
                <c:ptCount val="3"/>
                <c:pt idx="0">
                  <c:v>3.2343173826754317</c:v>
                </c:pt>
                <c:pt idx="1">
                  <c:v>0.96140719647406492</c:v>
                </c:pt>
                <c:pt idx="2">
                  <c:v>1.4532435406125916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5-4FE9-8BD7-0E0161403D7A}"/>
            </c:ext>
          </c:extLst>
        </c:ser>
        <c:ser>
          <c:idx val="2"/>
          <c:order val="2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2.0%-4.0% Perpetuity Growth at 6.7% WACC</c:v>
                </c:pt>
                <c:pt idx="1">
                  <c:v>LTM EBITDA Purchase Multiple at 10.4x-11.4x Exit EBITDA Multiple at 6.7% WACC</c:v>
                </c:pt>
                <c:pt idx="2">
                  <c:v>LTM EBITDA Purchase Multiple at 4.7%-8.7% WACC at 10.3x Exit EBITDA</c:v>
                </c:pt>
              </c:strCache>
            </c:strRef>
          </c:cat>
          <c:val>
            <c:numRef>
              <c:f>DCF!$Q$128:$Q$130</c:f>
              <c:numCache>
                <c:formatCode>#,##0.00_);\(#,##0.00\)</c:formatCode>
                <c:ptCount val="3"/>
                <c:pt idx="0">
                  <c:v>16.118863805101757</c:v>
                </c:pt>
                <c:pt idx="1">
                  <c:v>11.388636835830649</c:v>
                </c:pt>
                <c:pt idx="2">
                  <c:v>10.707022492518535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5-4FE9-8BD7-0E016140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0"/>
          <c:min val="10"/>
        </c:scaling>
        <c:delete val="0"/>
        <c:axPos val="l"/>
        <c:numFmt formatCode="#,##0.0\x;\-#,##0.0\x" sourceLinked="0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53578</xdr:colOff>
      <xdr:row>106</xdr:row>
      <xdr:rowOff>149424</xdr:rowOff>
    </xdr:from>
    <xdr:to>
      <xdr:col>4</xdr:col>
      <xdr:colOff>654844</xdr:colOff>
      <xdr:row>125</xdr:row>
      <xdr:rowOff>53578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29BCA-2888-434E-AC7E-5B03FCA5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47228</xdr:colOff>
      <xdr:row>106</xdr:row>
      <xdr:rowOff>149424</xdr:rowOff>
    </xdr:from>
    <xdr:to>
      <xdr:col>15</xdr:col>
      <xdr:colOff>657225</xdr:colOff>
      <xdr:row>125</xdr:row>
      <xdr:rowOff>47228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8233F-A324-4062-8E99-2AF6A530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56"/>
  <sheetViews>
    <sheetView showGridLines="0" tabSelected="1" zoomScaleNormal="100" workbookViewId="0">
      <selection activeCell="D6" sqref="D6"/>
    </sheetView>
  </sheetViews>
  <sheetFormatPr defaultColWidth="9.140625" defaultRowHeight="15" x14ac:dyDescent="0.25"/>
  <cols>
    <col min="1" max="2" width="1.7109375" style="6" customWidth="1"/>
    <col min="3" max="3" width="66.42578125" style="6" bestFit="1" customWidth="1"/>
    <col min="4" max="4" width="17.140625" style="7" customWidth="1"/>
    <col min="5" max="11" width="17.140625" style="6" customWidth="1"/>
    <col min="12" max="12" width="2.7109375" style="6" customWidth="1"/>
    <col min="13" max="16384" width="9.140625" style="6"/>
  </cols>
  <sheetData>
    <row r="1" spans="3:11" ht="15" customHeight="1" thickBot="1" x14ac:dyDescent="0.3"/>
    <row r="2" spans="3:11" ht="15.75" thickBot="1" x14ac:dyDescent="0.3">
      <c r="C2" s="2" t="str">
        <f>Company_Name&amp;" - Financial Statement Model"</f>
        <v>Almarai Company - Financial Statement Model</v>
      </c>
      <c r="D2" s="8"/>
      <c r="E2" s="8"/>
      <c r="F2" s="8"/>
      <c r="G2" s="8"/>
      <c r="H2" s="8"/>
      <c r="I2" s="8"/>
      <c r="J2" s="8"/>
      <c r="K2" s="8"/>
    </row>
    <row r="3" spans="3:11" x14ac:dyDescent="0.25">
      <c r="C3" s="248" t="s">
        <v>239</v>
      </c>
      <c r="D3" s="9"/>
      <c r="E3" s="9"/>
      <c r="F3" s="9"/>
      <c r="G3" s="9"/>
      <c r="H3" s="9"/>
    </row>
    <row r="4" spans="3:11" ht="15" customHeight="1" x14ac:dyDescent="0.25"/>
    <row r="5" spans="3:11" x14ac:dyDescent="0.25">
      <c r="C5" s="3" t="s">
        <v>0</v>
      </c>
      <c r="D5" s="254" t="s">
        <v>222</v>
      </c>
    </row>
    <row r="6" spans="3:11" x14ac:dyDescent="0.25">
      <c r="C6" s="3" t="s">
        <v>1</v>
      </c>
      <c r="D6" s="4" t="s">
        <v>223</v>
      </c>
    </row>
    <row r="7" spans="3:11" x14ac:dyDescent="0.25">
      <c r="C7" s="6" t="s">
        <v>28</v>
      </c>
      <c r="D7" s="262">
        <v>45.76</v>
      </c>
    </row>
    <row r="8" spans="3:11" x14ac:dyDescent="0.25">
      <c r="C8" s="6" t="s">
        <v>29</v>
      </c>
      <c r="D8" s="5">
        <v>46184</v>
      </c>
    </row>
    <row r="9" spans="3:11" x14ac:dyDescent="0.25">
      <c r="C9" s="3" t="s">
        <v>2</v>
      </c>
      <c r="D9" s="5">
        <v>46022</v>
      </c>
    </row>
    <row r="10" spans="3:11" ht="15" customHeight="1" x14ac:dyDescent="0.25">
      <c r="C10" s="6" t="s">
        <v>30</v>
      </c>
      <c r="D10" s="255">
        <v>1000000</v>
      </c>
    </row>
    <row r="11" spans="3:11" ht="15" customHeight="1" x14ac:dyDescent="0.25"/>
    <row r="12" spans="3:11" customFormat="1" x14ac:dyDescent="0.25">
      <c r="C12" s="41" t="s">
        <v>41</v>
      </c>
      <c r="D12" s="42"/>
      <c r="E12" s="42"/>
      <c r="F12" s="42"/>
      <c r="G12" s="42"/>
      <c r="H12" s="42"/>
      <c r="I12" s="42"/>
      <c r="J12" s="42"/>
      <c r="K12" s="42"/>
    </row>
    <row r="13" spans="3:11" customFormat="1" x14ac:dyDescent="0.25">
      <c r="C13" t="s">
        <v>42</v>
      </c>
      <c r="D13" s="43">
        <f>E13-1</f>
        <v>2023</v>
      </c>
      <c r="E13" s="43">
        <f>F13-1</f>
        <v>2024</v>
      </c>
      <c r="F13" s="43">
        <f>YEAR(D9)</f>
        <v>2025</v>
      </c>
      <c r="G13" s="44">
        <f>F13+1</f>
        <v>2026</v>
      </c>
      <c r="H13" s="44">
        <f>G13+1</f>
        <v>2027</v>
      </c>
      <c r="I13" s="44">
        <f>H13+1</f>
        <v>2028</v>
      </c>
      <c r="J13" s="44">
        <f>I13+1</f>
        <v>2029</v>
      </c>
      <c r="K13" s="44">
        <f>J13+1</f>
        <v>2030</v>
      </c>
    </row>
    <row r="14" spans="3:11" customFormat="1" x14ac:dyDescent="0.25">
      <c r="C14" s="45" t="s">
        <v>43</v>
      </c>
      <c r="D14" s="245">
        <f>EOMONTH(E14,-12)</f>
        <v>45291</v>
      </c>
      <c r="E14" s="245">
        <f>EOMONTH(F14,-12)</f>
        <v>45657</v>
      </c>
      <c r="F14" s="245">
        <f>D9</f>
        <v>46022</v>
      </c>
      <c r="G14" s="245">
        <f>EOMONTH(F14,12)</f>
        <v>46387</v>
      </c>
      <c r="H14" s="245">
        <f>EOMONTH(G14,12)</f>
        <v>46752</v>
      </c>
      <c r="I14" s="245">
        <f>EOMONTH(H14,12)</f>
        <v>47118</v>
      </c>
      <c r="J14" s="245">
        <f>EOMONTH(I14,12)</f>
        <v>47483</v>
      </c>
      <c r="K14" s="245">
        <f>EOMONTH(J14,12)</f>
        <v>47848</v>
      </c>
    </row>
    <row r="15" spans="3:11" ht="15" customHeight="1" x14ac:dyDescent="0.25"/>
    <row r="16" spans="3:11" ht="15" customHeight="1" x14ac:dyDescent="0.25">
      <c r="C16" s="6" t="s">
        <v>61</v>
      </c>
      <c r="D16" s="10">
        <v>19575585</v>
      </c>
      <c r="E16" s="10">
        <v>20979512</v>
      </c>
      <c r="F16" s="10">
        <v>22064876</v>
      </c>
      <c r="G16" s="249">
        <f>G176</f>
        <v>23355666.932000004</v>
      </c>
      <c r="H16" s="249">
        <f t="shared" ref="H16:K16" si="0">H176</f>
        <v>24779231.451360002</v>
      </c>
      <c r="I16" s="249">
        <f t="shared" si="0"/>
        <v>26047719.347231999</v>
      </c>
      <c r="J16" s="249">
        <f t="shared" si="0"/>
        <v>27200567.988385953</v>
      </c>
      <c r="K16" s="249">
        <f t="shared" si="0"/>
        <v>28329029.782460365</v>
      </c>
    </row>
    <row r="17" spans="3:11" ht="15" customHeight="1" x14ac:dyDescent="0.25">
      <c r="C17" s="6" t="s">
        <v>197</v>
      </c>
      <c r="D17" s="10">
        <v>-13524295</v>
      </c>
      <c r="E17" s="10">
        <v>-14315460</v>
      </c>
      <c r="F17" s="10">
        <v>-15177063</v>
      </c>
      <c r="G17" s="249">
        <f>G18-G16</f>
        <v>-16045873.095895395</v>
      </c>
      <c r="H17" s="249">
        <f t="shared" ref="H17:K17" si="1">H18-H16</f>
        <v>-17023894.219761189</v>
      </c>
      <c r="I17" s="249">
        <f t="shared" si="1"/>
        <v>-17895374.184777908</v>
      </c>
      <c r="J17" s="249">
        <f t="shared" si="1"/>
        <v>-18687407.358079702</v>
      </c>
      <c r="K17" s="249">
        <f t="shared" si="1"/>
        <v>-19462686.214127935</v>
      </c>
    </row>
    <row r="18" spans="3:11" s="13" customFormat="1" ht="15" customHeight="1" x14ac:dyDescent="0.25">
      <c r="C18" s="13" t="s">
        <v>198</v>
      </c>
      <c r="D18" s="14">
        <f>SUM(D16:D17)</f>
        <v>6051290</v>
      </c>
      <c r="E18" s="14">
        <f t="shared" ref="E18:F18" si="2">SUM(E16:E17)</f>
        <v>6664052</v>
      </c>
      <c r="F18" s="14">
        <f t="shared" si="2"/>
        <v>6887813</v>
      </c>
      <c r="G18" s="14">
        <f>G16*G40</f>
        <v>7309793.83610461</v>
      </c>
      <c r="H18" s="14">
        <f>H16*H40</f>
        <v>7755337.2315988122</v>
      </c>
      <c r="I18" s="14">
        <f>I16*I40</f>
        <v>8152345.1624540929</v>
      </c>
      <c r="J18" s="14">
        <f>J16*J40</f>
        <v>8513160.6303062513</v>
      </c>
      <c r="K18" s="14">
        <f>K16*K40</f>
        <v>8866343.5683324318</v>
      </c>
    </row>
    <row r="19" spans="3:11" s="15" customFormat="1" ht="15" customHeight="1" x14ac:dyDescent="0.25">
      <c r="C19" s="237" t="s">
        <v>224</v>
      </c>
      <c r="D19" s="194">
        <v>-2789745</v>
      </c>
      <c r="E19" s="194">
        <v>-2993918</v>
      </c>
      <c r="F19" s="194">
        <v>-3231061</v>
      </c>
      <c r="G19" s="235">
        <f>G16*G41</f>
        <v>-3360512.9147449895</v>
      </c>
      <c r="H19" s="235">
        <f>H16*H41</f>
        <v>-3565341.4459194727</v>
      </c>
      <c r="I19" s="235">
        <f>I16*I41</f>
        <v>-3747856.89147222</v>
      </c>
      <c r="J19" s="235">
        <f>J16*J41</f>
        <v>-3913733.6681287675</v>
      </c>
      <c r="K19" s="235">
        <f>K16*K41</f>
        <v>-4076101.5612754021</v>
      </c>
    </row>
    <row r="20" spans="3:11" s="15" customFormat="1" ht="15" customHeight="1" x14ac:dyDescent="0.25">
      <c r="C20" s="237" t="s">
        <v>225</v>
      </c>
      <c r="D20" s="194">
        <v>-469023</v>
      </c>
      <c r="E20" s="194">
        <v>-508149</v>
      </c>
      <c r="F20" s="194">
        <v>-561463</v>
      </c>
      <c r="G20" s="235">
        <f>G16*G42</f>
        <v>-573201.00653750624</v>
      </c>
      <c r="H20" s="235">
        <f>H16*H42</f>
        <v>-608138.50662020489</v>
      </c>
      <c r="I20" s="235">
        <f>I16*I42</f>
        <v>-639270.07485207845</v>
      </c>
      <c r="J20" s="235">
        <f>J16*J42</f>
        <v>-667563.59365497972</v>
      </c>
      <c r="K20" s="235">
        <f>K16*K42</f>
        <v>-695258.60395315848</v>
      </c>
    </row>
    <row r="21" spans="3:11" s="15" customFormat="1" ht="15" customHeight="1" x14ac:dyDescent="0.25">
      <c r="C21" s="237" t="s">
        <v>226</v>
      </c>
      <c r="D21" s="194">
        <v>-64461</v>
      </c>
      <c r="E21" s="194">
        <v>-63166</v>
      </c>
      <c r="F21" s="194">
        <v>-14813</v>
      </c>
      <c r="G21" s="235">
        <f>G16*G43</f>
        <v>-54302.77477588223</v>
      </c>
      <c r="H21" s="235">
        <f>H16*H43</f>
        <v>-57612.614040965607</v>
      </c>
      <c r="I21" s="235">
        <f>I16*I43</f>
        <v>-60561.894518205707</v>
      </c>
      <c r="J21" s="235">
        <f>J16*J43</f>
        <v>-63242.309523845805</v>
      </c>
      <c r="K21" s="235">
        <f>K16*K43</f>
        <v>-65866.024223375614</v>
      </c>
    </row>
    <row r="22" spans="3:11" s="15" customFormat="1" ht="15" customHeight="1" x14ac:dyDescent="0.25">
      <c r="C22" s="237" t="s">
        <v>227</v>
      </c>
      <c r="D22" s="194">
        <v>-34173</v>
      </c>
      <c r="E22" s="194">
        <v>-103458</v>
      </c>
      <c r="F22" s="194">
        <v>-20214</v>
      </c>
      <c r="G22" s="235">
        <f>G16*G44</f>
        <v>-59114.704682747819</v>
      </c>
      <c r="H22" s="235">
        <f>H16*H44</f>
        <v>-62717.838620383482</v>
      </c>
      <c r="I22" s="235">
        <f>I16*I44</f>
        <v>-65928.463586753991</v>
      </c>
      <c r="J22" s="235">
        <f>J16*J44</f>
        <v>-68846.398114769938</v>
      </c>
      <c r="K22" s="235">
        <f>K16*K44</f>
        <v>-71702.607954407358</v>
      </c>
    </row>
    <row r="23" spans="3:11" ht="15" customHeight="1" x14ac:dyDescent="0.25">
      <c r="C23" s="204" t="s">
        <v>199</v>
      </c>
      <c r="D23" s="228">
        <f>SUM(D18:D22)</f>
        <v>2693888</v>
      </c>
      <c r="E23" s="228">
        <f t="shared" ref="E23:K23" si="3">SUM(E18:E22)</f>
        <v>2995361</v>
      </c>
      <c r="F23" s="228">
        <f t="shared" si="3"/>
        <v>3060262</v>
      </c>
      <c r="G23" s="228">
        <f t="shared" si="3"/>
        <v>3262662.4353634841</v>
      </c>
      <c r="H23" s="228">
        <f t="shared" si="3"/>
        <v>3461526.8263977855</v>
      </c>
      <c r="I23" s="228">
        <f t="shared" si="3"/>
        <v>3638727.8380248342</v>
      </c>
      <c r="J23" s="228">
        <f t="shared" si="3"/>
        <v>3799774.6608838877</v>
      </c>
      <c r="K23" s="228">
        <f t="shared" si="3"/>
        <v>3957414.7709260881</v>
      </c>
    </row>
    <row r="24" spans="3:11" ht="15" customHeight="1" x14ac:dyDescent="0.25">
      <c r="C24" s="238" t="s">
        <v>228</v>
      </c>
      <c r="D24" s="194">
        <v>-527019</v>
      </c>
      <c r="E24" s="194">
        <v>-530260</v>
      </c>
      <c r="F24" s="194">
        <v>-463346</v>
      </c>
      <c r="G24" s="235">
        <f>G226</f>
        <v>-499561.32</v>
      </c>
      <c r="H24" s="235">
        <f t="shared" ref="H24:K24" si="4">H226</f>
        <v>-499561.32</v>
      </c>
      <c r="I24" s="235">
        <f t="shared" si="4"/>
        <v>-499561.32</v>
      </c>
      <c r="J24" s="235">
        <f t="shared" si="4"/>
        <v>-499561.32</v>
      </c>
      <c r="K24" s="235">
        <f t="shared" si="4"/>
        <v>-499561.32</v>
      </c>
    </row>
    <row r="25" spans="3:11" s="13" customFormat="1" ht="15" customHeight="1" x14ac:dyDescent="0.25">
      <c r="C25" s="238" t="s">
        <v>229</v>
      </c>
      <c r="D25" s="194">
        <v>-1064</v>
      </c>
      <c r="E25" s="194">
        <v>-1774</v>
      </c>
      <c r="F25" s="194">
        <v>-1222</v>
      </c>
      <c r="G25" s="256">
        <v>0</v>
      </c>
      <c r="H25" s="256">
        <v>0</v>
      </c>
      <c r="I25" s="256">
        <v>0</v>
      </c>
      <c r="J25" s="256">
        <v>0</v>
      </c>
      <c r="K25" s="256">
        <v>0</v>
      </c>
    </row>
    <row r="26" spans="3:11" s="13" customFormat="1" ht="15" customHeight="1" x14ac:dyDescent="0.25">
      <c r="C26" s="13" t="s">
        <v>230</v>
      </c>
      <c r="D26" s="228">
        <f>SUM(D23:D25)</f>
        <v>2165805</v>
      </c>
      <c r="E26" s="228">
        <f t="shared" ref="E26:K26" si="5">SUM(E23:E25)</f>
        <v>2463327</v>
      </c>
      <c r="F26" s="228">
        <f t="shared" si="5"/>
        <v>2595694</v>
      </c>
      <c r="G26" s="228">
        <f t="shared" si="5"/>
        <v>2763101.1153634842</v>
      </c>
      <c r="H26" s="228">
        <f t="shared" si="5"/>
        <v>2961965.5063977856</v>
      </c>
      <c r="I26" s="228">
        <f t="shared" si="5"/>
        <v>3139166.5180248343</v>
      </c>
      <c r="J26" s="228">
        <f t="shared" si="5"/>
        <v>3300213.3408838878</v>
      </c>
      <c r="K26" s="228">
        <f t="shared" si="5"/>
        <v>3457853.4509260883</v>
      </c>
    </row>
    <row r="27" spans="3:11" ht="15" customHeight="1" x14ac:dyDescent="0.25">
      <c r="C27" s="6" t="s">
        <v>302</v>
      </c>
      <c r="D27" s="256">
        <f>-(85101+29175)</f>
        <v>-114276</v>
      </c>
      <c r="E27" s="256">
        <f>-(105326+44334)</f>
        <v>-149660</v>
      </c>
      <c r="F27" s="256">
        <f>-(86831+52190)</f>
        <v>-139021</v>
      </c>
      <c r="G27" s="194">
        <f>G26*-G45</f>
        <v>-147987.04321809387</v>
      </c>
      <c r="H27" s="194">
        <f>H26*-H45</f>
        <v>-158637.88515322938</v>
      </c>
      <c r="I27" s="194">
        <f>I26*-I45</f>
        <v>-168128.4729641978</v>
      </c>
      <c r="J27" s="194">
        <f>J26*-J45</f>
        <v>-176753.86962524048</v>
      </c>
      <c r="K27" s="194">
        <f>K26*-K45</f>
        <v>-185196.80848404925</v>
      </c>
    </row>
    <row r="28" spans="3:11" ht="15" customHeight="1" x14ac:dyDescent="0.25">
      <c r="C28" s="13" t="s">
        <v>231</v>
      </c>
      <c r="D28" s="228">
        <f t="shared" ref="D28:K28" si="6">SUM(D26:D27)</f>
        <v>2051529</v>
      </c>
      <c r="E28" s="228">
        <f t="shared" si="6"/>
        <v>2313667</v>
      </c>
      <c r="F28" s="228">
        <f t="shared" si="6"/>
        <v>2456673</v>
      </c>
      <c r="G28" s="228">
        <f t="shared" si="6"/>
        <v>2615114.0721453903</v>
      </c>
      <c r="H28" s="228">
        <f t="shared" si="6"/>
        <v>2803327.6212445563</v>
      </c>
      <c r="I28" s="228">
        <f t="shared" si="6"/>
        <v>2971038.0450606365</v>
      </c>
      <c r="J28" s="228">
        <f t="shared" si="6"/>
        <v>3123459.4712586473</v>
      </c>
      <c r="K28" s="228">
        <f t="shared" si="6"/>
        <v>3272656.6424420392</v>
      </c>
    </row>
    <row r="29" spans="3:11" ht="15" customHeight="1" x14ac:dyDescent="0.25">
      <c r="C29" s="6" t="s">
        <v>232</v>
      </c>
      <c r="D29" s="235">
        <f>D28-D30</f>
        <v>2049123</v>
      </c>
      <c r="E29" s="235">
        <f t="shared" ref="E29:K29" si="7">E28-E30</f>
        <v>2313100</v>
      </c>
      <c r="F29" s="235">
        <f t="shared" si="7"/>
        <v>2456093</v>
      </c>
      <c r="G29" s="235">
        <f t="shared" si="7"/>
        <v>2614534.0721453903</v>
      </c>
      <c r="H29" s="235">
        <f t="shared" si="7"/>
        <v>2802747.6212445563</v>
      </c>
      <c r="I29" s="235">
        <f t="shared" si="7"/>
        <v>2970458.0450606365</v>
      </c>
      <c r="J29" s="235">
        <f t="shared" si="7"/>
        <v>3122879.4712586473</v>
      </c>
      <c r="K29" s="235">
        <f t="shared" si="7"/>
        <v>3272076.6424420392</v>
      </c>
    </row>
    <row r="30" spans="3:11" ht="15" customHeight="1" x14ac:dyDescent="0.25">
      <c r="C30" s="6" t="s">
        <v>233</v>
      </c>
      <c r="D30" s="256">
        <v>2406</v>
      </c>
      <c r="E30" s="256">
        <v>567</v>
      </c>
      <c r="F30" s="256">
        <v>580</v>
      </c>
      <c r="G30" s="19">
        <f>F30</f>
        <v>580</v>
      </c>
      <c r="H30" s="19">
        <f t="shared" ref="H30:K30" si="8">G30</f>
        <v>580</v>
      </c>
      <c r="I30" s="19">
        <f t="shared" si="8"/>
        <v>580</v>
      </c>
      <c r="J30" s="19">
        <f t="shared" si="8"/>
        <v>580</v>
      </c>
      <c r="K30" s="19">
        <f t="shared" si="8"/>
        <v>580</v>
      </c>
    </row>
    <row r="31" spans="3:11" ht="15" customHeight="1" x14ac:dyDescent="0.25">
      <c r="D31" s="14"/>
      <c r="E31" s="14"/>
      <c r="F31" s="14"/>
      <c r="G31" s="236"/>
      <c r="H31" s="239"/>
      <c r="I31" s="239"/>
      <c r="J31" s="239"/>
      <c r="K31" s="239"/>
    </row>
    <row r="32" spans="3:11" s="13" customFormat="1" ht="15" customHeight="1" x14ac:dyDescent="0.25">
      <c r="C32" s="240" t="s">
        <v>24</v>
      </c>
      <c r="D32" s="14">
        <f t="shared" ref="D32:K32" si="9">D23+D166</f>
        <v>5155460</v>
      </c>
      <c r="E32" s="14">
        <f t="shared" si="9"/>
        <v>5435237</v>
      </c>
      <c r="F32" s="14">
        <f t="shared" si="9"/>
        <v>5564280</v>
      </c>
      <c r="G32" s="14">
        <f t="shared" si="9"/>
        <v>5880077.9874702292</v>
      </c>
      <c r="H32" s="14">
        <f t="shared" si="9"/>
        <v>6238477.9603078095</v>
      </c>
      <c r="I32" s="14">
        <f t="shared" si="9"/>
        <v>6557835.4753642473</v>
      </c>
      <c r="J32" s="14">
        <f t="shared" si="9"/>
        <v>6848079.3779456168</v>
      </c>
      <c r="K32" s="14">
        <f t="shared" si="9"/>
        <v>7132183.5901848655</v>
      </c>
    </row>
    <row r="33" spans="3:11" ht="15" customHeight="1" x14ac:dyDescent="0.25">
      <c r="C33" s="241" t="s">
        <v>149</v>
      </c>
      <c r="D33" s="15">
        <f>D32/D16</f>
        <v>0.26336173350630387</v>
      </c>
      <c r="E33" s="15">
        <f t="shared" ref="E33:K33" si="10">E32/E16</f>
        <v>0.25907356663014852</v>
      </c>
      <c r="F33" s="15">
        <f t="shared" si="10"/>
        <v>0.2521781676905866</v>
      </c>
      <c r="G33" s="15">
        <f t="shared" si="10"/>
        <v>0.25176236690607334</v>
      </c>
      <c r="H33" s="15">
        <f t="shared" si="10"/>
        <v>0.25176236690607334</v>
      </c>
      <c r="I33" s="15">
        <f t="shared" si="10"/>
        <v>0.25176236690607334</v>
      </c>
      <c r="J33" s="15">
        <f t="shared" si="10"/>
        <v>0.25176236690607329</v>
      </c>
      <c r="K33" s="15">
        <f t="shared" si="10"/>
        <v>0.25176236690607334</v>
      </c>
    </row>
    <row r="34" spans="3:11" ht="15" customHeight="1" x14ac:dyDescent="0.25">
      <c r="C34" s="240"/>
      <c r="D34" s="14"/>
      <c r="E34" s="14"/>
      <c r="F34" s="14"/>
      <c r="G34" s="14"/>
      <c r="H34" s="14"/>
      <c r="I34" s="14"/>
      <c r="J34" s="14"/>
      <c r="K34" s="14"/>
    </row>
    <row r="35" spans="3:11" ht="15" customHeight="1" x14ac:dyDescent="0.25">
      <c r="C35" s="242" t="s">
        <v>234</v>
      </c>
      <c r="D35" s="14"/>
      <c r="E35" s="243">
        <f>E29/988191</f>
        <v>2.340741820154201</v>
      </c>
      <c r="F35" s="243">
        <f>F29/DCF!$I$56</f>
        <v>2.4826423775859037</v>
      </c>
      <c r="G35" s="243">
        <f>G29/DCF!$I$56</f>
        <v>2.642796134002412</v>
      </c>
      <c r="H35" s="243">
        <f>H29/DCF!$I$56</f>
        <v>2.8330441958752464</v>
      </c>
      <c r="I35" s="243">
        <f>I29/DCF!$I$56</f>
        <v>3.0025675019262357</v>
      </c>
      <c r="J35" s="243">
        <f>J29/DCF!$I$56</f>
        <v>3.1566365424435383</v>
      </c>
      <c r="K35" s="243">
        <f>K29/DCF!$I$56</f>
        <v>3.3074464750461829</v>
      </c>
    </row>
    <row r="36" spans="3:11" ht="15" customHeight="1" x14ac:dyDescent="0.25">
      <c r="C36" s="242" t="s">
        <v>303</v>
      </c>
      <c r="D36" s="243"/>
      <c r="E36" s="243">
        <f>E29/$D$10</f>
        <v>2.3130999999999999</v>
      </c>
      <c r="F36" s="243">
        <f t="shared" ref="F36:K36" si="11">F29/$D$10</f>
        <v>2.4560930000000001</v>
      </c>
      <c r="G36" s="243">
        <f t="shared" si="11"/>
        <v>2.6145340721453905</v>
      </c>
      <c r="H36" s="243">
        <f t="shared" si="11"/>
        <v>2.8027476212445563</v>
      </c>
      <c r="I36" s="243">
        <f t="shared" si="11"/>
        <v>2.9704580450606364</v>
      </c>
      <c r="J36" s="243">
        <f t="shared" si="11"/>
        <v>3.1228794712586474</v>
      </c>
      <c r="K36" s="243">
        <f t="shared" si="11"/>
        <v>3.2720766424420393</v>
      </c>
    </row>
    <row r="37" spans="3:11" ht="15" customHeight="1" x14ac:dyDescent="0.25">
      <c r="C37" s="17"/>
      <c r="D37" s="14"/>
      <c r="E37" s="14"/>
      <c r="F37" s="14"/>
      <c r="G37" s="203"/>
      <c r="H37" s="14"/>
      <c r="I37" s="14"/>
      <c r="J37" s="14"/>
      <c r="K37" s="14"/>
    </row>
    <row r="38" spans="3:11" ht="15" customHeight="1" x14ac:dyDescent="0.25">
      <c r="C38" s="20" t="s">
        <v>27</v>
      </c>
      <c r="D38" s="21"/>
      <c r="E38" s="21"/>
      <c r="F38" s="14"/>
      <c r="H38" s="21"/>
      <c r="I38" s="21"/>
      <c r="J38" s="21"/>
      <c r="K38" s="21"/>
    </row>
    <row r="39" spans="3:11" ht="15" customHeight="1" x14ac:dyDescent="0.25">
      <c r="C39" s="17" t="s">
        <v>25</v>
      </c>
      <c r="D39" s="22"/>
      <c r="E39" s="220">
        <f t="shared" ref="E39:K39" si="12">E16/D16-1</f>
        <v>7.1718265380064095E-2</v>
      </c>
      <c r="F39" s="220">
        <f t="shared" si="12"/>
        <v>5.1734473137411419E-2</v>
      </c>
      <c r="G39" s="220">
        <f t="shared" si="12"/>
        <v>5.8499804485645068E-2</v>
      </c>
      <c r="H39" s="220">
        <f t="shared" si="12"/>
        <v>6.0951567921597061E-2</v>
      </c>
      <c r="I39" s="220">
        <f t="shared" si="12"/>
        <v>5.1191575427266711E-2</v>
      </c>
      <c r="J39" s="220">
        <f t="shared" si="12"/>
        <v>4.425910099021646E-2</v>
      </c>
      <c r="K39" s="220">
        <f t="shared" si="12"/>
        <v>4.1486699636428259E-2</v>
      </c>
    </row>
    <row r="40" spans="3:11" ht="15" customHeight="1" x14ac:dyDescent="0.25">
      <c r="C40" s="17" t="s">
        <v>189</v>
      </c>
      <c r="D40" s="22">
        <f>D18/D16</f>
        <v>0.30912435056219267</v>
      </c>
      <c r="E40" s="22">
        <f>E18/E16</f>
        <v>0.3176457107295918</v>
      </c>
      <c r="F40" s="22">
        <f>F18/F16</f>
        <v>0.3121618721084134</v>
      </c>
      <c r="G40" s="22">
        <f>AVERAGE(D40:F40)</f>
        <v>0.31297731113339927</v>
      </c>
      <c r="H40" s="22">
        <f>G40</f>
        <v>0.31297731113339927</v>
      </c>
      <c r="I40" s="22">
        <f t="shared" ref="I40:K40" si="13">H40</f>
        <v>0.31297731113339927</v>
      </c>
      <c r="J40" s="22">
        <f t="shared" si="13"/>
        <v>0.31297731113339927</v>
      </c>
      <c r="K40" s="22">
        <f t="shared" si="13"/>
        <v>0.31297731113339927</v>
      </c>
    </row>
    <row r="41" spans="3:11" ht="15" customHeight="1" x14ac:dyDescent="0.25">
      <c r="C41" s="17" t="s">
        <v>235</v>
      </c>
      <c r="D41" s="22">
        <f>D19/D16</f>
        <v>-0.14251144984939149</v>
      </c>
      <c r="E41" s="22">
        <f>E19/E16</f>
        <v>-0.14270675123425178</v>
      </c>
      <c r="F41" s="22">
        <f>F19/F16</f>
        <v>-0.14643458680665145</v>
      </c>
      <c r="G41" s="22">
        <f t="shared" ref="G41:G44" si="14">AVERAGE(D41:F41)</f>
        <v>-0.14388426263009824</v>
      </c>
      <c r="H41" s="22">
        <f t="shared" ref="H41:K41" si="15">G41</f>
        <v>-0.14388426263009824</v>
      </c>
      <c r="I41" s="22">
        <f t="shared" si="15"/>
        <v>-0.14388426263009824</v>
      </c>
      <c r="J41" s="22">
        <f t="shared" si="15"/>
        <v>-0.14388426263009824</v>
      </c>
      <c r="K41" s="22">
        <f t="shared" si="15"/>
        <v>-0.14388426263009824</v>
      </c>
    </row>
    <row r="42" spans="3:11" ht="15" customHeight="1" x14ac:dyDescent="0.25">
      <c r="C42" s="17" t="s">
        <v>236</v>
      </c>
      <c r="D42" s="22">
        <f>D20/D16</f>
        <v>-2.3959590479671489E-2</v>
      </c>
      <c r="E42" s="22">
        <f>E20/E16</f>
        <v>-2.4221202094691238E-2</v>
      </c>
      <c r="F42" s="22">
        <f>F20/F16</f>
        <v>-2.5446007491725764E-2</v>
      </c>
      <c r="G42" s="22">
        <f t="shared" si="14"/>
        <v>-2.4542266688696163E-2</v>
      </c>
      <c r="H42" s="22">
        <f t="shared" ref="H42:K42" si="16">G42</f>
        <v>-2.4542266688696163E-2</v>
      </c>
      <c r="I42" s="22">
        <f t="shared" si="16"/>
        <v>-2.4542266688696163E-2</v>
      </c>
      <c r="J42" s="22">
        <f t="shared" si="16"/>
        <v>-2.4542266688696163E-2</v>
      </c>
      <c r="K42" s="22">
        <f t="shared" si="16"/>
        <v>-2.4542266688696163E-2</v>
      </c>
    </row>
    <row r="43" spans="3:11" ht="15" customHeight="1" x14ac:dyDescent="0.25">
      <c r="C43" s="17" t="s">
        <v>237</v>
      </c>
      <c r="D43" s="22">
        <f>D21/D16</f>
        <v>-3.2929284105685732E-3</v>
      </c>
      <c r="E43" s="22">
        <f>E21/E16</f>
        <v>-3.0108421969014341E-3</v>
      </c>
      <c r="F43" s="22">
        <f>F21/F16</f>
        <v>-6.7133846571356217E-4</v>
      </c>
      <c r="G43" s="22">
        <f t="shared" si="14"/>
        <v>-2.3250363577278564E-3</v>
      </c>
      <c r="H43" s="22">
        <f t="shared" ref="H43:K43" si="17">G43</f>
        <v>-2.3250363577278564E-3</v>
      </c>
      <c r="I43" s="22">
        <f t="shared" si="17"/>
        <v>-2.3250363577278564E-3</v>
      </c>
      <c r="J43" s="22">
        <f t="shared" si="17"/>
        <v>-2.3250363577278564E-3</v>
      </c>
      <c r="K43" s="22">
        <f t="shared" si="17"/>
        <v>-2.3250363577278564E-3</v>
      </c>
    </row>
    <row r="44" spans="3:11" ht="15" customHeight="1" x14ac:dyDescent="0.25">
      <c r="C44" s="17" t="s">
        <v>238</v>
      </c>
      <c r="D44" s="22">
        <f>D22/D16</f>
        <v>-1.7456949562426869E-3</v>
      </c>
      <c r="E44" s="22">
        <f>E22/E16</f>
        <v>-4.9313825793469365E-3</v>
      </c>
      <c r="F44" s="22">
        <f>F22/F16</f>
        <v>-9.1611663713859072E-4</v>
      </c>
      <c r="G44" s="22">
        <f t="shared" si="14"/>
        <v>-2.5310647242427378E-3</v>
      </c>
      <c r="H44" s="22">
        <f t="shared" ref="H44:K45" si="18">G44</f>
        <v>-2.5310647242427378E-3</v>
      </c>
      <c r="I44" s="22">
        <f t="shared" si="18"/>
        <v>-2.5310647242427378E-3</v>
      </c>
      <c r="J44" s="22">
        <f t="shared" si="18"/>
        <v>-2.5310647242427378E-3</v>
      </c>
      <c r="K44" s="22">
        <f t="shared" si="18"/>
        <v>-2.5310647242427378E-3</v>
      </c>
    </row>
    <row r="45" spans="3:11" ht="15" customHeight="1" x14ac:dyDescent="0.25">
      <c r="C45" s="17" t="s">
        <v>26</v>
      </c>
      <c r="D45" s="221">
        <f>-D27/D26</f>
        <v>5.2763752969450156E-2</v>
      </c>
      <c r="E45" s="221">
        <f>-E27/E26</f>
        <v>6.0755230629145056E-2</v>
      </c>
      <c r="F45" s="221">
        <f>-F27/F26</f>
        <v>5.3558316195976875E-2</v>
      </c>
      <c r="G45" s="23">
        <f>F45</f>
        <v>5.3558316195976875E-2</v>
      </c>
      <c r="H45" s="23">
        <f t="shared" si="18"/>
        <v>5.3558316195976875E-2</v>
      </c>
      <c r="I45" s="23">
        <f t="shared" si="18"/>
        <v>5.3558316195976875E-2</v>
      </c>
      <c r="J45" s="23">
        <f t="shared" si="18"/>
        <v>5.3558316195976875E-2</v>
      </c>
      <c r="K45" s="23">
        <f t="shared" si="18"/>
        <v>5.3558316195976875E-2</v>
      </c>
    </row>
    <row r="46" spans="3:11" ht="15" customHeight="1" x14ac:dyDescent="0.25">
      <c r="C46" s="17"/>
      <c r="D46" s="24"/>
      <c r="E46" s="24"/>
      <c r="F46" s="24"/>
      <c r="G46" s="24"/>
      <c r="H46" s="24"/>
      <c r="I46" s="24"/>
      <c r="J46" s="24"/>
      <c r="K46" s="24"/>
    </row>
    <row r="47" spans="3:11" customFormat="1" x14ac:dyDescent="0.25">
      <c r="C47" s="41" t="s">
        <v>44</v>
      </c>
      <c r="D47" s="48"/>
      <c r="E47" s="48"/>
      <c r="F47" s="48"/>
      <c r="G47" s="42"/>
      <c r="H47" s="42"/>
      <c r="I47" s="42"/>
      <c r="J47" s="42"/>
      <c r="K47" s="42"/>
    </row>
    <row r="48" spans="3:11" customFormat="1" x14ac:dyDescent="0.25">
      <c r="C48" t="s">
        <v>42</v>
      </c>
      <c r="D48" s="43">
        <f>D$13</f>
        <v>2023</v>
      </c>
      <c r="E48" s="43">
        <f t="shared" ref="E48:K48" si="19">E$13</f>
        <v>2024</v>
      </c>
      <c r="F48" s="43">
        <f t="shared" si="19"/>
        <v>2025</v>
      </c>
      <c r="G48" s="44">
        <f t="shared" si="19"/>
        <v>2026</v>
      </c>
      <c r="H48" s="44">
        <f t="shared" si="19"/>
        <v>2027</v>
      </c>
      <c r="I48" s="44">
        <f t="shared" si="19"/>
        <v>2028</v>
      </c>
      <c r="J48" s="44">
        <f t="shared" si="19"/>
        <v>2029</v>
      </c>
      <c r="K48" s="44">
        <f t="shared" si="19"/>
        <v>2030</v>
      </c>
    </row>
    <row r="49" spans="3:11" customFormat="1" x14ac:dyDescent="0.25">
      <c r="C49" s="45" t="s">
        <v>43</v>
      </c>
      <c r="D49" s="245">
        <f>D$14</f>
        <v>45291</v>
      </c>
      <c r="E49" s="245">
        <f t="shared" ref="E49:K49" si="20">E$14</f>
        <v>45657</v>
      </c>
      <c r="F49" s="245">
        <f t="shared" si="20"/>
        <v>46022</v>
      </c>
      <c r="G49" s="245">
        <f t="shared" si="20"/>
        <v>46387</v>
      </c>
      <c r="H49" s="245">
        <f t="shared" si="20"/>
        <v>46752</v>
      </c>
      <c r="I49" s="245">
        <f t="shared" si="20"/>
        <v>47118</v>
      </c>
      <c r="J49" s="245">
        <f t="shared" si="20"/>
        <v>47483</v>
      </c>
      <c r="K49" s="245">
        <f t="shared" si="20"/>
        <v>47848</v>
      </c>
    </row>
    <row r="50" spans="3:11" s="37" customFormat="1" ht="15" customHeight="1" x14ac:dyDescent="0.25">
      <c r="C50" s="47" t="s">
        <v>3</v>
      </c>
    </row>
    <row r="51" spans="3:11" ht="15" customHeight="1" x14ac:dyDescent="0.25"/>
    <row r="52" spans="3:11" ht="15" customHeight="1" x14ac:dyDescent="0.25">
      <c r="C52" s="13" t="s">
        <v>4</v>
      </c>
    </row>
    <row r="53" spans="3:11" ht="15" customHeight="1" x14ac:dyDescent="0.25">
      <c r="C53" s="17" t="s">
        <v>247</v>
      </c>
      <c r="D53" s="10">
        <v>6148189</v>
      </c>
      <c r="E53" s="10">
        <v>5684420</v>
      </c>
      <c r="F53" s="10">
        <v>6005738</v>
      </c>
      <c r="G53" s="191">
        <f>G190</f>
        <v>6349536.1253489312</v>
      </c>
      <c r="H53" s="191">
        <f t="shared" ref="H53:K53" si="21">H190</f>
        <v>6736550.3077637712</v>
      </c>
      <c r="I53" s="191">
        <f t="shared" si="21"/>
        <v>7081404.9309632387</v>
      </c>
      <c r="J53" s="191">
        <f t="shared" si="21"/>
        <v>7394821.5469553554</v>
      </c>
      <c r="K53" s="191">
        <f t="shared" si="21"/>
        <v>7701608.2873388808</v>
      </c>
    </row>
    <row r="54" spans="3:11" ht="15" customHeight="1" x14ac:dyDescent="0.25">
      <c r="C54" s="17" t="s">
        <v>244</v>
      </c>
      <c r="D54" s="10">
        <v>135044</v>
      </c>
      <c r="E54" s="10">
        <v>136551</v>
      </c>
      <c r="F54" s="10">
        <v>160737</v>
      </c>
      <c r="G54" s="191">
        <f>G298</f>
        <v>165433.00697109679</v>
      </c>
      <c r="H54" s="191">
        <f t="shared" ref="H54:K54" si="22">H298</f>
        <v>179746.10692127864</v>
      </c>
      <c r="I54" s="191">
        <f t="shared" si="22"/>
        <v>194791.91700715816</v>
      </c>
      <c r="J54" s="191">
        <f t="shared" si="22"/>
        <v>210503.64112110829</v>
      </c>
      <c r="K54" s="191">
        <f t="shared" si="22"/>
        <v>226867.19281414431</v>
      </c>
    </row>
    <row r="55" spans="3:11" ht="15" customHeight="1" x14ac:dyDescent="0.25">
      <c r="C55" s="17" t="s">
        <v>248</v>
      </c>
      <c r="D55" s="10">
        <v>2564646</v>
      </c>
      <c r="E55" s="10">
        <v>2421526</v>
      </c>
      <c r="F55" s="10">
        <v>2696342</v>
      </c>
      <c r="G55" s="191">
        <f>G191</f>
        <v>2854077.4798264331</v>
      </c>
      <c r="H55" s="191">
        <f t="shared" ref="H55:K55" si="23">H191</f>
        <v>3028037.9771915749</v>
      </c>
      <c r="I55" s="191">
        <f t="shared" si="23"/>
        <v>3183048.0116976057</v>
      </c>
      <c r="J55" s="191">
        <f t="shared" si="23"/>
        <v>3323926.8551040376</v>
      </c>
      <c r="K55" s="191">
        <f t="shared" si="23"/>
        <v>3461825.6101551959</v>
      </c>
    </row>
    <row r="56" spans="3:11" ht="15" customHeight="1" x14ac:dyDescent="0.25">
      <c r="C56" s="17" t="s">
        <v>246</v>
      </c>
      <c r="D56" s="10">
        <v>15300</v>
      </c>
      <c r="E56" s="10">
        <v>13459</v>
      </c>
      <c r="F56" s="10">
        <v>5752</v>
      </c>
      <c r="G56" s="19">
        <f>F56</f>
        <v>5752</v>
      </c>
      <c r="H56" s="19">
        <f t="shared" ref="H56:K56" si="24">G56</f>
        <v>5752</v>
      </c>
      <c r="I56" s="19">
        <f t="shared" si="24"/>
        <v>5752</v>
      </c>
      <c r="J56" s="19">
        <f t="shared" si="24"/>
        <v>5752</v>
      </c>
      <c r="K56" s="19">
        <f t="shared" si="24"/>
        <v>5752</v>
      </c>
    </row>
    <row r="57" spans="3:11" ht="15" customHeight="1" x14ac:dyDescent="0.25">
      <c r="C57" s="17" t="s">
        <v>249</v>
      </c>
      <c r="D57" s="10">
        <v>1925556</v>
      </c>
      <c r="E57" s="10" t="s">
        <v>264</v>
      </c>
      <c r="F57" s="10" t="s">
        <v>264</v>
      </c>
      <c r="G57" s="19" t="str">
        <f>F57</f>
        <v>-</v>
      </c>
      <c r="H57" s="19" t="str">
        <f t="shared" ref="H57:K57" si="25">G57</f>
        <v>-</v>
      </c>
      <c r="I57" s="19" t="str">
        <f t="shared" si="25"/>
        <v>-</v>
      </c>
      <c r="J57" s="19" t="str">
        <f t="shared" si="25"/>
        <v>-</v>
      </c>
      <c r="K57" s="19" t="str">
        <f t="shared" si="25"/>
        <v>-</v>
      </c>
    </row>
    <row r="58" spans="3:11" ht="15" customHeight="1" x14ac:dyDescent="0.25">
      <c r="C58" s="17" t="s">
        <v>250</v>
      </c>
      <c r="D58" s="10">
        <v>666336</v>
      </c>
      <c r="E58" s="10">
        <v>528214</v>
      </c>
      <c r="F58" s="10">
        <v>523039</v>
      </c>
      <c r="G58" s="19">
        <f>G146</f>
        <v>553636.67923836736</v>
      </c>
      <c r="H58" s="19">
        <f t="shared" ref="H58:K58" si="26">H146</f>
        <v>587381.70289685205</v>
      </c>
      <c r="I58" s="19">
        <f t="shared" si="26"/>
        <v>617450.69764529285</v>
      </c>
      <c r="J58" s="19">
        <f t="shared" si="26"/>
        <v>644778.51042885543</v>
      </c>
      <c r="K58" s="19">
        <f t="shared" si="26"/>
        <v>671528.24282304081</v>
      </c>
    </row>
    <row r="59" spans="3:11" ht="15" customHeight="1" x14ac:dyDescent="0.25">
      <c r="C59" s="11" t="s">
        <v>5</v>
      </c>
      <c r="D59" s="12">
        <f>SUM(D53:D58)</f>
        <v>11455071</v>
      </c>
      <c r="E59" s="12">
        <f t="shared" ref="E59:K59" si="27">SUM(E53:E58)</f>
        <v>8784170</v>
      </c>
      <c r="F59" s="12">
        <f t="shared" si="27"/>
        <v>9391608</v>
      </c>
      <c r="G59" s="12">
        <f t="shared" si="27"/>
        <v>9928435.2913848292</v>
      </c>
      <c r="H59" s="12">
        <f t="shared" si="27"/>
        <v>10537468.094773477</v>
      </c>
      <c r="I59" s="12">
        <f t="shared" si="27"/>
        <v>11082447.557313297</v>
      </c>
      <c r="J59" s="12">
        <f t="shared" si="27"/>
        <v>11579782.553609356</v>
      </c>
      <c r="K59" s="12">
        <f t="shared" si="27"/>
        <v>12067581.333131261</v>
      </c>
    </row>
    <row r="60" spans="3:11" ht="15" customHeight="1" x14ac:dyDescent="0.25">
      <c r="E60" s="18"/>
      <c r="F60" s="18"/>
      <c r="G60" s="18"/>
      <c r="H60" s="18"/>
      <c r="I60" s="18"/>
      <c r="J60" s="18"/>
      <c r="K60" s="18"/>
    </row>
    <row r="61" spans="3:11" ht="15" customHeight="1" x14ac:dyDescent="0.25">
      <c r="C61" s="13" t="s">
        <v>6</v>
      </c>
      <c r="E61" s="18"/>
      <c r="F61" s="18"/>
      <c r="G61" s="18"/>
      <c r="H61" s="18"/>
      <c r="I61" s="18"/>
      <c r="J61" s="18"/>
      <c r="K61" s="18"/>
    </row>
    <row r="62" spans="3:11" ht="15" customHeight="1" x14ac:dyDescent="0.25">
      <c r="C62" s="25" t="s">
        <v>240</v>
      </c>
      <c r="D62" s="10">
        <v>20807810</v>
      </c>
      <c r="E62" s="10">
        <v>22750342</v>
      </c>
      <c r="F62" s="10">
        <v>26058632</v>
      </c>
      <c r="G62" s="19">
        <f>G157</f>
        <v>29156336.970326263</v>
      </c>
      <c r="H62" s="19">
        <f t="shared" ref="H62:K62" si="28">H157</f>
        <v>32442851.915552434</v>
      </c>
      <c r="I62" s="19">
        <f t="shared" si="28"/>
        <v>34385789.431015871</v>
      </c>
      <c r="J62" s="19">
        <f t="shared" si="28"/>
        <v>35598702.574542306</v>
      </c>
      <c r="K62" s="19">
        <f t="shared" si="28"/>
        <v>36295354.8856901</v>
      </c>
    </row>
    <row r="63" spans="3:11" ht="15" customHeight="1" x14ac:dyDescent="0.25">
      <c r="C63" s="17" t="s">
        <v>241</v>
      </c>
      <c r="D63" s="10">
        <v>525153</v>
      </c>
      <c r="E63" s="10">
        <v>525391</v>
      </c>
      <c r="F63" s="10">
        <v>492514</v>
      </c>
      <c r="G63" s="19">
        <f>G280</f>
        <v>457713.70192792546</v>
      </c>
      <c r="H63" s="19">
        <f t="shared" ref="H63:K63" si="29">H280</f>
        <v>420792.27112421906</v>
      </c>
      <c r="I63" s="19">
        <f t="shared" si="29"/>
        <v>381980.77411064209</v>
      </c>
      <c r="J63" s="19">
        <f t="shared" si="29"/>
        <v>341451.51513115969</v>
      </c>
      <c r="K63" s="19">
        <f t="shared" si="29"/>
        <v>299240.83095790853</v>
      </c>
    </row>
    <row r="64" spans="3:11" ht="15" customHeight="1" x14ac:dyDescent="0.25">
      <c r="C64" s="17" t="s">
        <v>242</v>
      </c>
      <c r="D64" s="10">
        <v>473831</v>
      </c>
      <c r="E64" s="10">
        <v>504066</v>
      </c>
      <c r="F64" s="10">
        <v>551614</v>
      </c>
      <c r="G64" s="19">
        <f>G266</f>
        <v>607030.69876404142</v>
      </c>
      <c r="H64" s="19">
        <f t="shared" ref="H64:K64" si="30">H266</f>
        <v>665825.13220679003</v>
      </c>
      <c r="I64" s="19">
        <f t="shared" si="30"/>
        <v>727629.34532382665</v>
      </c>
      <c r="J64" s="19">
        <f t="shared" si="30"/>
        <v>792168.95735083101</v>
      </c>
      <c r="K64" s="19">
        <f t="shared" si="30"/>
        <v>859386.1048766512</v>
      </c>
    </row>
    <row r="65" spans="3:11" ht="15" customHeight="1" x14ac:dyDescent="0.25">
      <c r="C65" s="17" t="s">
        <v>243</v>
      </c>
      <c r="D65" s="10">
        <v>1123769</v>
      </c>
      <c r="E65" s="10">
        <v>1130692</v>
      </c>
      <c r="F65" s="10">
        <v>1612427</v>
      </c>
      <c r="G65" s="19">
        <f>G255</f>
        <v>1618503.847377552</v>
      </c>
      <c r="H65" s="19">
        <f t="shared" ref="H65:K65" si="31">H255</f>
        <v>1624951.0881307861</v>
      </c>
      <c r="I65" s="19">
        <f t="shared" si="31"/>
        <v>1631728.3732953372</v>
      </c>
      <c r="J65" s="19">
        <f t="shared" si="31"/>
        <v>1638805.6150084257</v>
      </c>
      <c r="K65" s="19">
        <f t="shared" si="31"/>
        <v>1646176.4681227193</v>
      </c>
    </row>
    <row r="66" spans="3:11" ht="15" customHeight="1" x14ac:dyDescent="0.25">
      <c r="C66" s="17" t="s">
        <v>244</v>
      </c>
      <c r="D66" s="10">
        <v>1741819</v>
      </c>
      <c r="E66" s="10">
        <v>1838353</v>
      </c>
      <c r="F66" s="10">
        <v>1810686</v>
      </c>
      <c r="G66" s="19">
        <f>G299</f>
        <v>1981030.9072715996</v>
      </c>
      <c r="H66" s="19">
        <f t="shared" ref="H66:K66" si="32">H299</f>
        <v>2152427.7397376369</v>
      </c>
      <c r="I66" s="19">
        <f t="shared" si="32"/>
        <v>2332598.646080853</v>
      </c>
      <c r="J66" s="19">
        <f t="shared" si="32"/>
        <v>2520743.7547634128</v>
      </c>
      <c r="K66" s="19">
        <f t="shared" si="32"/>
        <v>2716694.3830579491</v>
      </c>
    </row>
    <row r="67" spans="3:11" ht="15" customHeight="1" x14ac:dyDescent="0.25">
      <c r="C67" s="17" t="s">
        <v>245</v>
      </c>
      <c r="D67" s="10">
        <v>5030</v>
      </c>
      <c r="E67" s="10">
        <v>3256</v>
      </c>
      <c r="F67" s="10">
        <v>0</v>
      </c>
      <c r="G67" s="19">
        <f>F67</f>
        <v>0</v>
      </c>
      <c r="H67" s="19">
        <f t="shared" ref="H67:K67" si="33">G67</f>
        <v>0</v>
      </c>
      <c r="I67" s="19">
        <f t="shared" si="33"/>
        <v>0</v>
      </c>
      <c r="J67" s="19">
        <f t="shared" si="33"/>
        <v>0</v>
      </c>
      <c r="K67" s="19">
        <f t="shared" si="33"/>
        <v>0</v>
      </c>
    </row>
    <row r="68" spans="3:11" ht="15" customHeight="1" x14ac:dyDescent="0.25">
      <c r="C68" s="17" t="s">
        <v>246</v>
      </c>
      <c r="D68" s="10">
        <v>37225</v>
      </c>
      <c r="E68" s="10">
        <v>27832</v>
      </c>
      <c r="F68" s="10">
        <v>45202</v>
      </c>
      <c r="G68" s="19">
        <f>F68</f>
        <v>45202</v>
      </c>
      <c r="H68" s="19">
        <f t="shared" ref="H68:K68" si="34">G68</f>
        <v>45202</v>
      </c>
      <c r="I68" s="19">
        <f t="shared" si="34"/>
        <v>45202</v>
      </c>
      <c r="J68" s="19">
        <f t="shared" si="34"/>
        <v>45202</v>
      </c>
      <c r="K68" s="19">
        <f t="shared" si="34"/>
        <v>45202</v>
      </c>
    </row>
    <row r="69" spans="3:11" ht="15" customHeight="1" x14ac:dyDescent="0.25">
      <c r="C69" s="17" t="s">
        <v>200</v>
      </c>
      <c r="D69" s="10">
        <v>24307</v>
      </c>
      <c r="E69" s="10">
        <v>3858</v>
      </c>
      <c r="F69" s="10">
        <v>4215</v>
      </c>
      <c r="G69" s="19">
        <f>F69</f>
        <v>4215</v>
      </c>
      <c r="H69" s="19">
        <f>G69</f>
        <v>4215</v>
      </c>
      <c r="I69" s="19">
        <f t="shared" ref="I69:K69" si="35">H69</f>
        <v>4215</v>
      </c>
      <c r="J69" s="19">
        <f t="shared" si="35"/>
        <v>4215</v>
      </c>
      <c r="K69" s="19">
        <f t="shared" si="35"/>
        <v>4215</v>
      </c>
    </row>
    <row r="70" spans="3:11" ht="15" customHeight="1" x14ac:dyDescent="0.25">
      <c r="C70" s="11" t="s">
        <v>7</v>
      </c>
      <c r="D70" s="12">
        <f>SUM(D62:D69)</f>
        <v>24738944</v>
      </c>
      <c r="E70" s="12">
        <f t="shared" ref="E70:K70" si="36">SUM(E62:E69)</f>
        <v>26783790</v>
      </c>
      <c r="F70" s="12">
        <f t="shared" si="36"/>
        <v>30575290</v>
      </c>
      <c r="G70" s="12">
        <f t="shared" si="36"/>
        <v>33870033.125667386</v>
      </c>
      <c r="H70" s="12">
        <f t="shared" si="36"/>
        <v>37356265.146751866</v>
      </c>
      <c r="I70" s="12">
        <f t="shared" si="36"/>
        <v>39509143.569826528</v>
      </c>
      <c r="J70" s="12">
        <f t="shared" si="36"/>
        <v>40941289.416796133</v>
      </c>
      <c r="K70" s="12">
        <f t="shared" si="36"/>
        <v>41866269.672705337</v>
      </c>
    </row>
    <row r="71" spans="3:11" ht="15" customHeight="1" x14ac:dyDescent="0.25">
      <c r="E71" s="19"/>
      <c r="F71" s="19"/>
      <c r="G71" s="19"/>
      <c r="H71" s="19"/>
      <c r="I71" s="19"/>
      <c r="J71" s="19"/>
      <c r="K71" s="19"/>
    </row>
    <row r="72" spans="3:11" ht="15" customHeight="1" x14ac:dyDescent="0.25">
      <c r="C72" s="13" t="s">
        <v>8</v>
      </c>
      <c r="D72" s="14">
        <f>D59+D70</f>
        <v>36194015</v>
      </c>
      <c r="E72" s="14">
        <f t="shared" ref="E72:K72" si="37">E59+E70</f>
        <v>35567960</v>
      </c>
      <c r="F72" s="14">
        <f t="shared" si="37"/>
        <v>39966898</v>
      </c>
      <c r="G72" s="14">
        <f t="shared" si="37"/>
        <v>43798468.417052217</v>
      </c>
      <c r="H72" s="14">
        <f t="shared" si="37"/>
        <v>47893733.241525345</v>
      </c>
      <c r="I72" s="14">
        <f t="shared" si="37"/>
        <v>50591591.127139822</v>
      </c>
      <c r="J72" s="14">
        <f t="shared" si="37"/>
        <v>52521071.970405489</v>
      </c>
      <c r="K72" s="14">
        <f t="shared" si="37"/>
        <v>53933851.005836599</v>
      </c>
    </row>
    <row r="73" spans="3:11" ht="15" customHeight="1" x14ac:dyDescent="0.25">
      <c r="E73" s="18"/>
      <c r="F73" s="18"/>
      <c r="G73" s="18"/>
      <c r="H73" s="18"/>
      <c r="I73" s="18"/>
      <c r="J73" s="18"/>
      <c r="K73" s="18"/>
    </row>
    <row r="74" spans="3:11" s="37" customFormat="1" ht="15" customHeight="1" x14ac:dyDescent="0.25">
      <c r="C74" s="47" t="s">
        <v>9</v>
      </c>
      <c r="D74" s="49"/>
      <c r="E74" s="50"/>
      <c r="F74" s="50"/>
      <c r="G74" s="227"/>
      <c r="H74" s="227"/>
      <c r="I74" s="227"/>
      <c r="J74" s="227"/>
      <c r="K74" s="227"/>
    </row>
    <row r="75" spans="3:11" ht="15" customHeight="1" x14ac:dyDescent="0.25">
      <c r="E75" s="18"/>
      <c r="F75" s="18"/>
      <c r="G75" s="18"/>
      <c r="H75" s="18"/>
      <c r="I75" s="18"/>
      <c r="J75" s="18"/>
      <c r="K75" s="18"/>
    </row>
    <row r="76" spans="3:11" ht="15" customHeight="1" x14ac:dyDescent="0.25">
      <c r="C76" s="13" t="s">
        <v>10</v>
      </c>
      <c r="E76" s="18"/>
      <c r="F76" s="18"/>
      <c r="G76" s="18"/>
      <c r="H76" s="18"/>
      <c r="I76" s="18"/>
      <c r="J76" s="18"/>
      <c r="K76" s="18"/>
    </row>
    <row r="77" spans="3:11" ht="15" customHeight="1" x14ac:dyDescent="0.25">
      <c r="C77" s="17" t="s">
        <v>261</v>
      </c>
      <c r="D77" s="10">
        <v>844</v>
      </c>
      <c r="E77" s="10">
        <v>52598</v>
      </c>
      <c r="F77" s="10">
        <v>16893</v>
      </c>
      <c r="G77" s="19">
        <f>F77</f>
        <v>16893</v>
      </c>
      <c r="H77" s="19">
        <f t="shared" ref="H77:K78" si="38">G77</f>
        <v>16893</v>
      </c>
      <c r="I77" s="19">
        <f t="shared" si="38"/>
        <v>16893</v>
      </c>
      <c r="J77" s="19">
        <f t="shared" si="38"/>
        <v>16893</v>
      </c>
      <c r="K77" s="19">
        <f t="shared" si="38"/>
        <v>16893</v>
      </c>
    </row>
    <row r="78" spans="3:11" ht="15" customHeight="1" x14ac:dyDescent="0.25">
      <c r="C78" s="17" t="s">
        <v>257</v>
      </c>
      <c r="D78" s="10">
        <v>3528828</v>
      </c>
      <c r="E78" s="10">
        <v>1229996</v>
      </c>
      <c r="F78" s="10">
        <v>1520330</v>
      </c>
      <c r="G78" s="19">
        <f>F78</f>
        <v>1520330</v>
      </c>
      <c r="H78" s="19">
        <f t="shared" si="38"/>
        <v>1520330</v>
      </c>
      <c r="I78" s="19">
        <f t="shared" si="38"/>
        <v>1520330</v>
      </c>
      <c r="J78" s="19">
        <f t="shared" si="38"/>
        <v>1520330</v>
      </c>
      <c r="K78" s="19">
        <f t="shared" si="38"/>
        <v>1520330</v>
      </c>
    </row>
    <row r="79" spans="3:11" ht="15" customHeight="1" x14ac:dyDescent="0.25">
      <c r="C79" s="17" t="s">
        <v>258</v>
      </c>
      <c r="D79" s="10">
        <v>81079</v>
      </c>
      <c r="E79" s="10">
        <v>87249</v>
      </c>
      <c r="F79" s="10">
        <v>107750</v>
      </c>
      <c r="G79" s="19">
        <f>G268*G269</f>
        <v>118602.17581834638</v>
      </c>
      <c r="H79" s="19">
        <f t="shared" ref="H79:K79" si="39">H268*H269</f>
        <v>130115.80876818184</v>
      </c>
      <c r="I79" s="19">
        <f t="shared" si="39"/>
        <v>142218.8427276107</v>
      </c>
      <c r="J79" s="19">
        <f t="shared" si="39"/>
        <v>154857.54608933791</v>
      </c>
      <c r="K79" s="19">
        <f t="shared" si="39"/>
        <v>168020.587541227</v>
      </c>
    </row>
    <row r="80" spans="3:11" ht="15" customHeight="1" x14ac:dyDescent="0.25">
      <c r="C80" s="17" t="s">
        <v>262</v>
      </c>
      <c r="D80" s="10">
        <v>249659</v>
      </c>
      <c r="E80" s="10">
        <v>345703</v>
      </c>
      <c r="F80" s="10">
        <v>257878</v>
      </c>
      <c r="G80" s="19">
        <f>G197</f>
        <v>272963.81258114922</v>
      </c>
      <c r="H80" s="19">
        <f t="shared" ref="H80:K80" si="40">H197</f>
        <v>289601.38494382723</v>
      </c>
      <c r="I80" s="19">
        <f t="shared" si="40"/>
        <v>304426.53608502005</v>
      </c>
      <c r="J80" s="19">
        <f t="shared" si="40"/>
        <v>317900.18088970875</v>
      </c>
      <c r="K80" s="19">
        <f t="shared" si="40"/>
        <v>331088.81020864629</v>
      </c>
    </row>
    <row r="81" spans="3:11" ht="15" customHeight="1" x14ac:dyDescent="0.25">
      <c r="C81" s="17" t="s">
        <v>201</v>
      </c>
      <c r="D81" s="10">
        <v>30789</v>
      </c>
      <c r="E81" s="10">
        <v>36226</v>
      </c>
      <c r="F81" s="10">
        <v>68089</v>
      </c>
      <c r="G81" s="19">
        <f>G198</f>
        <v>72072.193187623096</v>
      </c>
      <c r="H81" s="19">
        <f t="shared" ref="H81:K81" si="41">H198</f>
        <v>76465.106365956977</v>
      </c>
      <c r="I81" s="19">
        <f t="shared" si="41"/>
        <v>80379.475626043844</v>
      </c>
      <c r="J81" s="19">
        <f t="shared" si="41"/>
        <v>83936.998955317555</v>
      </c>
      <c r="K81" s="19">
        <f t="shared" si="41"/>
        <v>87419.268019359995</v>
      </c>
    </row>
    <row r="82" spans="3:11" ht="15" customHeight="1" x14ac:dyDescent="0.25">
      <c r="C82" s="17" t="s">
        <v>263</v>
      </c>
      <c r="D82" s="10">
        <v>4245868</v>
      </c>
      <c r="E82" s="10">
        <v>4048921</v>
      </c>
      <c r="F82" s="10">
        <v>4414793</v>
      </c>
      <c r="G82" s="19">
        <f>G196</f>
        <v>4667517.5706029106</v>
      </c>
      <c r="H82" s="19">
        <f t="shared" ref="H82:K82" si="42">H196</f>
        <v>4952010.0848327614</v>
      </c>
      <c r="I82" s="19">
        <f t="shared" si="42"/>
        <v>5205511.2826070646</v>
      </c>
      <c r="J82" s="19">
        <f t="shared" si="42"/>
        <v>5435902.5321696801</v>
      </c>
      <c r="K82" s="19">
        <f t="shared" si="42"/>
        <v>5661420.1877747038</v>
      </c>
    </row>
    <row r="83" spans="3:11" ht="15" customHeight="1" x14ac:dyDescent="0.25">
      <c r="C83" s="17" t="s">
        <v>246</v>
      </c>
      <c r="D83" s="10">
        <v>49622</v>
      </c>
      <c r="E83" s="10">
        <v>37945</v>
      </c>
      <c r="F83" s="10">
        <v>6421</v>
      </c>
      <c r="G83" s="19">
        <f>F83</f>
        <v>6421</v>
      </c>
      <c r="H83" s="19">
        <f t="shared" ref="H83:K83" si="43">G83</f>
        <v>6421</v>
      </c>
      <c r="I83" s="19">
        <f t="shared" si="43"/>
        <v>6421</v>
      </c>
      <c r="J83" s="19">
        <f t="shared" si="43"/>
        <v>6421</v>
      </c>
      <c r="K83" s="19">
        <f t="shared" si="43"/>
        <v>6421</v>
      </c>
    </row>
    <row r="84" spans="3:11" ht="15" customHeight="1" x14ac:dyDescent="0.25">
      <c r="C84" s="17" t="s">
        <v>297</v>
      </c>
      <c r="D84" s="10"/>
      <c r="E84" s="10"/>
      <c r="F84" s="10"/>
      <c r="G84" s="19">
        <f t="shared" ref="G84:K84" si="44">G322</f>
        <v>1775665.3200808479</v>
      </c>
      <c r="H84" s="19">
        <f t="shared" si="44"/>
        <v>3648524.5025334386</v>
      </c>
      <c r="I84" s="19">
        <f t="shared" si="44"/>
        <v>4035417.485446061</v>
      </c>
      <c r="J84" s="19">
        <f t="shared" si="44"/>
        <v>3564448.1862134724</v>
      </c>
      <c r="K84" s="19">
        <f t="shared" si="44"/>
        <v>2467611.0005551949</v>
      </c>
    </row>
    <row r="85" spans="3:11" ht="15" customHeight="1" x14ac:dyDescent="0.25">
      <c r="C85" s="11" t="s">
        <v>11</v>
      </c>
      <c r="D85" s="12">
        <f t="shared" ref="D85:K85" si="45">SUM(D77:D84)</f>
        <v>8186689</v>
      </c>
      <c r="E85" s="12">
        <f t="shared" si="45"/>
        <v>5838638</v>
      </c>
      <c r="F85" s="12">
        <f t="shared" si="45"/>
        <v>6392154</v>
      </c>
      <c r="G85" s="12">
        <f t="shared" si="45"/>
        <v>8450465.0722708777</v>
      </c>
      <c r="H85" s="12">
        <f t="shared" si="45"/>
        <v>10640360.887444166</v>
      </c>
      <c r="I85" s="12">
        <f t="shared" si="45"/>
        <v>11311597.622491799</v>
      </c>
      <c r="J85" s="12">
        <f t="shared" si="45"/>
        <v>11100689.444317516</v>
      </c>
      <c r="K85" s="12">
        <f t="shared" si="45"/>
        <v>10259203.854099132</v>
      </c>
    </row>
    <row r="86" spans="3:11" ht="15" customHeight="1" x14ac:dyDescent="0.25">
      <c r="E86" s="18"/>
      <c r="F86" s="18"/>
      <c r="G86" s="18"/>
      <c r="H86" s="18"/>
      <c r="I86" s="18"/>
      <c r="J86" s="18"/>
      <c r="K86" s="18"/>
    </row>
    <row r="87" spans="3:11" ht="15" customHeight="1" x14ac:dyDescent="0.25">
      <c r="C87" s="13" t="s">
        <v>12</v>
      </c>
      <c r="E87" s="18"/>
      <c r="F87" s="18"/>
      <c r="G87" s="18"/>
      <c r="H87" s="18"/>
      <c r="I87" s="18"/>
      <c r="J87" s="18"/>
      <c r="K87" s="18"/>
    </row>
    <row r="88" spans="3:11" ht="15" customHeight="1" x14ac:dyDescent="0.25">
      <c r="C88" s="17" t="s">
        <v>257</v>
      </c>
      <c r="D88" s="10">
        <v>8499169</v>
      </c>
      <c r="E88" s="10">
        <v>8900245</v>
      </c>
      <c r="F88" s="10">
        <v>10951810</v>
      </c>
      <c r="G88" s="19">
        <f>F88</f>
        <v>10951810</v>
      </c>
      <c r="H88" s="19">
        <f t="shared" ref="H88:K88" si="46">G88</f>
        <v>10951810</v>
      </c>
      <c r="I88" s="19">
        <f t="shared" si="46"/>
        <v>10951810</v>
      </c>
      <c r="J88" s="19">
        <f t="shared" si="46"/>
        <v>10951810</v>
      </c>
      <c r="K88" s="19">
        <f t="shared" si="46"/>
        <v>10951810</v>
      </c>
    </row>
    <row r="89" spans="3:11" ht="15" customHeight="1" x14ac:dyDescent="0.25">
      <c r="C89" s="17" t="s">
        <v>258</v>
      </c>
      <c r="D89" s="10">
        <v>369113</v>
      </c>
      <c r="E89" s="10">
        <v>397701</v>
      </c>
      <c r="F89" s="10">
        <v>442476</v>
      </c>
      <c r="G89" s="19">
        <f>(1-G269)*G268</f>
        <v>487040.52294569503</v>
      </c>
      <c r="H89" s="19">
        <f t="shared" ref="H89:K89" si="47">(1-H269)*H268</f>
        <v>534321.3234386082</v>
      </c>
      <c r="I89" s="19">
        <f t="shared" si="47"/>
        <v>584022.50259621604</v>
      </c>
      <c r="J89" s="19">
        <f t="shared" si="47"/>
        <v>635923.41126149311</v>
      </c>
      <c r="K89" s="19">
        <f t="shared" si="47"/>
        <v>689977.5173354242</v>
      </c>
    </row>
    <row r="90" spans="3:11" ht="15" customHeight="1" x14ac:dyDescent="0.25">
      <c r="C90" s="17" t="s">
        <v>259</v>
      </c>
      <c r="D90" s="10">
        <v>1225730</v>
      </c>
      <c r="E90" s="10">
        <v>1396542</v>
      </c>
      <c r="F90" s="10">
        <v>1584310</v>
      </c>
      <c r="G90" s="19">
        <f>G311</f>
        <v>1746971.144978096</v>
      </c>
      <c r="H90" s="19">
        <f t="shared" ref="H90:K90" si="48">H311</f>
        <v>1926332.713538436</v>
      </c>
      <c r="I90" s="19">
        <f t="shared" si="48"/>
        <v>2124109.3385631624</v>
      </c>
      <c r="J90" s="19">
        <f t="shared" si="48"/>
        <v>2342191.6943327719</v>
      </c>
      <c r="K90" s="19">
        <f t="shared" si="48"/>
        <v>2582664.5707006259</v>
      </c>
    </row>
    <row r="91" spans="3:11" ht="15" customHeight="1" x14ac:dyDescent="0.25">
      <c r="C91" s="17" t="s">
        <v>246</v>
      </c>
      <c r="D91" s="10">
        <v>12382</v>
      </c>
      <c r="E91" s="10">
        <v>181812</v>
      </c>
      <c r="F91" s="10">
        <v>3986</v>
      </c>
      <c r="G91" s="19">
        <f>F91</f>
        <v>3986</v>
      </c>
      <c r="H91" s="19">
        <f t="shared" ref="H91:K91" si="49">G91</f>
        <v>3986</v>
      </c>
      <c r="I91" s="19">
        <f t="shared" si="49"/>
        <v>3986</v>
      </c>
      <c r="J91" s="19">
        <f t="shared" si="49"/>
        <v>3986</v>
      </c>
      <c r="K91" s="19">
        <f t="shared" si="49"/>
        <v>3986</v>
      </c>
    </row>
    <row r="92" spans="3:11" ht="15" customHeight="1" x14ac:dyDescent="0.25">
      <c r="C92" s="17" t="s">
        <v>260</v>
      </c>
      <c r="D92" s="10">
        <v>92107</v>
      </c>
      <c r="E92" s="10">
        <v>61890</v>
      </c>
      <c r="F92" s="10">
        <v>64926</v>
      </c>
      <c r="G92" s="19">
        <f>F92</f>
        <v>64926</v>
      </c>
      <c r="H92" s="19">
        <f t="shared" ref="H92:K92" si="50">G92</f>
        <v>64926</v>
      </c>
      <c r="I92" s="19">
        <f t="shared" si="50"/>
        <v>64926</v>
      </c>
      <c r="J92" s="19">
        <f t="shared" si="50"/>
        <v>64926</v>
      </c>
      <c r="K92" s="19">
        <f t="shared" si="50"/>
        <v>64926</v>
      </c>
    </row>
    <row r="93" spans="3:11" ht="15" customHeight="1" x14ac:dyDescent="0.25">
      <c r="C93" s="11" t="s">
        <v>13</v>
      </c>
      <c r="D93" s="12">
        <f>SUM(D88:D92)</f>
        <v>10198501</v>
      </c>
      <c r="E93" s="12">
        <f t="shared" ref="E93:K93" si="51">SUM(E88:E92)</f>
        <v>10938190</v>
      </c>
      <c r="F93" s="12">
        <f t="shared" si="51"/>
        <v>13047508</v>
      </c>
      <c r="G93" s="12">
        <f t="shared" si="51"/>
        <v>13254733.667923791</v>
      </c>
      <c r="H93" s="12">
        <f t="shared" si="51"/>
        <v>13481376.036977045</v>
      </c>
      <c r="I93" s="12">
        <f t="shared" si="51"/>
        <v>13728853.841159379</v>
      </c>
      <c r="J93" s="12">
        <f t="shared" si="51"/>
        <v>13998837.105594266</v>
      </c>
      <c r="K93" s="12">
        <f t="shared" si="51"/>
        <v>14293364.088036049</v>
      </c>
    </row>
    <row r="94" spans="3:11" ht="15" customHeight="1" x14ac:dyDescent="0.25">
      <c r="E94" s="18"/>
      <c r="F94" s="18"/>
      <c r="G94" s="18"/>
      <c r="H94" s="18"/>
      <c r="I94" s="18"/>
      <c r="J94" s="18"/>
      <c r="K94" s="18"/>
    </row>
    <row r="95" spans="3:11" ht="15" customHeight="1" x14ac:dyDescent="0.25">
      <c r="C95" s="13" t="s">
        <v>14</v>
      </c>
      <c r="D95" s="26">
        <f>D85+D93</f>
        <v>18385190</v>
      </c>
      <c r="E95" s="26">
        <f t="shared" ref="E95:K95" si="52">E85+E93</f>
        <v>16776828</v>
      </c>
      <c r="F95" s="26">
        <f t="shared" si="52"/>
        <v>19439662</v>
      </c>
      <c r="G95" s="26">
        <f t="shared" si="52"/>
        <v>21705198.740194671</v>
      </c>
      <c r="H95" s="26">
        <f t="shared" si="52"/>
        <v>24121736.924421214</v>
      </c>
      <c r="I95" s="26">
        <f t="shared" si="52"/>
        <v>25040451.46365118</v>
      </c>
      <c r="J95" s="26">
        <f t="shared" si="52"/>
        <v>25099526.549911782</v>
      </c>
      <c r="K95" s="26">
        <f t="shared" si="52"/>
        <v>24552567.942135181</v>
      </c>
    </row>
    <row r="96" spans="3:11" ht="15" customHeight="1" x14ac:dyDescent="0.25">
      <c r="E96" s="18"/>
      <c r="F96" s="18"/>
      <c r="G96" s="18"/>
      <c r="H96" s="18"/>
      <c r="I96" s="18"/>
      <c r="J96" s="18"/>
      <c r="K96" s="18"/>
    </row>
    <row r="97" spans="3:11" ht="15" customHeight="1" x14ac:dyDescent="0.25">
      <c r="C97" s="13" t="s">
        <v>15</v>
      </c>
      <c r="E97" s="18"/>
      <c r="F97" s="18"/>
      <c r="G97" s="18"/>
      <c r="H97" s="18"/>
      <c r="I97" s="18"/>
      <c r="J97" s="18"/>
      <c r="K97" s="18"/>
    </row>
    <row r="98" spans="3:11" ht="15" customHeight="1" x14ac:dyDescent="0.25">
      <c r="C98" s="17" t="s">
        <v>251</v>
      </c>
      <c r="D98" s="10">
        <v>10000000</v>
      </c>
      <c r="E98" s="10">
        <v>10000000</v>
      </c>
      <c r="F98" s="10">
        <v>10000000</v>
      </c>
      <c r="G98" s="19">
        <f>F98</f>
        <v>10000000</v>
      </c>
      <c r="H98" s="19">
        <f t="shared" ref="H98:K98" si="53">G98</f>
        <v>10000000</v>
      </c>
      <c r="I98" s="19">
        <f t="shared" si="53"/>
        <v>10000000</v>
      </c>
      <c r="J98" s="19">
        <f t="shared" si="53"/>
        <v>10000000</v>
      </c>
      <c r="K98" s="19">
        <f t="shared" si="53"/>
        <v>10000000</v>
      </c>
    </row>
    <row r="99" spans="3:11" ht="15" customHeight="1" x14ac:dyDescent="0.25">
      <c r="C99" s="17" t="s">
        <v>252</v>
      </c>
      <c r="D99" s="10">
        <v>2966165</v>
      </c>
      <c r="E99" s="10">
        <v>2966165</v>
      </c>
      <c r="F99" s="10">
        <v>2966165</v>
      </c>
      <c r="G99" s="19">
        <f>F99</f>
        <v>2966165</v>
      </c>
      <c r="H99" s="19">
        <f t="shared" ref="H99:K99" si="54">G99</f>
        <v>2966165</v>
      </c>
      <c r="I99" s="19">
        <f t="shared" si="54"/>
        <v>2966165</v>
      </c>
      <c r="J99" s="19">
        <f t="shared" si="54"/>
        <v>2966165</v>
      </c>
      <c r="K99" s="19">
        <f t="shared" si="54"/>
        <v>2966165</v>
      </c>
    </row>
    <row r="100" spans="3:11" ht="15" customHeight="1" x14ac:dyDescent="0.25">
      <c r="C100" s="17" t="s">
        <v>253</v>
      </c>
      <c r="D100" s="10">
        <v>-614766</v>
      </c>
      <c r="E100" s="10">
        <v>-538024</v>
      </c>
      <c r="F100" s="10">
        <v>-509663</v>
      </c>
      <c r="G100" s="19">
        <f>F100</f>
        <v>-509663</v>
      </c>
      <c r="H100" s="19">
        <f t="shared" ref="H100:K100" si="55">G100</f>
        <v>-509663</v>
      </c>
      <c r="I100" s="19">
        <f t="shared" si="55"/>
        <v>-509663</v>
      </c>
      <c r="J100" s="19">
        <f t="shared" si="55"/>
        <v>-509663</v>
      </c>
      <c r="K100" s="19">
        <f t="shared" si="55"/>
        <v>-509663</v>
      </c>
    </row>
    <row r="101" spans="3:11" ht="15" customHeight="1" x14ac:dyDescent="0.25">
      <c r="C101" s="17" t="s">
        <v>254</v>
      </c>
      <c r="D101" s="10">
        <v>-956911</v>
      </c>
      <c r="E101" s="10">
        <v>-1311377</v>
      </c>
      <c r="F101" s="10">
        <v>-1033599</v>
      </c>
      <c r="G101" s="19">
        <f>F101</f>
        <v>-1033599</v>
      </c>
      <c r="H101" s="19">
        <f t="shared" ref="H101:K101" si="56">G101</f>
        <v>-1033599</v>
      </c>
      <c r="I101" s="19">
        <f t="shared" si="56"/>
        <v>-1033599</v>
      </c>
      <c r="J101" s="19">
        <f t="shared" si="56"/>
        <v>-1033599</v>
      </c>
      <c r="K101" s="19">
        <f t="shared" si="56"/>
        <v>-1033599</v>
      </c>
    </row>
    <row r="102" spans="3:11" ht="15" customHeight="1" x14ac:dyDescent="0.25">
      <c r="C102" s="17" t="s">
        <v>169</v>
      </c>
      <c r="D102" s="10">
        <v>6403231</v>
      </c>
      <c r="E102" s="10">
        <v>7673972</v>
      </c>
      <c r="F102" s="10">
        <v>9104577</v>
      </c>
      <c r="G102" s="19">
        <f>G237</f>
        <v>10670030.676857544</v>
      </c>
      <c r="H102" s="19">
        <f t="shared" ref="H102:K102" si="57">H237</f>
        <v>12348177.317104133</v>
      </c>
      <c r="I102" s="19">
        <f t="shared" si="57"/>
        <v>14126740.663488649</v>
      </c>
      <c r="J102" s="19">
        <f t="shared" si="57"/>
        <v>15996566.420493715</v>
      </c>
      <c r="K102" s="19">
        <f t="shared" si="57"/>
        <v>17955724.063701406</v>
      </c>
    </row>
    <row r="103" spans="3:11" ht="15" customHeight="1" x14ac:dyDescent="0.25">
      <c r="C103" s="244" t="s">
        <v>255</v>
      </c>
      <c r="D103" s="164">
        <f>SUM(D98:D102)</f>
        <v>17797719</v>
      </c>
      <c r="E103" s="164">
        <f t="shared" ref="E103:G103" si="58">SUM(E98:E102)</f>
        <v>18790736</v>
      </c>
      <c r="F103" s="164">
        <f t="shared" si="58"/>
        <v>20527480</v>
      </c>
      <c r="G103" s="164">
        <f t="shared" si="58"/>
        <v>22092933.676857546</v>
      </c>
      <c r="H103" s="164">
        <f t="shared" ref="H103" si="59">SUM(H98:H102)</f>
        <v>23771080.317104131</v>
      </c>
      <c r="I103" s="164">
        <f t="shared" ref="I103" si="60">SUM(I98:I102)</f>
        <v>25549643.663488649</v>
      </c>
      <c r="J103" s="164">
        <f t="shared" ref="J103" si="61">SUM(J98:J102)</f>
        <v>27419469.420493715</v>
      </c>
      <c r="K103" s="164">
        <f t="shared" ref="K103" si="62">SUM(K98:K102)</f>
        <v>29378627.063701406</v>
      </c>
    </row>
    <row r="104" spans="3:11" ht="15" customHeight="1" x14ac:dyDescent="0.25">
      <c r="C104" s="17" t="s">
        <v>256</v>
      </c>
      <c r="D104" s="10">
        <v>11106</v>
      </c>
      <c r="E104" s="10">
        <v>396</v>
      </c>
      <c r="F104" s="10">
        <v>-244</v>
      </c>
      <c r="G104" s="19">
        <f>G243</f>
        <v>336</v>
      </c>
      <c r="H104" s="19">
        <f t="shared" ref="H104:K104" si="63">H243</f>
        <v>916</v>
      </c>
      <c r="I104" s="19">
        <f t="shared" si="63"/>
        <v>1496</v>
      </c>
      <c r="J104" s="19">
        <f t="shared" si="63"/>
        <v>2076</v>
      </c>
      <c r="K104" s="19">
        <f t="shared" si="63"/>
        <v>2656</v>
      </c>
    </row>
    <row r="105" spans="3:11" ht="15" customHeight="1" x14ac:dyDescent="0.25">
      <c r="C105" s="27" t="s">
        <v>16</v>
      </c>
      <c r="D105" s="12">
        <f>SUM(D103:D104)</f>
        <v>17808825</v>
      </c>
      <c r="E105" s="12">
        <f t="shared" ref="E105:G105" si="64">SUM(E103:E104)</f>
        <v>18791132</v>
      </c>
      <c r="F105" s="12">
        <f t="shared" si="64"/>
        <v>20527236</v>
      </c>
      <c r="G105" s="12">
        <f t="shared" si="64"/>
        <v>22093269.676857546</v>
      </c>
      <c r="H105" s="12">
        <f t="shared" ref="H105" si="65">SUM(H103:H104)</f>
        <v>23771996.317104131</v>
      </c>
      <c r="I105" s="12">
        <f t="shared" ref="I105" si="66">SUM(I103:I104)</f>
        <v>25551139.663488649</v>
      </c>
      <c r="J105" s="12">
        <f t="shared" ref="J105" si="67">SUM(J103:J104)</f>
        <v>27421545.420493715</v>
      </c>
      <c r="K105" s="12">
        <f t="shared" ref="K105" si="68">SUM(K103:K104)</f>
        <v>29381283.063701406</v>
      </c>
    </row>
    <row r="106" spans="3:11" ht="15" customHeight="1" x14ac:dyDescent="0.25">
      <c r="E106" s="19"/>
      <c r="F106" s="19"/>
      <c r="G106" s="19"/>
      <c r="H106" s="19"/>
      <c r="I106" s="19"/>
      <c r="J106" s="19"/>
      <c r="K106" s="19"/>
    </row>
    <row r="107" spans="3:11" ht="15" customHeight="1" x14ac:dyDescent="0.25">
      <c r="C107" s="13" t="s">
        <v>17</v>
      </c>
      <c r="D107" s="14">
        <f>D95+D105</f>
        <v>36194015</v>
      </c>
      <c r="E107" s="14">
        <f t="shared" ref="E107:K107" si="69">E95+E105</f>
        <v>35567960</v>
      </c>
      <c r="F107" s="14">
        <f t="shared" si="69"/>
        <v>39966898</v>
      </c>
      <c r="G107" s="14">
        <f t="shared" si="69"/>
        <v>43798468.417052217</v>
      </c>
      <c r="H107" s="14">
        <f t="shared" si="69"/>
        <v>47893733.241525345</v>
      </c>
      <c r="I107" s="14">
        <f t="shared" si="69"/>
        <v>50591591.127139829</v>
      </c>
      <c r="J107" s="14">
        <f t="shared" si="69"/>
        <v>52521071.970405497</v>
      </c>
      <c r="K107" s="14">
        <f t="shared" si="69"/>
        <v>53933851.005836591</v>
      </c>
    </row>
    <row r="108" spans="3:11" ht="15" customHeight="1" x14ac:dyDescent="0.25">
      <c r="E108" s="18"/>
      <c r="F108" s="18"/>
      <c r="G108" s="18"/>
      <c r="H108" s="18"/>
      <c r="I108" s="18"/>
      <c r="J108" s="18"/>
      <c r="K108" s="18"/>
    </row>
    <row r="109" spans="3:11" ht="15" customHeight="1" x14ac:dyDescent="0.25">
      <c r="C109" s="6" t="s">
        <v>18</v>
      </c>
      <c r="D109" s="18">
        <f t="shared" ref="D109:K109" si="70">D72-D107</f>
        <v>0</v>
      </c>
      <c r="E109" s="18">
        <f t="shared" si="70"/>
        <v>0</v>
      </c>
      <c r="F109" s="18">
        <f t="shared" si="70"/>
        <v>0</v>
      </c>
      <c r="G109" s="18">
        <f t="shared" si="70"/>
        <v>0</v>
      </c>
      <c r="H109" s="18">
        <f t="shared" si="70"/>
        <v>0</v>
      </c>
      <c r="I109" s="18">
        <f t="shared" si="70"/>
        <v>0</v>
      </c>
      <c r="J109" s="18">
        <f t="shared" si="70"/>
        <v>0</v>
      </c>
      <c r="K109" s="18">
        <f t="shared" si="70"/>
        <v>0</v>
      </c>
    </row>
    <row r="110" spans="3:11" ht="15" customHeight="1" x14ac:dyDescent="0.25"/>
    <row r="111" spans="3:11" customFormat="1" x14ac:dyDescent="0.25">
      <c r="C111" s="41" t="s">
        <v>45</v>
      </c>
      <c r="D111" s="48"/>
      <c r="E111" s="48"/>
      <c r="F111" s="48"/>
      <c r="G111" s="48"/>
      <c r="H111" s="48"/>
      <c r="I111" s="48"/>
      <c r="J111" s="48"/>
      <c r="K111" s="48"/>
    </row>
    <row r="112" spans="3:11" customFormat="1" x14ac:dyDescent="0.25">
      <c r="C112" t="s">
        <v>42</v>
      </c>
      <c r="D112" s="43"/>
      <c r="E112" s="43"/>
      <c r="F112" s="43"/>
      <c r="G112" s="44">
        <f t="shared" ref="G112:K112" si="71">G$13</f>
        <v>2026</v>
      </c>
      <c r="H112" s="44">
        <f t="shared" si="71"/>
        <v>2027</v>
      </c>
      <c r="I112" s="44">
        <f t="shared" si="71"/>
        <v>2028</v>
      </c>
      <c r="J112" s="44">
        <f t="shared" si="71"/>
        <v>2029</v>
      </c>
      <c r="K112" s="44">
        <f t="shared" si="71"/>
        <v>2030</v>
      </c>
    </row>
    <row r="113" spans="3:11" customFormat="1" x14ac:dyDescent="0.25">
      <c r="C113" s="45" t="s">
        <v>43</v>
      </c>
      <c r="D113" s="46"/>
      <c r="E113" s="46"/>
      <c r="F113" s="46"/>
      <c r="G113" s="245">
        <f t="shared" ref="G113:K113" si="72">G$14</f>
        <v>46387</v>
      </c>
      <c r="H113" s="245">
        <f t="shared" si="72"/>
        <v>46752</v>
      </c>
      <c r="I113" s="245">
        <f t="shared" si="72"/>
        <v>47118</v>
      </c>
      <c r="J113" s="245">
        <f t="shared" si="72"/>
        <v>47483</v>
      </c>
      <c r="K113" s="245">
        <f t="shared" si="72"/>
        <v>47848</v>
      </c>
    </row>
    <row r="114" spans="3:11" ht="15" customHeight="1" x14ac:dyDescent="0.25"/>
    <row r="115" spans="3:11" s="13" customFormat="1" ht="15" customHeight="1" x14ac:dyDescent="0.25">
      <c r="C115" s="17" t="s">
        <v>195</v>
      </c>
      <c r="D115" s="206"/>
      <c r="E115" s="206"/>
      <c r="F115" s="206"/>
      <c r="G115" s="206">
        <f>G28</f>
        <v>2615114.0721453903</v>
      </c>
      <c r="H115" s="206">
        <f>H28</f>
        <v>2803327.6212445563</v>
      </c>
      <c r="I115" s="206">
        <f>I28</f>
        <v>2971038.0450606365</v>
      </c>
      <c r="J115" s="206">
        <f>J28</f>
        <v>3123459.4712586473</v>
      </c>
      <c r="K115" s="206">
        <f>K28</f>
        <v>3272656.6424420392</v>
      </c>
    </row>
    <row r="116" spans="3:11" ht="15" customHeight="1" x14ac:dyDescent="0.25">
      <c r="C116" s="17" t="s">
        <v>191</v>
      </c>
      <c r="D116" s="208"/>
      <c r="E116" s="207"/>
      <c r="F116" s="207"/>
      <c r="G116" s="207">
        <f>G156</f>
        <v>1761216.6546875753</v>
      </c>
      <c r="H116" s="207">
        <f t="shared" ref="H116:K116" si="73">H156</f>
        <v>1868565.571240413</v>
      </c>
      <c r="I116" s="207">
        <f t="shared" si="73"/>
        <v>1964220.3866213607</v>
      </c>
      <c r="J116" s="207">
        <f t="shared" si="73"/>
        <v>2051155.0150798771</v>
      </c>
      <c r="K116" s="207">
        <f t="shared" si="73"/>
        <v>2136250.6670982493</v>
      </c>
    </row>
    <row r="117" spans="3:11" ht="15" customHeight="1" x14ac:dyDescent="0.25">
      <c r="C117" s="17" t="s">
        <v>192</v>
      </c>
      <c r="D117" s="208"/>
      <c r="E117" s="207"/>
      <c r="F117" s="207"/>
      <c r="G117" s="207">
        <f>G164</f>
        <v>856198.89741916978</v>
      </c>
      <c r="H117" s="207">
        <f t="shared" ref="H117:K117" si="74">H164</f>
        <v>908385.56266961084</v>
      </c>
      <c r="I117" s="207">
        <f t="shared" si="74"/>
        <v>954887.2507180525</v>
      </c>
      <c r="J117" s="207">
        <f t="shared" si="74"/>
        <v>997149.70198185276</v>
      </c>
      <c r="K117" s="207">
        <f t="shared" si="74"/>
        <v>1038518.1521605278</v>
      </c>
    </row>
    <row r="118" spans="3:11" ht="15" customHeight="1" x14ac:dyDescent="0.25">
      <c r="C118" s="17" t="s">
        <v>294</v>
      </c>
      <c r="D118" s="208"/>
      <c r="E118" s="207"/>
      <c r="F118" s="207"/>
      <c r="G118" s="207">
        <f>G309</f>
        <v>252641.34747827135</v>
      </c>
      <c r="H118" s="207">
        <f t="shared" ref="H118:K118" si="75">H309</f>
        <v>278580.0405684018</v>
      </c>
      <c r="I118" s="207">
        <f t="shared" si="75"/>
        <v>307181.85988842166</v>
      </c>
      <c r="J118" s="207">
        <f t="shared" si="75"/>
        <v>338720.22867101576</v>
      </c>
      <c r="K118" s="207">
        <f t="shared" si="75"/>
        <v>373496.64251860237</v>
      </c>
    </row>
    <row r="119" spans="3:11" ht="15" customHeight="1" x14ac:dyDescent="0.25">
      <c r="C119" s="17" t="s">
        <v>295</v>
      </c>
      <c r="D119" s="208"/>
      <c r="E119" s="207"/>
      <c r="F119" s="207"/>
      <c r="G119" s="207">
        <f>-G310</f>
        <v>-89980.202500175423</v>
      </c>
      <c r="H119" s="207">
        <f t="shared" ref="H119:K119" si="76">-H310</f>
        <v>-99218.472008061814</v>
      </c>
      <c r="I119" s="207">
        <f t="shared" si="76"/>
        <v>-109405.23486369516</v>
      </c>
      <c r="J119" s="207">
        <f t="shared" si="76"/>
        <v>-120637.87290140631</v>
      </c>
      <c r="K119" s="207">
        <f t="shared" si="76"/>
        <v>-133023.76615074815</v>
      </c>
    </row>
    <row r="120" spans="3:11" s="13" customFormat="1" ht="15" customHeight="1" x14ac:dyDescent="0.25">
      <c r="C120" s="13" t="s">
        <v>179</v>
      </c>
      <c r="D120" s="206"/>
      <c r="E120" s="206"/>
      <c r="F120" s="206"/>
      <c r="G120" s="206">
        <f>SUM(G115:G119)</f>
        <v>5395190.7692302307</v>
      </c>
      <c r="H120" s="206">
        <f t="shared" ref="H120:K120" si="77">SUM(H115:H119)</f>
        <v>5759640.3237149203</v>
      </c>
      <c r="I120" s="206">
        <f t="shared" si="77"/>
        <v>6087922.3074247763</v>
      </c>
      <c r="J120" s="206">
        <f t="shared" si="77"/>
        <v>6389846.5440899869</v>
      </c>
      <c r="K120" s="206">
        <f t="shared" si="77"/>
        <v>6687898.3380686706</v>
      </c>
    </row>
    <row r="121" spans="3:11" s="13" customFormat="1" ht="15" customHeight="1" x14ac:dyDescent="0.25">
      <c r="D121" s="212"/>
      <c r="E121" s="210"/>
      <c r="F121" s="210"/>
      <c r="G121" s="211"/>
      <c r="H121" s="211"/>
      <c r="I121" s="211"/>
      <c r="J121" s="211"/>
      <c r="K121" s="211"/>
    </row>
    <row r="122" spans="3:11" ht="15" customHeight="1" x14ac:dyDescent="0.25">
      <c r="C122" s="204" t="s">
        <v>153</v>
      </c>
      <c r="D122" s="207"/>
      <c r="E122" s="207"/>
      <c r="F122" s="207"/>
      <c r="G122" s="207"/>
      <c r="H122" s="207"/>
      <c r="I122" s="207"/>
      <c r="J122" s="207"/>
      <c r="K122" s="207"/>
    </row>
    <row r="123" spans="3:11" ht="15" customHeight="1" x14ac:dyDescent="0.25">
      <c r="C123" s="17" t="s">
        <v>186</v>
      </c>
      <c r="D123" s="207"/>
      <c r="E123" s="207"/>
      <c r="F123" s="207"/>
      <c r="G123" s="207">
        <f>G203</f>
        <v>-229740.02880368195</v>
      </c>
      <c r="H123" s="207">
        <f t="shared" ref="H123:K123" si="78">H203</f>
        <v>-255451.68000911735</v>
      </c>
      <c r="I123" s="207">
        <f t="shared" si="78"/>
        <v>-227623.93952991627</v>
      </c>
      <c r="J123" s="207">
        <f t="shared" si="78"/>
        <v>-206873.04170197062</v>
      </c>
      <c r="K123" s="207">
        <f t="shared" si="78"/>
        <v>-202496.94144668151</v>
      </c>
    </row>
    <row r="124" spans="3:11" s="13" customFormat="1" ht="15" customHeight="1" x14ac:dyDescent="0.25">
      <c r="C124" s="13" t="s">
        <v>19</v>
      </c>
      <c r="D124" s="210"/>
      <c r="E124" s="210"/>
      <c r="F124" s="210"/>
      <c r="G124" s="210">
        <f>G120+G123</f>
        <v>5165450.7404265488</v>
      </c>
      <c r="H124" s="210">
        <f t="shared" ref="H124:K124" si="79">H120+H123</f>
        <v>5504188.643705803</v>
      </c>
      <c r="I124" s="210">
        <f t="shared" si="79"/>
        <v>5860298.36789486</v>
      </c>
      <c r="J124" s="210">
        <f t="shared" si="79"/>
        <v>6182973.5023880163</v>
      </c>
      <c r="K124" s="210">
        <f t="shared" si="79"/>
        <v>6485401.3966219891</v>
      </c>
    </row>
    <row r="125" spans="3:11" s="13" customFormat="1" ht="15" customHeight="1" x14ac:dyDescent="0.25">
      <c r="C125" s="13" t="s">
        <v>184</v>
      </c>
      <c r="D125" s="206"/>
      <c r="E125" s="206"/>
      <c r="F125" s="206"/>
      <c r="G125" s="206">
        <f>SUM(G124)</f>
        <v>5165450.7404265488</v>
      </c>
      <c r="H125" s="206">
        <f t="shared" ref="H125:K125" si="80">SUM(H124)</f>
        <v>5504188.643705803</v>
      </c>
      <c r="I125" s="206">
        <f t="shared" si="80"/>
        <v>5860298.36789486</v>
      </c>
      <c r="J125" s="206">
        <f t="shared" si="80"/>
        <v>6182973.5023880163</v>
      </c>
      <c r="K125" s="206">
        <f t="shared" si="80"/>
        <v>6485401.3966219891</v>
      </c>
    </row>
    <row r="126" spans="3:11" ht="15" customHeight="1" x14ac:dyDescent="0.25">
      <c r="D126" s="213"/>
      <c r="E126" s="209"/>
      <c r="F126" s="209"/>
      <c r="G126" s="209"/>
      <c r="H126" s="209"/>
      <c r="I126" s="209"/>
      <c r="J126" s="209"/>
      <c r="K126" s="209"/>
    </row>
    <row r="127" spans="3:11" customFormat="1" x14ac:dyDescent="0.25">
      <c r="C127" s="233" t="s">
        <v>20</v>
      </c>
      <c r="D127" s="234"/>
      <c r="E127" s="234"/>
      <c r="F127" s="234"/>
      <c r="G127" s="234"/>
      <c r="H127" s="234"/>
      <c r="I127" s="234"/>
      <c r="J127" s="234"/>
      <c r="K127" s="234"/>
    </row>
    <row r="128" spans="3:11" ht="15" customHeight="1" x14ac:dyDescent="0.25">
      <c r="D128" s="213"/>
      <c r="E128" s="209"/>
      <c r="F128" s="209"/>
      <c r="G128" s="209"/>
      <c r="H128" s="209"/>
      <c r="I128" s="209"/>
      <c r="J128" s="209"/>
      <c r="K128" s="209"/>
    </row>
    <row r="129" spans="3:11" ht="15" customHeight="1" x14ac:dyDescent="0.25">
      <c r="C129" s="17" t="s">
        <v>193</v>
      </c>
      <c r="D129" s="213"/>
      <c r="E129" s="207"/>
      <c r="F129" s="207"/>
      <c r="G129" s="207">
        <f>-G155</f>
        <v>-4858921.6250138385</v>
      </c>
      <c r="H129" s="207">
        <f t="shared" ref="H129:K129" si="81">-H155</f>
        <v>-5155080.5164665859</v>
      </c>
      <c r="I129" s="207">
        <f t="shared" si="81"/>
        <v>-3907157.9020847995</v>
      </c>
      <c r="J129" s="207">
        <f t="shared" si="81"/>
        <v>-3264068.1586063141</v>
      </c>
      <c r="K129" s="207">
        <f t="shared" si="81"/>
        <v>-2832902.9782460369</v>
      </c>
    </row>
    <row r="130" spans="3:11" ht="15" customHeight="1" x14ac:dyDescent="0.25">
      <c r="C130" s="17" t="s">
        <v>194</v>
      </c>
      <c r="D130" s="213"/>
      <c r="E130" s="207"/>
      <c r="F130" s="207"/>
      <c r="G130" s="207">
        <f>-G253</f>
        <v>-41999.155242381428</v>
      </c>
      <c r="H130" s="207">
        <f t="shared" ref="H130:K130" si="82">-H253</f>
        <v>-44559.069605787146</v>
      </c>
      <c r="I130" s="207">
        <f t="shared" si="82"/>
        <v>-46840.118578480629</v>
      </c>
      <c r="J130" s="207">
        <f t="shared" si="82"/>
        <v>-48913.220117039309</v>
      </c>
      <c r="K130" s="207">
        <f t="shared" si="82"/>
        <v>-50942.46818828542</v>
      </c>
    </row>
    <row r="131" spans="3:11" ht="15" customHeight="1" x14ac:dyDescent="0.25">
      <c r="C131" s="17" t="s">
        <v>292</v>
      </c>
      <c r="D131" s="213"/>
      <c r="E131" s="207"/>
      <c r="F131" s="207"/>
      <c r="G131" s="207">
        <f>-G289</f>
        <v>-1148482.061558974</v>
      </c>
      <c r="H131" s="207">
        <f t="shared" ref="H131:K131" si="83">-H289</f>
        <v>-1218483.8439408217</v>
      </c>
      <c r="I131" s="207">
        <f t="shared" si="83"/>
        <v>-1280859.9515448243</v>
      </c>
      <c r="J131" s="207">
        <f t="shared" si="83"/>
        <v>-1337549.6614945703</v>
      </c>
      <c r="K131" s="207">
        <f t="shared" si="83"/>
        <v>-1393040.1825498019</v>
      </c>
    </row>
    <row r="132" spans="3:11" ht="15" customHeight="1" x14ac:dyDescent="0.25">
      <c r="C132" s="17" t="s">
        <v>293</v>
      </c>
      <c r="D132" s="213"/>
      <c r="E132" s="207"/>
      <c r="F132" s="207"/>
      <c r="G132" s="207">
        <f>G291</f>
        <v>321994.21807759319</v>
      </c>
      <c r="H132" s="207">
        <f t="shared" ref="H132:K132" si="84">H291</f>
        <v>341620.27053111116</v>
      </c>
      <c r="I132" s="207">
        <f t="shared" si="84"/>
        <v>359108.35037748783</v>
      </c>
      <c r="J132" s="207">
        <f t="shared" si="84"/>
        <v>375002.1631232751</v>
      </c>
      <c r="K132" s="207">
        <f t="shared" si="84"/>
        <v>390559.76522778126</v>
      </c>
    </row>
    <row r="133" spans="3:11" ht="15" customHeight="1" x14ac:dyDescent="0.25">
      <c r="C133" s="17" t="s">
        <v>296</v>
      </c>
      <c r="D133" s="213"/>
      <c r="E133" s="207"/>
      <c r="F133" s="207"/>
      <c r="G133" s="207">
        <f>-G278</f>
        <v>-1244.7957700751185</v>
      </c>
      <c r="H133" s="207">
        <f t="shared" ref="H133:K133" si="85">-H278</f>
        <v>-1320.6680240033691</v>
      </c>
      <c r="I133" s="207">
        <f t="shared" si="85"/>
        <v>-1388.2751007685169</v>
      </c>
      <c r="J133" s="207">
        <f t="shared" si="85"/>
        <v>-1449.7189086556334</v>
      </c>
      <c r="K133" s="207">
        <f t="shared" si="85"/>
        <v>-1509.8629615762802</v>
      </c>
    </row>
    <row r="134" spans="3:11" ht="15" customHeight="1" x14ac:dyDescent="0.25">
      <c r="C134" s="13" t="s">
        <v>183</v>
      </c>
      <c r="D134" s="213"/>
      <c r="E134" s="210"/>
      <c r="F134" s="210"/>
      <c r="G134" s="210">
        <f>SUM(G129:G133)</f>
        <v>-5728653.4195076758</v>
      </c>
      <c r="H134" s="210">
        <f t="shared" ref="H134:K134" si="86">SUM(H129:H133)</f>
        <v>-6077823.8275060868</v>
      </c>
      <c r="I134" s="210">
        <f t="shared" si="86"/>
        <v>-4877137.8969313847</v>
      </c>
      <c r="J134" s="210">
        <f t="shared" si="86"/>
        <v>-4276978.5960033042</v>
      </c>
      <c r="K134" s="210">
        <f t="shared" si="86"/>
        <v>-3887835.7267179196</v>
      </c>
    </row>
    <row r="135" spans="3:11" ht="15" customHeight="1" x14ac:dyDescent="0.25">
      <c r="D135" s="213"/>
      <c r="E135" s="214"/>
      <c r="F135" s="214"/>
      <c r="G135" s="209"/>
      <c r="H135" s="209"/>
      <c r="I135" s="209"/>
      <c r="J135" s="209"/>
      <c r="K135" s="209"/>
    </row>
    <row r="136" spans="3:11" s="37" customFormat="1" ht="15" customHeight="1" x14ac:dyDescent="0.25">
      <c r="C136" s="47" t="s">
        <v>21</v>
      </c>
      <c r="D136" s="215"/>
      <c r="E136" s="216"/>
      <c r="F136" s="216"/>
      <c r="G136" s="216"/>
      <c r="H136" s="216"/>
      <c r="I136" s="216"/>
      <c r="J136" s="216"/>
      <c r="K136" s="216"/>
    </row>
    <row r="137" spans="3:11" ht="15" customHeight="1" x14ac:dyDescent="0.25">
      <c r="D137" s="213"/>
      <c r="E137" s="214"/>
      <c r="F137" s="214"/>
      <c r="G137" s="209"/>
      <c r="H137" s="209"/>
      <c r="I137" s="209"/>
      <c r="J137" s="209"/>
      <c r="K137" s="209"/>
    </row>
    <row r="138" spans="3:11" ht="15" customHeight="1" x14ac:dyDescent="0.25">
      <c r="C138" s="17" t="s">
        <v>180</v>
      </c>
      <c r="D138" s="213"/>
      <c r="E138" s="207"/>
      <c r="F138" s="207"/>
      <c r="G138" s="207">
        <f>(G88-F88)</f>
        <v>0</v>
      </c>
      <c r="H138" s="207">
        <f t="shared" ref="H138:K138" si="87">(H88-G88)</f>
        <v>0</v>
      </c>
      <c r="I138" s="207">
        <f t="shared" si="87"/>
        <v>0</v>
      </c>
      <c r="J138" s="207">
        <f t="shared" si="87"/>
        <v>0</v>
      </c>
      <c r="K138" s="207">
        <f t="shared" si="87"/>
        <v>0</v>
      </c>
    </row>
    <row r="139" spans="3:11" ht="15" customHeight="1" x14ac:dyDescent="0.25">
      <c r="C139" s="17" t="s">
        <v>181</v>
      </c>
      <c r="D139" s="213"/>
      <c r="E139" s="207"/>
      <c r="F139" s="207"/>
      <c r="G139" s="207">
        <f>-G235</f>
        <v>-1049080.3952878474</v>
      </c>
      <c r="H139" s="207">
        <f t="shared" ref="H139:K139" si="88">-H235</f>
        <v>-1124600.9809979661</v>
      </c>
      <c r="I139" s="207">
        <f t="shared" si="88"/>
        <v>-1191894.69867612</v>
      </c>
      <c r="J139" s="207">
        <f t="shared" si="88"/>
        <v>-1253053.7142535825</v>
      </c>
      <c r="K139" s="207">
        <f t="shared" si="88"/>
        <v>-1312918.9992343467</v>
      </c>
    </row>
    <row r="140" spans="3:11" ht="15" customHeight="1" x14ac:dyDescent="0.25">
      <c r="C140" s="17" t="s">
        <v>221</v>
      </c>
      <c r="D140" s="213"/>
      <c r="E140" s="207"/>
      <c r="F140" s="207"/>
      <c r="G140" s="207">
        <f>G265</f>
        <v>-132784.56647350625</v>
      </c>
      <c r="H140" s="207">
        <f t="shared" ref="H140:K140" si="89">H265</f>
        <v>-140877.993995856</v>
      </c>
      <c r="I140" s="207">
        <f t="shared" si="89"/>
        <v>-148089.76045153689</v>
      </c>
      <c r="J140" s="207">
        <f t="shared" si="89"/>
        <v>-154644.08011497839</v>
      </c>
      <c r="K140" s="207">
        <f t="shared" si="89"/>
        <v>-161059.75261726027</v>
      </c>
    </row>
    <row r="141" spans="3:11" ht="15" customHeight="1" x14ac:dyDescent="0.25">
      <c r="C141" s="17" t="s">
        <v>220</v>
      </c>
      <c r="D141" s="213"/>
      <c r="E141" s="207"/>
      <c r="F141" s="207"/>
      <c r="G141" s="207">
        <f>G323</f>
        <v>1775665.3200808479</v>
      </c>
      <c r="H141" s="207">
        <f t="shared" ref="H141:K141" si="90">H323</f>
        <v>1872859.1824525907</v>
      </c>
      <c r="I141" s="207">
        <f t="shared" si="90"/>
        <v>386892.98291262239</v>
      </c>
      <c r="J141" s="207">
        <f t="shared" si="90"/>
        <v>-470969.29923258862</v>
      </c>
      <c r="K141" s="207">
        <f t="shared" si="90"/>
        <v>-1096837.1856582775</v>
      </c>
    </row>
    <row r="142" spans="3:11" ht="15" customHeight="1" x14ac:dyDescent="0.25">
      <c r="C142" s="13" t="s">
        <v>182</v>
      </c>
      <c r="D142" s="212"/>
      <c r="E142" s="210"/>
      <c r="F142" s="210"/>
      <c r="G142" s="210">
        <f>SUM(G138:G141)</f>
        <v>593800.35831949441</v>
      </c>
      <c r="H142" s="210">
        <f t="shared" ref="H142:K142" si="91">SUM(H138:H141)</f>
        <v>607380.20745876851</v>
      </c>
      <c r="I142" s="210">
        <f t="shared" si="91"/>
        <v>-953091.47621503449</v>
      </c>
      <c r="J142" s="210">
        <f t="shared" si="91"/>
        <v>-1878667.0936011495</v>
      </c>
      <c r="K142" s="210">
        <f t="shared" si="91"/>
        <v>-2570815.9375098841</v>
      </c>
    </row>
    <row r="143" spans="3:11" ht="15" customHeight="1" x14ac:dyDescent="0.25">
      <c r="C143" s="13"/>
      <c r="D143" s="212"/>
      <c r="E143" s="210"/>
      <c r="F143" s="210"/>
      <c r="G143" s="210"/>
      <c r="H143" s="210"/>
      <c r="I143" s="210"/>
      <c r="J143" s="210"/>
      <c r="K143" s="210"/>
    </row>
    <row r="144" spans="3:11" ht="15" customHeight="1" x14ac:dyDescent="0.25">
      <c r="C144" s="13" t="s">
        <v>154</v>
      </c>
      <c r="D144" s="212"/>
      <c r="E144" s="210"/>
      <c r="F144" s="210"/>
      <c r="G144" s="210">
        <f>G125+G134+G142</f>
        <v>30597.67923836736</v>
      </c>
      <c r="H144" s="210">
        <f t="shared" ref="H144:K144" si="92">H125+H134+H142</f>
        <v>33745.023658484686</v>
      </c>
      <c r="I144" s="210">
        <f t="shared" si="92"/>
        <v>30068.994748440804</v>
      </c>
      <c r="J144" s="210">
        <f t="shared" si="92"/>
        <v>27327.812783562578</v>
      </c>
      <c r="K144" s="210">
        <f t="shared" si="92"/>
        <v>26749.732394185383</v>
      </c>
    </row>
    <row r="145" spans="3:11" ht="15" customHeight="1" x14ac:dyDescent="0.25">
      <c r="C145" s="6" t="s">
        <v>155</v>
      </c>
      <c r="D145" s="212"/>
      <c r="E145" s="210"/>
      <c r="F145" s="210"/>
      <c r="G145" s="210">
        <f>F58</f>
        <v>523039</v>
      </c>
      <c r="H145" s="210">
        <f>G58</f>
        <v>553636.67923836736</v>
      </c>
      <c r="I145" s="210">
        <f>H58</f>
        <v>587381.70289685205</v>
      </c>
      <c r="J145" s="210">
        <f>I58</f>
        <v>617450.69764529285</v>
      </c>
      <c r="K145" s="210">
        <f>J58</f>
        <v>644778.51042885543</v>
      </c>
    </row>
    <row r="146" spans="3:11" ht="15" customHeight="1" x14ac:dyDescent="0.25">
      <c r="C146" s="13" t="s">
        <v>156</v>
      </c>
      <c r="D146" s="213"/>
      <c r="E146" s="210"/>
      <c r="F146" s="210"/>
      <c r="G146" s="210">
        <f>G144+G145</f>
        <v>553636.67923836736</v>
      </c>
      <c r="H146" s="210">
        <f t="shared" ref="H146:K146" si="93">H144+H145</f>
        <v>587381.70289685205</v>
      </c>
      <c r="I146" s="210">
        <f t="shared" si="93"/>
        <v>617450.69764529285</v>
      </c>
      <c r="J146" s="210">
        <f t="shared" si="93"/>
        <v>644778.51042885543</v>
      </c>
      <c r="K146" s="210">
        <f t="shared" si="93"/>
        <v>671528.24282304081</v>
      </c>
    </row>
    <row r="147" spans="3:11" ht="15" customHeight="1" x14ac:dyDescent="0.25">
      <c r="C147" s="13"/>
      <c r="D147" s="213"/>
      <c r="E147" s="211"/>
      <c r="F147" s="210"/>
      <c r="G147" s="211"/>
      <c r="H147" s="211"/>
      <c r="I147" s="211"/>
      <c r="J147" s="211"/>
      <c r="K147" s="211"/>
    </row>
    <row r="148" spans="3:11" ht="15" customHeight="1" x14ac:dyDescent="0.25">
      <c r="C148" s="13" t="s">
        <v>22</v>
      </c>
      <c r="D148" s="250"/>
      <c r="E148" s="250"/>
      <c r="F148" s="207"/>
      <c r="G148" s="207">
        <f>G146-G58</f>
        <v>0</v>
      </c>
      <c r="H148" s="207">
        <f>H146-H58</f>
        <v>0</v>
      </c>
      <c r="I148" s="207">
        <f>I146-I58</f>
        <v>0</v>
      </c>
      <c r="J148" s="207">
        <f>J146-J58</f>
        <v>0</v>
      </c>
      <c r="K148" s="207">
        <f>K146-K58</f>
        <v>0</v>
      </c>
    </row>
    <row r="149" spans="3:11" ht="15" customHeight="1" x14ac:dyDescent="0.25"/>
    <row r="150" spans="3:11" customFormat="1" x14ac:dyDescent="0.25">
      <c r="C150" s="41" t="s">
        <v>31</v>
      </c>
      <c r="D150" s="42"/>
      <c r="E150" s="42"/>
      <c r="F150" s="42"/>
      <c r="G150" s="42"/>
      <c r="H150" s="42"/>
      <c r="I150" s="42"/>
      <c r="J150" s="42"/>
      <c r="K150" s="42"/>
    </row>
    <row r="151" spans="3:11" customFormat="1" x14ac:dyDescent="0.25">
      <c r="C151" t="s">
        <v>42</v>
      </c>
      <c r="D151" s="43">
        <f t="shared" ref="D151:F151" si="94">D$13</f>
        <v>2023</v>
      </c>
      <c r="E151" s="43">
        <f t="shared" si="94"/>
        <v>2024</v>
      </c>
      <c r="F151" s="43">
        <f t="shared" si="94"/>
        <v>2025</v>
      </c>
      <c r="G151" s="44">
        <f t="shared" ref="G151:K151" si="95">G$13</f>
        <v>2026</v>
      </c>
      <c r="H151" s="44">
        <f t="shared" si="95"/>
        <v>2027</v>
      </c>
      <c r="I151" s="44">
        <f t="shared" si="95"/>
        <v>2028</v>
      </c>
      <c r="J151" s="44">
        <f t="shared" si="95"/>
        <v>2029</v>
      </c>
      <c r="K151" s="44">
        <f t="shared" si="95"/>
        <v>2030</v>
      </c>
    </row>
    <row r="152" spans="3:11" customFormat="1" x14ac:dyDescent="0.25">
      <c r="C152" s="45" t="s">
        <v>43</v>
      </c>
      <c r="D152" s="245">
        <f t="shared" ref="D152:F152" si="96">D$14</f>
        <v>45291</v>
      </c>
      <c r="E152" s="245">
        <f t="shared" si="96"/>
        <v>45657</v>
      </c>
      <c r="F152" s="245">
        <f t="shared" si="96"/>
        <v>46022</v>
      </c>
      <c r="G152" s="245">
        <f t="shared" ref="G152:K152" si="97">G$14</f>
        <v>46387</v>
      </c>
      <c r="H152" s="245">
        <f t="shared" si="97"/>
        <v>46752</v>
      </c>
      <c r="I152" s="245">
        <f t="shared" si="97"/>
        <v>47118</v>
      </c>
      <c r="J152" s="245">
        <f t="shared" si="97"/>
        <v>47483</v>
      </c>
      <c r="K152" s="245">
        <f t="shared" si="97"/>
        <v>47848</v>
      </c>
    </row>
    <row r="153" spans="3:11" ht="15" customHeight="1" x14ac:dyDescent="0.25"/>
    <row r="154" spans="3:11" ht="15" customHeight="1" x14ac:dyDescent="0.25">
      <c r="C154" s="17" t="s">
        <v>32</v>
      </c>
      <c r="D154" s="192"/>
      <c r="E154" s="193">
        <f>D157</f>
        <v>20807810</v>
      </c>
      <c r="F154" s="193">
        <f t="shared" ref="F154:G154" si="98">E157</f>
        <v>22750342</v>
      </c>
      <c r="G154" s="193">
        <f t="shared" si="98"/>
        <v>26058632</v>
      </c>
      <c r="H154" s="193">
        <f t="shared" ref="H154:K154" si="99">G157</f>
        <v>29156336.970326263</v>
      </c>
      <c r="I154" s="193">
        <f t="shared" si="99"/>
        <v>32442851.915552434</v>
      </c>
      <c r="J154" s="193">
        <f t="shared" si="99"/>
        <v>34385789.431015871</v>
      </c>
      <c r="K154" s="193">
        <f t="shared" si="99"/>
        <v>35598702.574542306</v>
      </c>
    </row>
    <row r="155" spans="3:11" ht="15" customHeight="1" x14ac:dyDescent="0.25">
      <c r="C155" s="31" t="s">
        <v>33</v>
      </c>
      <c r="D155" s="250">
        <v>2554048</v>
      </c>
      <c r="E155" s="250">
        <v>3708468</v>
      </c>
      <c r="F155" s="250">
        <v>4590385</v>
      </c>
      <c r="G155" s="191">
        <f>G159*G16</f>
        <v>4858921.6250138385</v>
      </c>
      <c r="H155" s="191">
        <f>H159*H16</f>
        <v>5155080.5164665859</v>
      </c>
      <c r="I155" s="191">
        <f>I159*I16</f>
        <v>3907157.9020847995</v>
      </c>
      <c r="J155" s="191">
        <f>J159*J16</f>
        <v>3264068.1586063141</v>
      </c>
      <c r="K155" s="191">
        <f>K159*K16</f>
        <v>2832902.9782460369</v>
      </c>
    </row>
    <row r="156" spans="3:11" ht="15" customHeight="1" x14ac:dyDescent="0.25">
      <c r="C156" s="31" t="s">
        <v>34</v>
      </c>
      <c r="D156" s="205">
        <v>1711751</v>
      </c>
      <c r="E156" s="205">
        <v>1688316</v>
      </c>
      <c r="F156" s="205">
        <v>1663880</v>
      </c>
      <c r="G156" s="191">
        <f>G160*G16</f>
        <v>1761216.6546875753</v>
      </c>
      <c r="H156" s="191">
        <f>H160*H16</f>
        <v>1868565.571240413</v>
      </c>
      <c r="I156" s="191">
        <f>I160*I16</f>
        <v>1964220.3866213607</v>
      </c>
      <c r="J156" s="191">
        <f>J160*J16</f>
        <v>2051155.0150798771</v>
      </c>
      <c r="K156" s="191">
        <f>K160*K16</f>
        <v>2136250.6670982493</v>
      </c>
    </row>
    <row r="157" spans="3:11" ht="15" customHeight="1" x14ac:dyDescent="0.25">
      <c r="C157" s="16" t="s">
        <v>35</v>
      </c>
      <c r="D157" s="247">
        <f>D62</f>
        <v>20807810</v>
      </c>
      <c r="E157" s="247">
        <f>E62</f>
        <v>22750342</v>
      </c>
      <c r="F157" s="247">
        <f>F62</f>
        <v>26058632</v>
      </c>
      <c r="G157" s="247">
        <f>G154+G155-G156</f>
        <v>29156336.970326263</v>
      </c>
      <c r="H157" s="247">
        <f t="shared" ref="H157:K157" si="100">H154+H155-H156</f>
        <v>32442851.915552434</v>
      </c>
      <c r="I157" s="247">
        <f t="shared" si="100"/>
        <v>34385789.431015871</v>
      </c>
      <c r="J157" s="247">
        <f t="shared" si="100"/>
        <v>35598702.574542306</v>
      </c>
      <c r="K157" s="247">
        <f t="shared" si="100"/>
        <v>36295354.8856901</v>
      </c>
    </row>
    <row r="158" spans="3:11" ht="15" customHeight="1" x14ac:dyDescent="0.25">
      <c r="C158" s="13"/>
      <c r="D158" s="10"/>
      <c r="E158" s="164"/>
      <c r="F158" s="164"/>
      <c r="G158" s="165"/>
      <c r="H158" s="165"/>
      <c r="I158" s="165"/>
      <c r="J158" s="165"/>
      <c r="K158" s="165"/>
    </row>
    <row r="159" spans="3:11" ht="15" customHeight="1" x14ac:dyDescent="0.25">
      <c r="C159" s="6" t="s">
        <v>148</v>
      </c>
      <c r="D159" s="1">
        <f>D155/D16</f>
        <v>0.13047109447814714</v>
      </c>
      <c r="E159" s="1">
        <f>E155/E16</f>
        <v>0.17676617072885203</v>
      </c>
      <c r="F159" s="1">
        <f>F155/F16</f>
        <v>0.20804037149359009</v>
      </c>
      <c r="G159" s="222">
        <f>F159</f>
        <v>0.20804037149359009</v>
      </c>
      <c r="H159" s="222">
        <f>G159</f>
        <v>0.20804037149359009</v>
      </c>
      <c r="I159" s="222">
        <v>0.15</v>
      </c>
      <c r="J159" s="222">
        <v>0.12</v>
      </c>
      <c r="K159" s="222">
        <v>0.1</v>
      </c>
    </row>
    <row r="160" spans="3:11" ht="15" customHeight="1" x14ac:dyDescent="0.25">
      <c r="C160" s="6" t="s">
        <v>185</v>
      </c>
      <c r="D160" s="1">
        <f>D156/D16</f>
        <v>8.7443159425376046E-2</v>
      </c>
      <c r="E160" s="1">
        <f>E156/E16</f>
        <v>8.0474512467210865E-2</v>
      </c>
      <c r="F160" s="1">
        <f>F156/F16</f>
        <v>7.540853617305622E-2</v>
      </c>
      <c r="G160" s="264">
        <f>F160</f>
        <v>7.540853617305622E-2</v>
      </c>
      <c r="H160" s="264">
        <f t="shared" ref="H160:K160" si="101">G160</f>
        <v>7.540853617305622E-2</v>
      </c>
      <c r="I160" s="264">
        <f t="shared" si="101"/>
        <v>7.540853617305622E-2</v>
      </c>
      <c r="J160" s="264">
        <f t="shared" si="101"/>
        <v>7.540853617305622E-2</v>
      </c>
      <c r="K160" s="264">
        <f t="shared" si="101"/>
        <v>7.540853617305622E-2</v>
      </c>
    </row>
    <row r="161" spans="1:11" ht="15" customHeight="1" x14ac:dyDescent="0.25">
      <c r="D161" s="30"/>
      <c r="E161" s="1"/>
      <c r="F161" s="1"/>
      <c r="G161" s="1"/>
      <c r="H161" s="1"/>
      <c r="I161" s="1"/>
      <c r="J161" s="1"/>
      <c r="K161" s="1"/>
    </row>
    <row r="162" spans="1:11" s="37" customFormat="1" ht="15" customHeight="1" x14ac:dyDescent="0.25">
      <c r="C162" s="47" t="s">
        <v>36</v>
      </c>
      <c r="D162" s="50"/>
      <c r="E162" s="50"/>
      <c r="F162" s="50"/>
      <c r="G162" s="50"/>
      <c r="H162" s="50"/>
      <c r="I162" s="50"/>
      <c r="J162" s="50"/>
      <c r="K162" s="50"/>
    </row>
    <row r="163" spans="1:11" s="33" customFormat="1" ht="15" customHeight="1" x14ac:dyDescent="0.25">
      <c r="C163" s="34"/>
      <c r="D163" s="35"/>
      <c r="E163" s="36"/>
      <c r="F163" s="36"/>
      <c r="G163" s="36"/>
      <c r="H163" s="36"/>
      <c r="I163" s="36"/>
      <c r="J163" s="36"/>
      <c r="K163" s="36"/>
    </row>
    <row r="164" spans="1:11" s="33" customFormat="1" ht="15" customHeight="1" x14ac:dyDescent="0.25">
      <c r="C164" s="37" t="s">
        <v>37</v>
      </c>
      <c r="D164" s="10">
        <f>27262+110900+37395+574264</f>
        <v>749821</v>
      </c>
      <c r="E164" s="10">
        <f>27262+117990+39970+566338</f>
        <v>751560</v>
      </c>
      <c r="F164" s="194">
        <f>34053+125446+45389+635250</f>
        <v>840138</v>
      </c>
      <c r="G164" s="38">
        <f>G254+(-G265)+G279+G290</f>
        <v>856198.89741916978</v>
      </c>
      <c r="H164" s="38">
        <f t="shared" ref="H164:K164" si="102">H254+(-H265)+H279+H290</f>
        <v>908385.56266961084</v>
      </c>
      <c r="I164" s="38">
        <f t="shared" si="102"/>
        <v>954887.2507180525</v>
      </c>
      <c r="J164" s="38">
        <f t="shared" si="102"/>
        <v>997149.70198185276</v>
      </c>
      <c r="K164" s="38">
        <f t="shared" si="102"/>
        <v>1038518.1521605278</v>
      </c>
    </row>
    <row r="165" spans="1:11" s="33" customFormat="1" ht="15" customHeight="1" x14ac:dyDescent="0.25">
      <c r="A165" s="34"/>
      <c r="B165" s="34"/>
      <c r="C165" s="25" t="s">
        <v>38</v>
      </c>
      <c r="D165" s="39">
        <f>D164/D16</f>
        <v>3.8303887214609422E-2</v>
      </c>
      <c r="E165" s="39">
        <f>E164/E16</f>
        <v>3.5823521538537219E-2</v>
      </c>
      <c r="F165" s="39">
        <f>F164/F16</f>
        <v>3.8075808810346362E-2</v>
      </c>
      <c r="G165" s="265">
        <f>F165</f>
        <v>3.8075808810346362E-2</v>
      </c>
      <c r="H165" s="265">
        <f t="shared" ref="H165:K165" si="103">G165</f>
        <v>3.8075808810346362E-2</v>
      </c>
      <c r="I165" s="265">
        <f t="shared" si="103"/>
        <v>3.8075808810346362E-2</v>
      </c>
      <c r="J165" s="265">
        <f t="shared" si="103"/>
        <v>3.8075808810346362E-2</v>
      </c>
      <c r="K165" s="265">
        <f t="shared" si="103"/>
        <v>3.8075808810346362E-2</v>
      </c>
    </row>
    <row r="166" spans="1:11" ht="15" customHeight="1" x14ac:dyDescent="0.25">
      <c r="C166" s="40" t="s">
        <v>39</v>
      </c>
      <c r="D166" s="32">
        <f>D164+D156</f>
        <v>2461572</v>
      </c>
      <c r="E166" s="32">
        <f t="shared" ref="E166:F166" si="104">E164+E156</f>
        <v>2439876</v>
      </c>
      <c r="F166" s="32">
        <f t="shared" si="104"/>
        <v>2504018</v>
      </c>
      <c r="G166" s="32">
        <f>G156+G254+(-G265)+G279+G290</f>
        <v>2617415.5521067451</v>
      </c>
      <c r="H166" s="32">
        <f>H156+H254+(-H265)+H279+H290</f>
        <v>2776951.1339100241</v>
      </c>
      <c r="I166" s="32">
        <f>I156+I254+(-I265)+I279+I290</f>
        <v>2919107.6373394127</v>
      </c>
      <c r="J166" s="32">
        <f>J156+J254+(-J265)+J279+J290</f>
        <v>3048304.7170617296</v>
      </c>
      <c r="K166" s="32">
        <f>K156+K254+(-K265)+K279+K290</f>
        <v>3174768.819258777</v>
      </c>
    </row>
    <row r="168" spans="1:11" x14ac:dyDescent="0.25">
      <c r="C168" s="13" t="s">
        <v>270</v>
      </c>
      <c r="D168" s="28"/>
      <c r="E168" s="13"/>
      <c r="F168" s="13"/>
      <c r="G168" s="13"/>
      <c r="H168" s="13"/>
      <c r="I168" s="13"/>
      <c r="J168" s="13"/>
      <c r="K168" s="13"/>
    </row>
    <row r="169" spans="1:11" x14ac:dyDescent="0.25">
      <c r="C169" s="51" t="s">
        <v>42</v>
      </c>
      <c r="D169" s="52">
        <f t="shared" ref="D169:F169" si="105">D$13</f>
        <v>2023</v>
      </c>
      <c r="E169" s="52">
        <f t="shared" si="105"/>
        <v>2024</v>
      </c>
      <c r="F169" s="52">
        <f t="shared" si="105"/>
        <v>2025</v>
      </c>
      <c r="G169" s="53">
        <f t="shared" ref="G169:K169" si="106">G$13</f>
        <v>2026</v>
      </c>
      <c r="H169" s="53">
        <f t="shared" si="106"/>
        <v>2027</v>
      </c>
      <c r="I169" s="53">
        <f t="shared" si="106"/>
        <v>2028</v>
      </c>
      <c r="J169" s="53">
        <f t="shared" si="106"/>
        <v>2029</v>
      </c>
      <c r="K169" s="53">
        <f t="shared" si="106"/>
        <v>2030</v>
      </c>
    </row>
    <row r="170" spans="1:11" x14ac:dyDescent="0.25">
      <c r="C170" s="45" t="s">
        <v>43</v>
      </c>
      <c r="D170" s="46">
        <f t="shared" ref="D170:K170" si="107">D$14</f>
        <v>45291</v>
      </c>
      <c r="E170" s="46">
        <f t="shared" si="107"/>
        <v>45657</v>
      </c>
      <c r="F170" s="46">
        <f t="shared" si="107"/>
        <v>46022</v>
      </c>
      <c r="G170" s="46">
        <f t="shared" si="107"/>
        <v>46387</v>
      </c>
      <c r="H170" s="46">
        <f t="shared" si="107"/>
        <v>46752</v>
      </c>
      <c r="I170" s="46">
        <f t="shared" si="107"/>
        <v>47118</v>
      </c>
      <c r="J170" s="46">
        <f t="shared" si="107"/>
        <v>47483</v>
      </c>
      <c r="K170" s="46">
        <f t="shared" si="107"/>
        <v>47848</v>
      </c>
    </row>
    <row r="171" spans="1:11" x14ac:dyDescent="0.25">
      <c r="C171" s="37"/>
      <c r="D171" s="49"/>
      <c r="E171" s="37"/>
      <c r="F171" s="37"/>
      <c r="G171" s="37"/>
      <c r="H171" s="37"/>
    </row>
    <row r="172" spans="1:11" x14ac:dyDescent="0.25">
      <c r="C172" s="238" t="s">
        <v>265</v>
      </c>
      <c r="D172" s="257">
        <v>12902558</v>
      </c>
      <c r="E172" s="257">
        <v>14007348</v>
      </c>
      <c r="F172" s="257">
        <v>14632844</v>
      </c>
      <c r="G172" s="207">
        <f>F172*(1+G180)</f>
        <v>15218157.76</v>
      </c>
      <c r="H172" s="207">
        <f t="shared" ref="H172:K172" si="108">G172*(1+H180)</f>
        <v>15826884.0704</v>
      </c>
      <c r="I172" s="207">
        <f t="shared" si="108"/>
        <v>16380825.012863999</v>
      </c>
      <c r="J172" s="207">
        <f t="shared" si="108"/>
        <v>16954153.88831424</v>
      </c>
      <c r="K172" s="207">
        <f t="shared" si="108"/>
        <v>17547549.274405237</v>
      </c>
    </row>
    <row r="173" spans="1:11" x14ac:dyDescent="0.25">
      <c r="C173" s="238" t="s">
        <v>266</v>
      </c>
      <c r="D173" s="257">
        <v>2584458</v>
      </c>
      <c r="E173" s="257">
        <v>2661579</v>
      </c>
      <c r="F173" s="257">
        <v>2789339</v>
      </c>
      <c r="G173" s="207">
        <f t="shared" ref="G173:K173" si="109">F173*(1+G181)</f>
        <v>2923227.2720000003</v>
      </c>
      <c r="H173" s="207">
        <f t="shared" si="109"/>
        <v>3084004.77196</v>
      </c>
      <c r="I173" s="207">
        <f t="shared" si="109"/>
        <v>3238205.0105580003</v>
      </c>
      <c r="J173" s="207">
        <f t="shared" si="109"/>
        <v>3383924.2360331099</v>
      </c>
      <c r="K173" s="207">
        <f t="shared" si="109"/>
        <v>3536200.8266545995</v>
      </c>
    </row>
    <row r="174" spans="1:11" x14ac:dyDescent="0.25">
      <c r="C174" s="238" t="s">
        <v>267</v>
      </c>
      <c r="D174" s="257">
        <v>3518336</v>
      </c>
      <c r="E174" s="257">
        <v>3794209</v>
      </c>
      <c r="F174" s="257">
        <v>3927229</v>
      </c>
      <c r="G174" s="207">
        <f t="shared" ref="G174:K174" si="110">F174*(1+G182)</f>
        <v>4319951.9000000004</v>
      </c>
      <c r="H174" s="207">
        <f t="shared" si="110"/>
        <v>4795146.6090000011</v>
      </c>
      <c r="I174" s="207">
        <f t="shared" si="110"/>
        <v>5226709.8038100014</v>
      </c>
      <c r="J174" s="207">
        <f t="shared" si="110"/>
        <v>5540312.3920386015</v>
      </c>
      <c r="K174" s="207">
        <f t="shared" si="110"/>
        <v>5817328.0116405319</v>
      </c>
    </row>
    <row r="175" spans="1:11" x14ac:dyDescent="0.25">
      <c r="C175" s="238" t="s">
        <v>268</v>
      </c>
      <c r="D175" s="257">
        <v>570233</v>
      </c>
      <c r="E175" s="257">
        <v>516376</v>
      </c>
      <c r="F175" s="257">
        <v>715464</v>
      </c>
      <c r="G175" s="207">
        <f t="shared" ref="G175:K175" si="111">F175*(1+G183)</f>
        <v>894330</v>
      </c>
      <c r="H175" s="207">
        <f t="shared" si="111"/>
        <v>1073196</v>
      </c>
      <c r="I175" s="207">
        <f t="shared" si="111"/>
        <v>1201979.52</v>
      </c>
      <c r="J175" s="207">
        <f t="shared" si="111"/>
        <v>1322177.4720000001</v>
      </c>
      <c r="K175" s="207">
        <f t="shared" si="111"/>
        <v>1427951.6697600002</v>
      </c>
    </row>
    <row r="176" spans="1:11" x14ac:dyDescent="0.25">
      <c r="C176" s="40" t="s">
        <v>269</v>
      </c>
      <c r="D176" s="218">
        <f t="shared" ref="D176:E176" si="112">SUM(D172:D175)</f>
        <v>19575585</v>
      </c>
      <c r="E176" s="218">
        <f t="shared" si="112"/>
        <v>20979512</v>
      </c>
      <c r="F176" s="218">
        <f>SUM(F172:F175)</f>
        <v>22064876</v>
      </c>
      <c r="G176" s="218">
        <f t="shared" ref="G176:K176" si="113">SUM(G172:G175)</f>
        <v>23355666.932000004</v>
      </c>
      <c r="H176" s="218">
        <f t="shared" si="113"/>
        <v>24779231.451360002</v>
      </c>
      <c r="I176" s="218">
        <f t="shared" si="113"/>
        <v>26047719.347231999</v>
      </c>
      <c r="J176" s="218">
        <f t="shared" si="113"/>
        <v>27200567.988385953</v>
      </c>
      <c r="K176" s="218">
        <f t="shared" si="113"/>
        <v>28329029.782460365</v>
      </c>
    </row>
    <row r="177" spans="3:11" x14ac:dyDescent="0.25">
      <c r="C177" s="244"/>
      <c r="D177" s="207"/>
      <c r="E177" s="207"/>
      <c r="F177" s="207"/>
      <c r="G177" s="207"/>
      <c r="H177" s="207"/>
      <c r="I177" s="207"/>
      <c r="J177" s="207"/>
      <c r="K177" s="207"/>
    </row>
    <row r="178" spans="3:11" x14ac:dyDescent="0.25">
      <c r="C178" s="6" t="s">
        <v>190</v>
      </c>
      <c r="D178" s="207">
        <f t="shared" ref="D178:K178" si="114">D176-D16</f>
        <v>0</v>
      </c>
      <c r="E178" s="207">
        <f t="shared" si="114"/>
        <v>0</v>
      </c>
      <c r="F178" s="207">
        <f t="shared" si="114"/>
        <v>0</v>
      </c>
      <c r="G178" s="207">
        <f t="shared" si="114"/>
        <v>0</v>
      </c>
      <c r="H178" s="207">
        <f t="shared" si="114"/>
        <v>0</v>
      </c>
      <c r="I178" s="207">
        <f t="shared" si="114"/>
        <v>0</v>
      </c>
      <c r="J178" s="207">
        <f t="shared" si="114"/>
        <v>0</v>
      </c>
      <c r="K178" s="207">
        <f t="shared" si="114"/>
        <v>0</v>
      </c>
    </row>
    <row r="179" spans="3:11" x14ac:dyDescent="0.25">
      <c r="D179" s="207"/>
      <c r="E179" s="207"/>
      <c r="F179" s="207"/>
      <c r="G179" s="207"/>
      <c r="H179" s="207"/>
      <c r="I179" s="207"/>
      <c r="J179" s="207"/>
      <c r="K179" s="207"/>
    </row>
    <row r="180" spans="3:11" x14ac:dyDescent="0.25">
      <c r="C180" s="238" t="s">
        <v>265</v>
      </c>
      <c r="E180" s="1">
        <f>E172/D172-1</f>
        <v>8.5625656555855079E-2</v>
      </c>
      <c r="F180" s="1">
        <f t="shared" ref="F180" si="115">F172/E172-1</f>
        <v>4.4654848298193217E-2</v>
      </c>
      <c r="G180" s="222">
        <v>0.04</v>
      </c>
      <c r="H180" s="222">
        <v>0.04</v>
      </c>
      <c r="I180" s="222">
        <v>3.5000000000000003E-2</v>
      </c>
      <c r="J180" s="222">
        <v>3.5000000000000003E-2</v>
      </c>
      <c r="K180" s="222">
        <v>3.5000000000000003E-2</v>
      </c>
    </row>
    <row r="181" spans="3:11" x14ac:dyDescent="0.25">
      <c r="C181" s="238" t="s">
        <v>266</v>
      </c>
      <c r="E181" s="1">
        <f t="shared" ref="E181:F183" si="116">E173/D173-1</f>
        <v>2.9840299203933718E-2</v>
      </c>
      <c r="F181" s="1">
        <f t="shared" si="116"/>
        <v>4.8001581016381634E-2</v>
      </c>
      <c r="G181" s="222">
        <v>4.8000000000000001E-2</v>
      </c>
      <c r="H181" s="222">
        <v>5.5E-2</v>
      </c>
      <c r="I181" s="222">
        <v>0.05</v>
      </c>
      <c r="J181" s="222">
        <v>4.4999999999999998E-2</v>
      </c>
      <c r="K181" s="222">
        <v>4.4999999999999998E-2</v>
      </c>
    </row>
    <row r="182" spans="3:11" x14ac:dyDescent="0.25">
      <c r="C182" s="238" t="s">
        <v>267</v>
      </c>
      <c r="E182" s="1">
        <f t="shared" si="116"/>
        <v>7.8410077945938017E-2</v>
      </c>
      <c r="F182" s="1">
        <f t="shared" si="116"/>
        <v>3.5058690757414857E-2</v>
      </c>
      <c r="G182" s="222">
        <v>0.1</v>
      </c>
      <c r="H182" s="222">
        <v>0.11</v>
      </c>
      <c r="I182" s="222">
        <v>0.09</v>
      </c>
      <c r="J182" s="222">
        <v>0.06</v>
      </c>
      <c r="K182" s="222">
        <v>0.05</v>
      </c>
    </row>
    <row r="183" spans="3:11" x14ac:dyDescent="0.25">
      <c r="C183" s="238" t="s">
        <v>268</v>
      </c>
      <c r="E183" s="1">
        <f t="shared" si="116"/>
        <v>-9.444735748369526E-2</v>
      </c>
      <c r="F183" s="1">
        <f t="shared" si="116"/>
        <v>0.38554851503555554</v>
      </c>
      <c r="G183" s="222">
        <v>0.25</v>
      </c>
      <c r="H183" s="222">
        <v>0.2</v>
      </c>
      <c r="I183" s="222">
        <v>0.12</v>
      </c>
      <c r="J183" s="222">
        <v>0.1</v>
      </c>
      <c r="K183" s="222">
        <v>0.08</v>
      </c>
    </row>
    <row r="184" spans="3:11" x14ac:dyDescent="0.25">
      <c r="G184" s="219"/>
      <c r="H184" s="219"/>
      <c r="I184" s="219"/>
      <c r="J184" s="219"/>
      <c r="K184" s="219"/>
    </row>
    <row r="185" spans="3:11" x14ac:dyDescent="0.25">
      <c r="C185" s="13" t="s">
        <v>157</v>
      </c>
    </row>
    <row r="186" spans="3:11" x14ac:dyDescent="0.25">
      <c r="C186" s="51" t="s">
        <v>42</v>
      </c>
      <c r="D186" s="52">
        <f t="shared" ref="D186:K186" si="117">D$13</f>
        <v>2023</v>
      </c>
      <c r="E186" s="52">
        <f t="shared" si="117"/>
        <v>2024</v>
      </c>
      <c r="F186" s="52">
        <f t="shared" si="117"/>
        <v>2025</v>
      </c>
      <c r="G186" s="53">
        <f t="shared" si="117"/>
        <v>2026</v>
      </c>
      <c r="H186" s="53">
        <f t="shared" si="117"/>
        <v>2027</v>
      </c>
      <c r="I186" s="53">
        <f t="shared" si="117"/>
        <v>2028</v>
      </c>
      <c r="J186" s="53">
        <f t="shared" si="117"/>
        <v>2029</v>
      </c>
      <c r="K186" s="53">
        <f t="shared" si="117"/>
        <v>2030</v>
      </c>
    </row>
    <row r="187" spans="3:11" x14ac:dyDescent="0.25">
      <c r="C187" s="45" t="s">
        <v>43</v>
      </c>
      <c r="D187" s="245">
        <f t="shared" ref="D187:K187" si="118">D$14</f>
        <v>45291</v>
      </c>
      <c r="E187" s="245">
        <f t="shared" si="118"/>
        <v>45657</v>
      </c>
      <c r="F187" s="245">
        <f t="shared" si="118"/>
        <v>46022</v>
      </c>
      <c r="G187" s="245">
        <f t="shared" si="118"/>
        <v>46387</v>
      </c>
      <c r="H187" s="245">
        <f t="shared" si="118"/>
        <v>46752</v>
      </c>
      <c r="I187" s="245">
        <f t="shared" si="118"/>
        <v>47118</v>
      </c>
      <c r="J187" s="245">
        <f t="shared" si="118"/>
        <v>47483</v>
      </c>
      <c r="K187" s="245">
        <f t="shared" si="118"/>
        <v>47848</v>
      </c>
    </row>
    <row r="188" spans="3:11" x14ac:dyDescent="0.25">
      <c r="D188" s="6"/>
    </row>
    <row r="189" spans="3:11" x14ac:dyDescent="0.25">
      <c r="C189" s="13" t="s">
        <v>158</v>
      </c>
      <c r="D189" s="6"/>
    </row>
    <row r="190" spans="3:11" x14ac:dyDescent="0.25">
      <c r="C190" s="17" t="s">
        <v>247</v>
      </c>
      <c r="D190" s="29">
        <f>D53</f>
        <v>6148189</v>
      </c>
      <c r="E190" s="29">
        <f>E53</f>
        <v>5684420</v>
      </c>
      <c r="F190" s="29">
        <f>F53</f>
        <v>6005738</v>
      </c>
      <c r="G190" s="29">
        <f>G206/365*-G17</f>
        <v>6349536.1253489312</v>
      </c>
      <c r="H190" s="29">
        <f>H206/365*-H17</f>
        <v>6736550.3077637712</v>
      </c>
      <c r="I190" s="29">
        <f>I206/365*-I17</f>
        <v>7081404.9309632387</v>
      </c>
      <c r="J190" s="29">
        <f>J206/365*-J17</f>
        <v>7394821.5469553554</v>
      </c>
      <c r="K190" s="29">
        <f>K206/365*-K17</f>
        <v>7701608.2873388808</v>
      </c>
    </row>
    <row r="191" spans="3:11" x14ac:dyDescent="0.25">
      <c r="C191" s="17" t="s">
        <v>248</v>
      </c>
      <c r="D191" s="29">
        <f>D55</f>
        <v>2564646</v>
      </c>
      <c r="E191" s="29">
        <f>E55</f>
        <v>2421526</v>
      </c>
      <c r="F191" s="29">
        <f>F55</f>
        <v>2696342</v>
      </c>
      <c r="G191" s="29">
        <f>G207/365*G16</f>
        <v>2854077.4798264331</v>
      </c>
      <c r="H191" s="29">
        <f>H207/365*H16</f>
        <v>3028037.9771915749</v>
      </c>
      <c r="I191" s="29">
        <f>I207/365*I16</f>
        <v>3183048.0116976057</v>
      </c>
      <c r="J191" s="29">
        <f>J207/365*J16</f>
        <v>3323926.8551040376</v>
      </c>
      <c r="K191" s="29">
        <f>K207/365*K16</f>
        <v>3461825.6101551959</v>
      </c>
    </row>
    <row r="192" spans="3:11" x14ac:dyDescent="0.25">
      <c r="C192" s="17" t="s">
        <v>244</v>
      </c>
      <c r="D192" s="29"/>
      <c r="E192" s="29"/>
      <c r="F192" s="29"/>
      <c r="G192" s="29">
        <v>0</v>
      </c>
      <c r="H192" s="29">
        <v>0</v>
      </c>
      <c r="I192" s="29">
        <v>0</v>
      </c>
      <c r="J192" s="29">
        <v>0</v>
      </c>
      <c r="K192" s="29">
        <v>0</v>
      </c>
    </row>
    <row r="193" spans="3:11" x14ac:dyDescent="0.25">
      <c r="C193" s="13" t="s">
        <v>159</v>
      </c>
      <c r="D193" s="223">
        <f t="shared" ref="D193:K193" si="119">SUM(D190:D192)</f>
        <v>8712835</v>
      </c>
      <c r="E193" s="223">
        <f t="shared" si="119"/>
        <v>8105946</v>
      </c>
      <c r="F193" s="223">
        <f t="shared" si="119"/>
        <v>8702080</v>
      </c>
      <c r="G193" s="223">
        <f t="shared" si="119"/>
        <v>9203613.6051753648</v>
      </c>
      <c r="H193" s="223">
        <f t="shared" si="119"/>
        <v>9764588.2849553451</v>
      </c>
      <c r="I193" s="223">
        <f t="shared" si="119"/>
        <v>10264452.942660844</v>
      </c>
      <c r="J193" s="223">
        <f t="shared" si="119"/>
        <v>10718748.402059393</v>
      </c>
      <c r="K193" s="223">
        <f t="shared" si="119"/>
        <v>11163433.897494078</v>
      </c>
    </row>
    <row r="194" spans="3:11" x14ac:dyDescent="0.25">
      <c r="C194" s="13"/>
      <c r="E194" s="7"/>
      <c r="F194" s="7"/>
      <c r="G194" s="7"/>
      <c r="H194" s="7"/>
      <c r="I194" s="7"/>
      <c r="J194" s="7"/>
      <c r="K194" s="7"/>
    </row>
    <row r="195" spans="3:11" x14ac:dyDescent="0.25">
      <c r="C195" s="13" t="s">
        <v>163</v>
      </c>
      <c r="E195" s="7"/>
      <c r="F195" s="7"/>
      <c r="G195" s="7"/>
      <c r="H195" s="7"/>
      <c r="I195" s="7"/>
      <c r="J195" s="7"/>
      <c r="K195" s="7"/>
    </row>
    <row r="196" spans="3:11" x14ac:dyDescent="0.25">
      <c r="C196" s="17" t="str">
        <f>C82</f>
        <v>Trade and Other Payables</v>
      </c>
      <c r="D196" s="191">
        <f>D82</f>
        <v>4245868</v>
      </c>
      <c r="E196" s="191">
        <f>E82</f>
        <v>4048921</v>
      </c>
      <c r="F196" s="191">
        <f>F82</f>
        <v>4414793</v>
      </c>
      <c r="G196" s="29">
        <f>G208/365*-G17</f>
        <v>4667517.5706029106</v>
      </c>
      <c r="H196" s="29">
        <f>H208/365*-H17</f>
        <v>4952010.0848327614</v>
      </c>
      <c r="I196" s="29">
        <f>I208/365*-I17</f>
        <v>5205511.2826070646</v>
      </c>
      <c r="J196" s="29">
        <f>J208/365*-J17</f>
        <v>5435902.5321696801</v>
      </c>
      <c r="K196" s="29">
        <f>K208/365*-K17</f>
        <v>5661420.1877747038</v>
      </c>
    </row>
    <row r="197" spans="3:11" x14ac:dyDescent="0.25">
      <c r="C197" s="17" t="str">
        <f t="shared" ref="C197:F198" si="120">C80</f>
        <v>Zakat Payable</v>
      </c>
      <c r="D197" s="191">
        <f t="shared" si="120"/>
        <v>249659</v>
      </c>
      <c r="E197" s="191">
        <f t="shared" si="120"/>
        <v>345703</v>
      </c>
      <c r="F197" s="191">
        <f t="shared" si="120"/>
        <v>257878</v>
      </c>
      <c r="G197" s="29">
        <f>$F197/$F$16*G$16</f>
        <v>272963.81258114922</v>
      </c>
      <c r="H197" s="29">
        <f t="shared" ref="H197:K198" si="121">$F197/$F$16*H$16</f>
        <v>289601.38494382723</v>
      </c>
      <c r="I197" s="29">
        <f t="shared" si="121"/>
        <v>304426.53608502005</v>
      </c>
      <c r="J197" s="29">
        <f t="shared" si="121"/>
        <v>317900.18088970875</v>
      </c>
      <c r="K197" s="29">
        <f t="shared" si="121"/>
        <v>331088.81020864629</v>
      </c>
    </row>
    <row r="198" spans="3:11" x14ac:dyDescent="0.25">
      <c r="C198" s="17" t="str">
        <f t="shared" si="120"/>
        <v>Income Tax Payable</v>
      </c>
      <c r="D198" s="191">
        <f t="shared" si="120"/>
        <v>30789</v>
      </c>
      <c r="E198" s="191">
        <f t="shared" si="120"/>
        <v>36226</v>
      </c>
      <c r="F198" s="191">
        <f t="shared" si="120"/>
        <v>68089</v>
      </c>
      <c r="G198" s="29">
        <f>$F198/$F$16*G$16</f>
        <v>72072.193187623096</v>
      </c>
      <c r="H198" s="29">
        <f t="shared" si="121"/>
        <v>76465.106365956977</v>
      </c>
      <c r="I198" s="29">
        <f t="shared" si="121"/>
        <v>80379.475626043844</v>
      </c>
      <c r="J198" s="29">
        <f t="shared" si="121"/>
        <v>83936.998955317555</v>
      </c>
      <c r="K198" s="29">
        <f t="shared" si="121"/>
        <v>87419.268019359995</v>
      </c>
    </row>
    <row r="199" spans="3:11" x14ac:dyDescent="0.25">
      <c r="C199" s="13" t="s">
        <v>164</v>
      </c>
      <c r="D199" s="226">
        <f>SUM(D196:D198)</f>
        <v>4526316</v>
      </c>
      <c r="E199" s="226">
        <f t="shared" ref="E199:F199" si="122">SUM(E196:E198)</f>
        <v>4430850</v>
      </c>
      <c r="F199" s="226">
        <f t="shared" si="122"/>
        <v>4740760</v>
      </c>
      <c r="G199" s="226">
        <f t="shared" ref="G199" si="123">SUM(G196:G198)</f>
        <v>5012553.5763716828</v>
      </c>
      <c r="H199" s="226">
        <f t="shared" ref="H199" si="124">SUM(H196:H198)</f>
        <v>5318076.5761425458</v>
      </c>
      <c r="I199" s="226">
        <f t="shared" ref="I199" si="125">SUM(I196:I198)</f>
        <v>5590317.2943181284</v>
      </c>
      <c r="J199" s="226">
        <f t="shared" ref="J199" si="126">SUM(J196:J198)</f>
        <v>5837739.7120147068</v>
      </c>
      <c r="K199" s="226">
        <f t="shared" ref="K199" si="127">SUM(K196:K198)</f>
        <v>6079928.26600271</v>
      </c>
    </row>
    <row r="200" spans="3:11" x14ac:dyDescent="0.25">
      <c r="E200" s="7"/>
      <c r="F200" s="7"/>
      <c r="G200" s="7"/>
      <c r="H200" s="7"/>
      <c r="I200" s="7"/>
      <c r="J200" s="7"/>
      <c r="K200" s="7"/>
    </row>
    <row r="201" spans="3:11" x14ac:dyDescent="0.25">
      <c r="C201" s="6" t="s">
        <v>160</v>
      </c>
      <c r="D201" s="191">
        <f>D193-D199</f>
        <v>4186519</v>
      </c>
      <c r="E201" s="191">
        <f t="shared" ref="E201:K201" si="128">E193-E199</f>
        <v>3675096</v>
      </c>
      <c r="F201" s="191">
        <f t="shared" si="128"/>
        <v>3961320</v>
      </c>
      <c r="G201" s="191">
        <f t="shared" si="128"/>
        <v>4191060.028803682</v>
      </c>
      <c r="H201" s="191">
        <f t="shared" si="128"/>
        <v>4446511.7088127993</v>
      </c>
      <c r="I201" s="191">
        <f t="shared" si="128"/>
        <v>4674135.6483427156</v>
      </c>
      <c r="J201" s="191">
        <f t="shared" si="128"/>
        <v>4881008.6900446862</v>
      </c>
      <c r="K201" s="191">
        <f t="shared" si="128"/>
        <v>5083505.6314913677</v>
      </c>
    </row>
    <row r="202" spans="3:11" x14ac:dyDescent="0.25">
      <c r="C202" s="6" t="s">
        <v>161</v>
      </c>
      <c r="D202" s="1">
        <f t="shared" ref="D202:K202" si="129">D201/D16</f>
        <v>0.21386431107933684</v>
      </c>
      <c r="E202" s="1">
        <f t="shared" si="129"/>
        <v>0.17517547595959335</v>
      </c>
      <c r="F202" s="1">
        <f t="shared" si="129"/>
        <v>0.17953058063865848</v>
      </c>
      <c r="G202" s="1">
        <f t="shared" si="129"/>
        <v>0.17944510173937436</v>
      </c>
      <c r="H202" s="1">
        <f t="shared" si="129"/>
        <v>0.17944510173937431</v>
      </c>
      <c r="I202" s="1">
        <f t="shared" si="129"/>
        <v>0.17944510173937434</v>
      </c>
      <c r="J202" s="1">
        <f t="shared" si="129"/>
        <v>0.17944510173937434</v>
      </c>
      <c r="K202" s="1">
        <f t="shared" si="129"/>
        <v>0.17944510173937439</v>
      </c>
    </row>
    <row r="203" spans="3:11" x14ac:dyDescent="0.25">
      <c r="C203" s="6" t="s">
        <v>162</v>
      </c>
      <c r="D203" s="191"/>
      <c r="E203" s="191">
        <f>D201-E201</f>
        <v>511423</v>
      </c>
      <c r="F203" s="191">
        <f t="shared" ref="F203:K203" si="130">E201-F201</f>
        <v>-286224</v>
      </c>
      <c r="G203" s="191">
        <f t="shared" si="130"/>
        <v>-229740.02880368195</v>
      </c>
      <c r="H203" s="191">
        <f t="shared" si="130"/>
        <v>-255451.68000911735</v>
      </c>
      <c r="I203" s="191">
        <f t="shared" si="130"/>
        <v>-227623.93952991627</v>
      </c>
      <c r="J203" s="191">
        <f t="shared" si="130"/>
        <v>-206873.04170197062</v>
      </c>
      <c r="K203" s="191">
        <f t="shared" si="130"/>
        <v>-202496.94144668151</v>
      </c>
    </row>
    <row r="204" spans="3:11" x14ac:dyDescent="0.25">
      <c r="D204" s="191"/>
      <c r="E204" s="191"/>
      <c r="F204" s="191"/>
      <c r="G204" s="191"/>
      <c r="H204" s="191"/>
      <c r="I204" s="191"/>
      <c r="J204" s="191"/>
      <c r="K204" s="191"/>
    </row>
    <row r="205" spans="3:11" x14ac:dyDescent="0.25">
      <c r="C205" s="13" t="s">
        <v>202</v>
      </c>
      <c r="G205" s="258"/>
      <c r="H205" s="258"/>
      <c r="I205" s="258"/>
      <c r="J205" s="258"/>
      <c r="K205" s="258"/>
    </row>
    <row r="206" spans="3:11" x14ac:dyDescent="0.25">
      <c r="C206" s="17" t="s">
        <v>203</v>
      </c>
      <c r="D206" s="267">
        <f>D190/-D17*365</f>
        <v>165.93020079789741</v>
      </c>
      <c r="E206" s="267">
        <f>E190/-E17*365</f>
        <v>144.93514703683988</v>
      </c>
      <c r="F206" s="267">
        <f>F190/-F17*365</f>
        <v>144.43468871414714</v>
      </c>
      <c r="G206" s="267">
        <f>F206</f>
        <v>144.43468871414714</v>
      </c>
      <c r="H206" s="267">
        <f>G206</f>
        <v>144.43468871414714</v>
      </c>
      <c r="I206" s="267">
        <f t="shared" ref="I206:K206" si="131">H206</f>
        <v>144.43468871414714</v>
      </c>
      <c r="J206" s="267">
        <f t="shared" si="131"/>
        <v>144.43468871414714</v>
      </c>
      <c r="K206" s="267">
        <f t="shared" si="131"/>
        <v>144.43468871414714</v>
      </c>
    </row>
    <row r="207" spans="3:11" x14ac:dyDescent="0.25">
      <c r="C207" s="17" t="s">
        <v>204</v>
      </c>
      <c r="D207" s="267">
        <f>D191/D16*365</f>
        <v>47.819556350423241</v>
      </c>
      <c r="E207" s="267">
        <f>E191/E16*365</f>
        <v>42.129530467629557</v>
      </c>
      <c r="F207" s="267">
        <f>F191/F16*365</f>
        <v>44.603234117427171</v>
      </c>
      <c r="G207" s="267">
        <f t="shared" ref="G207:K207" si="132">F207</f>
        <v>44.603234117427171</v>
      </c>
      <c r="H207" s="267">
        <f t="shared" si="132"/>
        <v>44.603234117427171</v>
      </c>
      <c r="I207" s="267">
        <f t="shared" si="132"/>
        <v>44.603234117427171</v>
      </c>
      <c r="J207" s="267">
        <f t="shared" si="132"/>
        <v>44.603234117427171</v>
      </c>
      <c r="K207" s="267">
        <f t="shared" si="132"/>
        <v>44.603234117427171</v>
      </c>
    </row>
    <row r="208" spans="3:11" x14ac:dyDescent="0.25">
      <c r="C208" s="17" t="s">
        <v>205</v>
      </c>
      <c r="D208" s="267">
        <f>D196/-D17*365</f>
        <v>114.58947176174433</v>
      </c>
      <c r="E208" s="267">
        <f>E196/-E17*365</f>
        <v>103.23497568363155</v>
      </c>
      <c r="F208" s="267">
        <f>F196/-F17*365</f>
        <v>106.17333834616092</v>
      </c>
      <c r="G208" s="267">
        <f t="shared" ref="G208:K208" si="133">F208</f>
        <v>106.17333834616092</v>
      </c>
      <c r="H208" s="267">
        <f t="shared" si="133"/>
        <v>106.17333834616092</v>
      </c>
      <c r="I208" s="267">
        <f t="shared" si="133"/>
        <v>106.17333834616092</v>
      </c>
      <c r="J208" s="267">
        <f t="shared" si="133"/>
        <v>106.17333834616092</v>
      </c>
      <c r="K208" s="267">
        <f t="shared" si="133"/>
        <v>106.17333834616092</v>
      </c>
    </row>
    <row r="209" spans="3:11" x14ac:dyDescent="0.25">
      <c r="D209" s="259"/>
      <c r="E209" s="259"/>
      <c r="F209" s="259"/>
      <c r="G209" s="258"/>
      <c r="H209" s="258"/>
      <c r="I209" s="258"/>
      <c r="J209" s="258"/>
      <c r="K209" s="258"/>
    </row>
    <row r="210" spans="3:11" x14ac:dyDescent="0.25">
      <c r="C210" s="13" t="s">
        <v>165</v>
      </c>
    </row>
    <row r="211" spans="3:11" x14ac:dyDescent="0.25">
      <c r="C211" s="51" t="s">
        <v>42</v>
      </c>
      <c r="D211" s="52">
        <f t="shared" ref="D211:K211" si="134">D$13</f>
        <v>2023</v>
      </c>
      <c r="E211" s="52">
        <f t="shared" si="134"/>
        <v>2024</v>
      </c>
      <c r="F211" s="52">
        <f t="shared" si="134"/>
        <v>2025</v>
      </c>
      <c r="G211" s="53">
        <f t="shared" si="134"/>
        <v>2026</v>
      </c>
      <c r="H211" s="53">
        <f t="shared" si="134"/>
        <v>2027</v>
      </c>
      <c r="I211" s="53">
        <f t="shared" si="134"/>
        <v>2028</v>
      </c>
      <c r="J211" s="53">
        <f t="shared" si="134"/>
        <v>2029</v>
      </c>
      <c r="K211" s="53">
        <f t="shared" si="134"/>
        <v>2030</v>
      </c>
    </row>
    <row r="212" spans="3:11" x14ac:dyDescent="0.25">
      <c r="C212" s="45" t="s">
        <v>43</v>
      </c>
      <c r="D212" s="245">
        <f t="shared" ref="D212:K212" si="135">D$14</f>
        <v>45291</v>
      </c>
      <c r="E212" s="245">
        <f t="shared" si="135"/>
        <v>45657</v>
      </c>
      <c r="F212" s="245">
        <f t="shared" si="135"/>
        <v>46022</v>
      </c>
      <c r="G212" s="245">
        <f t="shared" si="135"/>
        <v>46387</v>
      </c>
      <c r="H212" s="245">
        <f t="shared" si="135"/>
        <v>46752</v>
      </c>
      <c r="I212" s="245">
        <f t="shared" si="135"/>
        <v>47118</v>
      </c>
      <c r="J212" s="245">
        <f t="shared" si="135"/>
        <v>47483</v>
      </c>
      <c r="K212" s="245">
        <f t="shared" si="135"/>
        <v>47848</v>
      </c>
    </row>
    <row r="214" spans="3:11" x14ac:dyDescent="0.25">
      <c r="C214" s="13" t="s">
        <v>271</v>
      </c>
      <c r="D214" s="191"/>
      <c r="E214" s="191"/>
      <c r="F214" s="191"/>
      <c r="G214" s="191"/>
      <c r="H214" s="191"/>
      <c r="I214" s="191"/>
      <c r="J214" s="191"/>
      <c r="K214" s="191"/>
    </row>
    <row r="215" spans="3:11" x14ac:dyDescent="0.25">
      <c r="C215" s="31" t="s">
        <v>32</v>
      </c>
      <c r="D215" s="191"/>
      <c r="E215" s="191">
        <f t="shared" ref="E215:K215" si="136">D217</f>
        <v>12028841</v>
      </c>
      <c r="F215" s="191">
        <f t="shared" si="136"/>
        <v>10182839</v>
      </c>
      <c r="G215" s="191">
        <f t="shared" si="136"/>
        <v>12489033</v>
      </c>
      <c r="H215" s="191">
        <f t="shared" si="136"/>
        <v>12489033</v>
      </c>
      <c r="I215" s="191">
        <f t="shared" si="136"/>
        <v>12489033</v>
      </c>
      <c r="J215" s="191">
        <f t="shared" si="136"/>
        <v>12489033</v>
      </c>
      <c r="K215" s="191">
        <f t="shared" si="136"/>
        <v>12489033</v>
      </c>
    </row>
    <row r="216" spans="3:11" x14ac:dyDescent="0.25">
      <c r="C216" s="31" t="s">
        <v>291</v>
      </c>
      <c r="D216" s="191"/>
      <c r="E216" s="191">
        <f>E217-E215</f>
        <v>-1846002</v>
      </c>
      <c r="F216" s="191">
        <f t="shared" ref="F216" si="137">F217-F215</f>
        <v>2306194</v>
      </c>
      <c r="G216" s="191">
        <v>0</v>
      </c>
      <c r="H216" s="191">
        <v>0</v>
      </c>
      <c r="I216" s="191">
        <v>0</v>
      </c>
      <c r="J216" s="191">
        <v>0</v>
      </c>
      <c r="K216" s="191">
        <v>0</v>
      </c>
    </row>
    <row r="217" spans="3:11" x14ac:dyDescent="0.25">
      <c r="C217" s="31" t="s">
        <v>35</v>
      </c>
      <c r="D217" s="191">
        <f>D77+D78+D88</f>
        <v>12028841</v>
      </c>
      <c r="E217" s="191">
        <f>E77+E78+E88</f>
        <v>10182839</v>
      </c>
      <c r="F217" s="191">
        <f>F77+F78+F88</f>
        <v>12489033</v>
      </c>
      <c r="G217" s="191">
        <f>G215+G216</f>
        <v>12489033</v>
      </c>
      <c r="H217" s="191">
        <f t="shared" ref="H217:K217" si="138">H215+H216</f>
        <v>12489033</v>
      </c>
      <c r="I217" s="191">
        <f t="shared" si="138"/>
        <v>12489033</v>
      </c>
      <c r="J217" s="191">
        <f t="shared" si="138"/>
        <v>12489033</v>
      </c>
      <c r="K217" s="191">
        <f t="shared" si="138"/>
        <v>12489033</v>
      </c>
    </row>
    <row r="218" spans="3:11" x14ac:dyDescent="0.25">
      <c r="C218" s="31" t="s">
        <v>166</v>
      </c>
      <c r="D218" s="191"/>
      <c r="E218" s="191">
        <f>AVERAGE(E215,E217)</f>
        <v>11105840</v>
      </c>
      <c r="F218" s="191">
        <f t="shared" ref="F218:K218" si="139">AVERAGE(F215,F217)</f>
        <v>11335936</v>
      </c>
      <c r="G218" s="191">
        <f t="shared" si="139"/>
        <v>12489033</v>
      </c>
      <c r="H218" s="191">
        <f t="shared" si="139"/>
        <v>12489033</v>
      </c>
      <c r="I218" s="191">
        <f t="shared" si="139"/>
        <v>12489033</v>
      </c>
      <c r="J218" s="191">
        <f t="shared" si="139"/>
        <v>12489033</v>
      </c>
      <c r="K218" s="191">
        <f t="shared" si="139"/>
        <v>12489033</v>
      </c>
    </row>
    <row r="219" spans="3:11" x14ac:dyDescent="0.25">
      <c r="C219" s="31" t="s">
        <v>167</v>
      </c>
      <c r="D219" s="1"/>
      <c r="E219" s="1">
        <f>E226/E218</f>
        <v>-4.7746050726464637E-2</v>
      </c>
      <c r="F219" s="1">
        <f>F226/F218</f>
        <v>-4.0874083975068316E-2</v>
      </c>
      <c r="G219" s="1">
        <v>-0.04</v>
      </c>
      <c r="H219" s="222">
        <f>G219</f>
        <v>-0.04</v>
      </c>
      <c r="I219" s="222">
        <f t="shared" ref="I219:K219" si="140">H219</f>
        <v>-0.04</v>
      </c>
      <c r="J219" s="222">
        <f t="shared" si="140"/>
        <v>-0.04</v>
      </c>
      <c r="K219" s="222">
        <f t="shared" si="140"/>
        <v>-0.04</v>
      </c>
    </row>
    <row r="221" spans="3:11" x14ac:dyDescent="0.25">
      <c r="C221" s="17" t="s">
        <v>261</v>
      </c>
      <c r="D221" s="191">
        <f t="shared" ref="D221:F222" si="141">D77</f>
        <v>844</v>
      </c>
      <c r="E221" s="191">
        <f t="shared" si="141"/>
        <v>52598</v>
      </c>
      <c r="F221" s="191">
        <f t="shared" si="141"/>
        <v>16893</v>
      </c>
      <c r="G221" s="191">
        <f>F221</f>
        <v>16893</v>
      </c>
      <c r="H221" s="191">
        <f t="shared" ref="H221:K221" si="142">G221</f>
        <v>16893</v>
      </c>
      <c r="I221" s="191">
        <f t="shared" si="142"/>
        <v>16893</v>
      </c>
      <c r="J221" s="191">
        <f t="shared" si="142"/>
        <v>16893</v>
      </c>
      <c r="K221" s="191">
        <f t="shared" si="142"/>
        <v>16893</v>
      </c>
    </row>
    <row r="222" spans="3:11" x14ac:dyDescent="0.25">
      <c r="C222" s="17" t="s">
        <v>283</v>
      </c>
      <c r="D222" s="191">
        <f t="shared" si="141"/>
        <v>3528828</v>
      </c>
      <c r="E222" s="191">
        <f t="shared" si="141"/>
        <v>1229996</v>
      </c>
      <c r="F222" s="191">
        <f t="shared" si="141"/>
        <v>1520330</v>
      </c>
      <c r="G222" s="191"/>
      <c r="H222" s="191"/>
      <c r="I222" s="191"/>
      <c r="J222" s="191"/>
      <c r="K222" s="191"/>
    </row>
    <row r="223" spans="3:11" x14ac:dyDescent="0.25">
      <c r="C223" s="17" t="s">
        <v>284</v>
      </c>
      <c r="D223" s="191">
        <f>D88</f>
        <v>8499169</v>
      </c>
      <c r="E223" s="191">
        <f>E88</f>
        <v>8900245</v>
      </c>
      <c r="F223" s="191">
        <f>F88</f>
        <v>10951810</v>
      </c>
      <c r="G223" s="191"/>
      <c r="H223" s="191"/>
      <c r="I223" s="191"/>
      <c r="J223" s="191"/>
      <c r="K223" s="191"/>
    </row>
    <row r="224" spans="3:11" x14ac:dyDescent="0.25">
      <c r="C224" s="17" t="s">
        <v>285</v>
      </c>
      <c r="D224" s="217">
        <f>(D221+D222)/D217</f>
        <v>0.29343408895337464</v>
      </c>
      <c r="E224" s="217">
        <f>(E221+E222)/E215</f>
        <v>0.10662656526925578</v>
      </c>
      <c r="F224" s="217">
        <f t="shared" ref="F224" si="143">(F221+F222)/F215</f>
        <v>0.15096212362780165</v>
      </c>
      <c r="G224" s="219">
        <f>F224</f>
        <v>0.15096212362780165</v>
      </c>
      <c r="H224" s="219">
        <f t="shared" ref="H224:K224" si="144">G224</f>
        <v>0.15096212362780165</v>
      </c>
      <c r="I224" s="219">
        <f t="shared" si="144"/>
        <v>0.15096212362780165</v>
      </c>
      <c r="J224" s="219">
        <f t="shared" si="144"/>
        <v>0.15096212362780165</v>
      </c>
      <c r="K224" s="219">
        <f t="shared" si="144"/>
        <v>0.15096212362780165</v>
      </c>
    </row>
    <row r="225" spans="3:11" x14ac:dyDescent="0.25">
      <c r="C225" s="17"/>
      <c r="D225" s="217"/>
      <c r="E225" s="217"/>
      <c r="F225" s="217"/>
      <c r="G225" s="219"/>
      <c r="H225" s="219"/>
      <c r="I225" s="219"/>
      <c r="J225" s="219"/>
      <c r="K225" s="219"/>
    </row>
    <row r="226" spans="3:11" x14ac:dyDescent="0.25">
      <c r="C226" s="6" t="s">
        <v>152</v>
      </c>
      <c r="D226" s="191">
        <f>D24</f>
        <v>-527019</v>
      </c>
      <c r="E226" s="191">
        <f>E24</f>
        <v>-530260</v>
      </c>
      <c r="F226" s="191">
        <f>F24</f>
        <v>-463346</v>
      </c>
      <c r="G226" s="191">
        <f>G219*G215</f>
        <v>-499561.32</v>
      </c>
      <c r="H226" s="191">
        <f>H219*H215</f>
        <v>-499561.32</v>
      </c>
      <c r="I226" s="191">
        <f>I219*I215</f>
        <v>-499561.32</v>
      </c>
      <c r="J226" s="191">
        <f>J219*J215</f>
        <v>-499561.32</v>
      </c>
      <c r="K226" s="191">
        <f>K219*K215</f>
        <v>-499561.32</v>
      </c>
    </row>
    <row r="228" spans="3:11" x14ac:dyDescent="0.25">
      <c r="C228" s="13" t="s">
        <v>168</v>
      </c>
    </row>
    <row r="229" spans="3:11" x14ac:dyDescent="0.25">
      <c r="C229" s="51" t="s">
        <v>42</v>
      </c>
      <c r="D229" s="52">
        <f t="shared" ref="D229:K229" si="145">D$13</f>
        <v>2023</v>
      </c>
      <c r="E229" s="52">
        <f t="shared" si="145"/>
        <v>2024</v>
      </c>
      <c r="F229" s="52">
        <f t="shared" si="145"/>
        <v>2025</v>
      </c>
      <c r="G229" s="53">
        <f t="shared" si="145"/>
        <v>2026</v>
      </c>
      <c r="H229" s="53">
        <f t="shared" si="145"/>
        <v>2027</v>
      </c>
      <c r="I229" s="53">
        <f t="shared" si="145"/>
        <v>2028</v>
      </c>
      <c r="J229" s="53">
        <f t="shared" si="145"/>
        <v>2029</v>
      </c>
      <c r="K229" s="53">
        <f t="shared" si="145"/>
        <v>2030</v>
      </c>
    </row>
    <row r="230" spans="3:11" x14ac:dyDescent="0.25">
      <c r="C230" s="45" t="s">
        <v>43</v>
      </c>
      <c r="D230" s="245">
        <f t="shared" ref="D230:K230" si="146">D$14</f>
        <v>45291</v>
      </c>
      <c r="E230" s="245">
        <f t="shared" si="146"/>
        <v>45657</v>
      </c>
      <c r="F230" s="245">
        <f t="shared" si="146"/>
        <v>46022</v>
      </c>
      <c r="G230" s="245">
        <f t="shared" si="146"/>
        <v>46387</v>
      </c>
      <c r="H230" s="245">
        <f t="shared" si="146"/>
        <v>46752</v>
      </c>
      <c r="I230" s="245">
        <f t="shared" si="146"/>
        <v>47118</v>
      </c>
      <c r="J230" s="245">
        <f t="shared" si="146"/>
        <v>47483</v>
      </c>
      <c r="K230" s="245">
        <f t="shared" si="146"/>
        <v>47848</v>
      </c>
    </row>
    <row r="232" spans="3:11" x14ac:dyDescent="0.25">
      <c r="C232" s="13" t="s">
        <v>169</v>
      </c>
    </row>
    <row r="233" spans="3:11" x14ac:dyDescent="0.25">
      <c r="C233" s="17" t="s">
        <v>32</v>
      </c>
      <c r="D233" s="191"/>
      <c r="E233" s="191">
        <f>D237</f>
        <v>6403231</v>
      </c>
      <c r="F233" s="191">
        <f t="shared" ref="F233:K233" si="147">E237</f>
        <v>7673972</v>
      </c>
      <c r="G233" s="191">
        <f t="shared" si="147"/>
        <v>9104577</v>
      </c>
      <c r="H233" s="191">
        <f t="shared" si="147"/>
        <v>10670030.676857544</v>
      </c>
      <c r="I233" s="191">
        <f t="shared" si="147"/>
        <v>12348177.317104133</v>
      </c>
      <c r="J233" s="191">
        <f t="shared" si="147"/>
        <v>14126740.663488649</v>
      </c>
      <c r="K233" s="191">
        <f t="shared" si="147"/>
        <v>15996566.420493715</v>
      </c>
    </row>
    <row r="234" spans="3:11" x14ac:dyDescent="0.25">
      <c r="C234" s="17" t="s">
        <v>170</v>
      </c>
      <c r="D234" s="191">
        <f t="shared" ref="D234:K234" si="148">D29</f>
        <v>2049123</v>
      </c>
      <c r="E234" s="191">
        <f t="shared" si="148"/>
        <v>2313100</v>
      </c>
      <c r="F234" s="191">
        <f t="shared" si="148"/>
        <v>2456093</v>
      </c>
      <c r="G234" s="191">
        <f t="shared" si="148"/>
        <v>2614534.0721453903</v>
      </c>
      <c r="H234" s="191">
        <f t="shared" si="148"/>
        <v>2802747.6212445563</v>
      </c>
      <c r="I234" s="191">
        <f t="shared" si="148"/>
        <v>2970458.0450606365</v>
      </c>
      <c r="J234" s="191">
        <f t="shared" si="148"/>
        <v>3122879.4712586473</v>
      </c>
      <c r="K234" s="191">
        <f t="shared" si="148"/>
        <v>3272076.6424420392</v>
      </c>
    </row>
    <row r="235" spans="3:11" x14ac:dyDescent="0.25">
      <c r="C235" s="17" t="s">
        <v>171</v>
      </c>
      <c r="D235" s="194">
        <v>980576</v>
      </c>
      <c r="E235" s="194">
        <v>986875</v>
      </c>
      <c r="F235" s="194">
        <v>985506</v>
      </c>
      <c r="G235" s="191">
        <f>G234*G245</f>
        <v>1049080.3952878474</v>
      </c>
      <c r="H235" s="191">
        <f t="shared" ref="H235:K235" si="149">H234*H245</f>
        <v>1124600.9809979661</v>
      </c>
      <c r="I235" s="191">
        <f t="shared" si="149"/>
        <v>1191894.69867612</v>
      </c>
      <c r="J235" s="191">
        <f t="shared" si="149"/>
        <v>1253053.7142535825</v>
      </c>
      <c r="K235" s="191">
        <f t="shared" si="149"/>
        <v>1312918.9992343467</v>
      </c>
    </row>
    <row r="236" spans="3:11" x14ac:dyDescent="0.25">
      <c r="C236" s="17" t="s">
        <v>172</v>
      </c>
      <c r="D236" s="191"/>
      <c r="E236" s="191"/>
      <c r="F236" s="191"/>
      <c r="G236" s="191"/>
      <c r="H236" s="191"/>
      <c r="I236" s="191"/>
      <c r="J236" s="191"/>
      <c r="K236" s="191"/>
    </row>
    <row r="237" spans="3:11" x14ac:dyDescent="0.25">
      <c r="C237" s="17" t="s">
        <v>173</v>
      </c>
      <c r="D237" s="191">
        <f>D102</f>
        <v>6403231</v>
      </c>
      <c r="E237" s="191">
        <f>E102</f>
        <v>7673972</v>
      </c>
      <c r="F237" s="191">
        <f>F102</f>
        <v>9104577</v>
      </c>
      <c r="G237" s="191">
        <f>G233+G234-G235</f>
        <v>10670030.676857544</v>
      </c>
      <c r="H237" s="191">
        <f t="shared" ref="H237:K237" si="150">H233+H234-H235</f>
        <v>12348177.317104133</v>
      </c>
      <c r="I237" s="191">
        <f t="shared" si="150"/>
        <v>14126740.663488649</v>
      </c>
      <c r="J237" s="191">
        <f t="shared" si="150"/>
        <v>15996566.420493715</v>
      </c>
      <c r="K237" s="191">
        <f t="shared" si="150"/>
        <v>17955724.063701406</v>
      </c>
    </row>
    <row r="238" spans="3:11" x14ac:dyDescent="0.25">
      <c r="D238" s="191"/>
      <c r="E238" s="191"/>
      <c r="F238" s="191"/>
      <c r="G238" s="191"/>
      <c r="H238" s="191"/>
      <c r="I238" s="191"/>
      <c r="J238" s="191"/>
      <c r="K238" s="191"/>
    </row>
    <row r="239" spans="3:11" x14ac:dyDescent="0.25">
      <c r="C239" s="13" t="s">
        <v>174</v>
      </c>
      <c r="D239" s="191"/>
      <c r="E239" s="191"/>
      <c r="F239" s="191"/>
      <c r="G239" s="191"/>
      <c r="H239" s="191"/>
      <c r="I239" s="191"/>
      <c r="J239" s="191"/>
      <c r="K239" s="191"/>
    </row>
    <row r="240" spans="3:11" x14ac:dyDescent="0.25">
      <c r="C240" s="17" t="s">
        <v>32</v>
      </c>
      <c r="D240" s="191"/>
      <c r="E240" s="191">
        <f>D243</f>
        <v>11106</v>
      </c>
      <c r="F240" s="191">
        <f t="shared" ref="F240:K240" si="151">E243</f>
        <v>396</v>
      </c>
      <c r="G240" s="191">
        <f t="shared" si="151"/>
        <v>-244</v>
      </c>
      <c r="H240" s="191">
        <f t="shared" si="151"/>
        <v>336</v>
      </c>
      <c r="I240" s="191">
        <f t="shared" si="151"/>
        <v>916</v>
      </c>
      <c r="J240" s="191">
        <f t="shared" si="151"/>
        <v>1496</v>
      </c>
      <c r="K240" s="191">
        <f t="shared" si="151"/>
        <v>2076</v>
      </c>
    </row>
    <row r="241" spans="3:11" x14ac:dyDescent="0.25">
      <c r="C241" s="17" t="s">
        <v>175</v>
      </c>
      <c r="D241" s="191">
        <f t="shared" ref="D241:K241" si="152">D30</f>
        <v>2406</v>
      </c>
      <c r="E241" s="191">
        <f t="shared" si="152"/>
        <v>567</v>
      </c>
      <c r="F241" s="191">
        <f t="shared" si="152"/>
        <v>580</v>
      </c>
      <c r="G241" s="191">
        <f t="shared" si="152"/>
        <v>580</v>
      </c>
      <c r="H241" s="191">
        <f t="shared" si="152"/>
        <v>580</v>
      </c>
      <c r="I241" s="191">
        <f t="shared" si="152"/>
        <v>580</v>
      </c>
      <c r="J241" s="191">
        <f t="shared" si="152"/>
        <v>580</v>
      </c>
      <c r="K241" s="191">
        <f t="shared" si="152"/>
        <v>580</v>
      </c>
    </row>
    <row r="242" spans="3:11" x14ac:dyDescent="0.25">
      <c r="C242" s="17" t="s">
        <v>176</v>
      </c>
      <c r="D242" s="191">
        <v>781</v>
      </c>
      <c r="E242" s="191">
        <v>29651</v>
      </c>
      <c r="F242" s="191">
        <v>645</v>
      </c>
      <c r="G242" s="191">
        <v>0</v>
      </c>
      <c r="H242" s="191">
        <v>0</v>
      </c>
      <c r="I242" s="191">
        <v>0</v>
      </c>
      <c r="J242" s="191">
        <v>0</v>
      </c>
      <c r="K242" s="191">
        <v>0</v>
      </c>
    </row>
    <row r="243" spans="3:11" x14ac:dyDescent="0.25">
      <c r="C243" s="17" t="s">
        <v>173</v>
      </c>
      <c r="D243" s="191">
        <f>D104</f>
        <v>11106</v>
      </c>
      <c r="E243" s="191">
        <f>E104</f>
        <v>396</v>
      </c>
      <c r="F243" s="191">
        <f>F104</f>
        <v>-244</v>
      </c>
      <c r="G243" s="191">
        <f>SUM(G240:G242)</f>
        <v>336</v>
      </c>
      <c r="H243" s="191">
        <f t="shared" ref="H243:K243" si="153">SUM(H240:H242)</f>
        <v>916</v>
      </c>
      <c r="I243" s="191">
        <f t="shared" si="153"/>
        <v>1496</v>
      </c>
      <c r="J243" s="191">
        <f t="shared" si="153"/>
        <v>2076</v>
      </c>
      <c r="K243" s="191">
        <f t="shared" si="153"/>
        <v>2656</v>
      </c>
    </row>
    <row r="244" spans="3:11" x14ac:dyDescent="0.25">
      <c r="D244" s="191"/>
      <c r="E244" s="191"/>
      <c r="F244" s="191"/>
      <c r="G244" s="191"/>
      <c r="H244" s="191"/>
      <c r="I244" s="191"/>
      <c r="J244" s="191"/>
      <c r="K244" s="191"/>
    </row>
    <row r="245" spans="3:11" x14ac:dyDescent="0.25">
      <c r="C245" s="6" t="s">
        <v>290</v>
      </c>
      <c r="D245" s="1">
        <f>D235/D234</f>
        <v>0.47853447548048605</v>
      </c>
      <c r="E245" s="1">
        <f t="shared" ref="E245:F245" si="154">E235/E234</f>
        <v>0.42664605940080413</v>
      </c>
      <c r="F245" s="1">
        <f t="shared" si="154"/>
        <v>0.40124946408788265</v>
      </c>
      <c r="G245" s="222">
        <f>F245</f>
        <v>0.40124946408788265</v>
      </c>
      <c r="H245" s="222">
        <f t="shared" ref="H245:K245" si="155">G245</f>
        <v>0.40124946408788265</v>
      </c>
      <c r="I245" s="222">
        <f t="shared" si="155"/>
        <v>0.40124946408788265</v>
      </c>
      <c r="J245" s="222">
        <f t="shared" si="155"/>
        <v>0.40124946408788265</v>
      </c>
      <c r="K245" s="222">
        <f t="shared" si="155"/>
        <v>0.40124946408788265</v>
      </c>
    </row>
    <row r="246" spans="3:11" x14ac:dyDescent="0.25">
      <c r="C246" s="6" t="s">
        <v>177</v>
      </c>
      <c r="D246" s="1">
        <f>D104/D234</f>
        <v>5.4198796265524322E-3</v>
      </c>
      <c r="E246" s="1">
        <f>E104/E234</f>
        <v>1.7119882408888506E-4</v>
      </c>
      <c r="F246" s="1">
        <f>F104/F234</f>
        <v>-9.9344772368147293E-5</v>
      </c>
      <c r="G246" s="222">
        <f>F246</f>
        <v>-9.9344772368147293E-5</v>
      </c>
      <c r="H246" s="222">
        <f t="shared" ref="H246:K246" si="156">G246</f>
        <v>-9.9344772368147293E-5</v>
      </c>
      <c r="I246" s="222">
        <f t="shared" si="156"/>
        <v>-9.9344772368147293E-5</v>
      </c>
      <c r="J246" s="222">
        <f t="shared" si="156"/>
        <v>-9.9344772368147293E-5</v>
      </c>
      <c r="K246" s="222">
        <f t="shared" si="156"/>
        <v>-9.9344772368147293E-5</v>
      </c>
    </row>
    <row r="248" spans="3:11" x14ac:dyDescent="0.25">
      <c r="C248" s="13" t="s">
        <v>272</v>
      </c>
    </row>
    <row r="249" spans="3:11" x14ac:dyDescent="0.25">
      <c r="C249" s="51" t="s">
        <v>42</v>
      </c>
      <c r="D249" s="52">
        <f t="shared" ref="D249:K249" si="157">D$13</f>
        <v>2023</v>
      </c>
      <c r="E249" s="52">
        <f t="shared" si="157"/>
        <v>2024</v>
      </c>
      <c r="F249" s="52">
        <f t="shared" si="157"/>
        <v>2025</v>
      </c>
      <c r="G249" s="53">
        <f t="shared" si="157"/>
        <v>2026</v>
      </c>
      <c r="H249" s="53">
        <f t="shared" si="157"/>
        <v>2027</v>
      </c>
      <c r="I249" s="53">
        <f t="shared" si="157"/>
        <v>2028</v>
      </c>
      <c r="J249" s="53">
        <f t="shared" si="157"/>
        <v>2029</v>
      </c>
      <c r="K249" s="53">
        <f t="shared" si="157"/>
        <v>2030</v>
      </c>
    </row>
    <row r="250" spans="3:11" x14ac:dyDescent="0.25">
      <c r="C250" s="45" t="s">
        <v>43</v>
      </c>
      <c r="D250" s="245">
        <f t="shared" ref="D250:K250" si="158">D$14</f>
        <v>45291</v>
      </c>
      <c r="E250" s="245">
        <f t="shared" si="158"/>
        <v>45657</v>
      </c>
      <c r="F250" s="245">
        <f t="shared" si="158"/>
        <v>46022</v>
      </c>
      <c r="G250" s="245">
        <f t="shared" si="158"/>
        <v>46387</v>
      </c>
      <c r="H250" s="245">
        <f t="shared" si="158"/>
        <v>46752</v>
      </c>
      <c r="I250" s="245">
        <f t="shared" si="158"/>
        <v>47118</v>
      </c>
      <c r="J250" s="245">
        <f t="shared" si="158"/>
        <v>47483</v>
      </c>
      <c r="K250" s="245">
        <f t="shared" si="158"/>
        <v>47848</v>
      </c>
    </row>
    <row r="251" spans="3:11" x14ac:dyDescent="0.25">
      <c r="C251" s="260"/>
      <c r="D251" s="261"/>
      <c r="E251" s="261"/>
      <c r="F251" s="261"/>
      <c r="G251" s="261"/>
      <c r="H251" s="261"/>
      <c r="I251" s="261"/>
      <c r="J251" s="261"/>
      <c r="K251" s="261"/>
    </row>
    <row r="252" spans="3:11" x14ac:dyDescent="0.25">
      <c r="C252" s="238" t="s">
        <v>32</v>
      </c>
      <c r="D252" s="191"/>
      <c r="E252" s="191">
        <f>D255</f>
        <v>1123769</v>
      </c>
      <c r="F252" s="191">
        <f t="shared" ref="F252:G252" si="159">E255</f>
        <v>1130692</v>
      </c>
      <c r="G252" s="191">
        <f t="shared" si="159"/>
        <v>1612427</v>
      </c>
      <c r="H252" s="191">
        <f t="shared" ref="H252:K252" si="160">G255</f>
        <v>1618503.847377552</v>
      </c>
      <c r="I252" s="191">
        <f t="shared" si="160"/>
        <v>1624951.0881307861</v>
      </c>
      <c r="J252" s="191">
        <f t="shared" si="160"/>
        <v>1631728.3732953372</v>
      </c>
      <c r="K252" s="191">
        <f t="shared" si="160"/>
        <v>1638805.6150084257</v>
      </c>
    </row>
    <row r="253" spans="3:11" x14ac:dyDescent="0.25">
      <c r="C253" s="238" t="s">
        <v>206</v>
      </c>
      <c r="D253" s="194">
        <v>24517</v>
      </c>
      <c r="E253" s="194">
        <v>33937</v>
      </c>
      <c r="F253" s="194">
        <v>39678</v>
      </c>
      <c r="G253" s="191">
        <f>G256*G16</f>
        <v>41999.155242381428</v>
      </c>
      <c r="H253" s="191">
        <f>H256*H16</f>
        <v>44559.069605787146</v>
      </c>
      <c r="I253" s="191">
        <f>I256*I16</f>
        <v>46840.118578480629</v>
      </c>
      <c r="J253" s="191">
        <f>J256*J16</f>
        <v>48913.220117039309</v>
      </c>
      <c r="K253" s="191">
        <f>K256*K16</f>
        <v>50942.46818828542</v>
      </c>
    </row>
    <row r="254" spans="3:11" x14ac:dyDescent="0.25">
      <c r="C254" s="238" t="s">
        <v>207</v>
      </c>
      <c r="D254" s="194">
        <v>32435</v>
      </c>
      <c r="E254" s="194">
        <v>35010</v>
      </c>
      <c r="F254" s="194">
        <v>33937</v>
      </c>
      <c r="G254" s="191">
        <f>G257*G16</f>
        <v>35922.307864829338</v>
      </c>
      <c r="H254" s="191">
        <f>H257*H16</f>
        <v>38111.828852553008</v>
      </c>
      <c r="I254" s="191">
        <f>I257*I16</f>
        <v>40062.833413929555</v>
      </c>
      <c r="J254" s="191">
        <f>J257*J16</f>
        <v>41835.978403950881</v>
      </c>
      <c r="K254" s="191">
        <f>K257*K16</f>
        <v>43571.615073991692</v>
      </c>
    </row>
    <row r="255" spans="3:11" x14ac:dyDescent="0.25">
      <c r="C255" s="238" t="s">
        <v>35</v>
      </c>
      <c r="D255" s="191">
        <f>D65</f>
        <v>1123769</v>
      </c>
      <c r="E255" s="191">
        <f>E65</f>
        <v>1130692</v>
      </c>
      <c r="F255" s="191">
        <f>F65</f>
        <v>1612427</v>
      </c>
      <c r="G255" s="191">
        <f>G252+G253-G254</f>
        <v>1618503.847377552</v>
      </c>
      <c r="H255" s="191">
        <f t="shared" ref="H255:K255" si="161">H252+H253-H254</f>
        <v>1624951.0881307861</v>
      </c>
      <c r="I255" s="191">
        <f t="shared" si="161"/>
        <v>1631728.3732953372</v>
      </c>
      <c r="J255" s="191">
        <f t="shared" si="161"/>
        <v>1638805.6150084257</v>
      </c>
      <c r="K255" s="191">
        <f t="shared" si="161"/>
        <v>1646176.4681227193</v>
      </c>
    </row>
    <row r="256" spans="3:11" x14ac:dyDescent="0.25">
      <c r="C256" s="238" t="s">
        <v>208</v>
      </c>
      <c r="D256" s="263">
        <f>D253/D16</f>
        <v>1.2524274498054591E-3</v>
      </c>
      <c r="E256" s="263">
        <f>E253/E16</f>
        <v>1.6176258055954781E-3</v>
      </c>
      <c r="F256" s="263">
        <f>F253/F16</f>
        <v>1.7982426005929062E-3</v>
      </c>
      <c r="G256" s="266">
        <f>F256</f>
        <v>1.7982426005929062E-3</v>
      </c>
      <c r="H256" s="266">
        <f t="shared" ref="H256:K256" si="162">G256</f>
        <v>1.7982426005929062E-3</v>
      </c>
      <c r="I256" s="266">
        <f t="shared" si="162"/>
        <v>1.7982426005929062E-3</v>
      </c>
      <c r="J256" s="266">
        <f t="shared" si="162"/>
        <v>1.7982426005929062E-3</v>
      </c>
      <c r="K256" s="266">
        <f t="shared" si="162"/>
        <v>1.7982426005929062E-3</v>
      </c>
    </row>
    <row r="257" spans="3:11" x14ac:dyDescent="0.25">
      <c r="C257" s="238" t="s">
        <v>209</v>
      </c>
      <c r="D257" s="263">
        <f>D254/D16</f>
        <v>1.6569108918073202E-3</v>
      </c>
      <c r="E257" s="263">
        <f>E254/E16</f>
        <v>1.6687709418598488E-3</v>
      </c>
      <c r="F257" s="263">
        <f>F254/F16</f>
        <v>1.5380553237643393E-3</v>
      </c>
      <c r="G257" s="266">
        <f>F257</f>
        <v>1.5380553237643393E-3</v>
      </c>
      <c r="H257" s="266">
        <f t="shared" ref="H257:K257" si="163">G257</f>
        <v>1.5380553237643393E-3</v>
      </c>
      <c r="I257" s="266">
        <f t="shared" si="163"/>
        <v>1.5380553237643393E-3</v>
      </c>
      <c r="J257" s="266">
        <f t="shared" si="163"/>
        <v>1.5380553237643393E-3</v>
      </c>
      <c r="K257" s="266">
        <f t="shared" si="163"/>
        <v>1.5380553237643393E-3</v>
      </c>
    </row>
    <row r="259" spans="3:11" x14ac:dyDescent="0.25">
      <c r="C259" s="13" t="s">
        <v>210</v>
      </c>
    </row>
    <row r="260" spans="3:11" x14ac:dyDescent="0.25">
      <c r="C260" s="51" t="s">
        <v>42</v>
      </c>
      <c r="D260" s="52">
        <f t="shared" ref="D260:K260" si="164">D$13</f>
        <v>2023</v>
      </c>
      <c r="E260" s="52">
        <f t="shared" si="164"/>
        <v>2024</v>
      </c>
      <c r="F260" s="52">
        <f t="shared" si="164"/>
        <v>2025</v>
      </c>
      <c r="G260" s="53">
        <f t="shared" si="164"/>
        <v>2026</v>
      </c>
      <c r="H260" s="53">
        <f t="shared" si="164"/>
        <v>2027</v>
      </c>
      <c r="I260" s="53">
        <f t="shared" si="164"/>
        <v>2028</v>
      </c>
      <c r="J260" s="53">
        <f t="shared" si="164"/>
        <v>2029</v>
      </c>
      <c r="K260" s="53">
        <f t="shared" si="164"/>
        <v>2030</v>
      </c>
    </row>
    <row r="261" spans="3:11" x14ac:dyDescent="0.25">
      <c r="C261" s="45" t="s">
        <v>43</v>
      </c>
      <c r="D261" s="245">
        <f t="shared" ref="D261:K261" si="165">D$14</f>
        <v>45291</v>
      </c>
      <c r="E261" s="245">
        <f t="shared" si="165"/>
        <v>45657</v>
      </c>
      <c r="F261" s="245">
        <f t="shared" si="165"/>
        <v>46022</v>
      </c>
      <c r="G261" s="245">
        <f t="shared" si="165"/>
        <v>46387</v>
      </c>
      <c r="H261" s="245">
        <f t="shared" si="165"/>
        <v>46752</v>
      </c>
      <c r="I261" s="245">
        <f t="shared" si="165"/>
        <v>47118</v>
      </c>
      <c r="J261" s="245">
        <f t="shared" si="165"/>
        <v>47483</v>
      </c>
      <c r="K261" s="245">
        <f t="shared" si="165"/>
        <v>47848</v>
      </c>
    </row>
    <row r="262" spans="3:11" x14ac:dyDescent="0.25">
      <c r="C262" s="260"/>
      <c r="D262" s="261"/>
      <c r="E262" s="261"/>
      <c r="F262" s="261"/>
      <c r="G262" s="261"/>
      <c r="H262" s="261"/>
      <c r="I262" s="261"/>
      <c r="J262" s="261"/>
      <c r="K262" s="261"/>
    </row>
    <row r="263" spans="3:11" x14ac:dyDescent="0.25">
      <c r="C263" s="6" t="s">
        <v>211</v>
      </c>
      <c r="D263" s="191"/>
      <c r="E263" s="191">
        <f>D266</f>
        <v>473831</v>
      </c>
      <c r="F263" s="191">
        <f t="shared" ref="F263:G263" si="166">E266</f>
        <v>504066</v>
      </c>
      <c r="G263" s="191">
        <f t="shared" si="166"/>
        <v>551614</v>
      </c>
      <c r="H263" s="191">
        <f t="shared" ref="H263:K263" si="167">G266</f>
        <v>607030.69876404142</v>
      </c>
      <c r="I263" s="191">
        <f t="shared" si="167"/>
        <v>665825.13220679003</v>
      </c>
      <c r="J263" s="191">
        <f t="shared" si="167"/>
        <v>727629.34532382665</v>
      </c>
      <c r="K263" s="191">
        <f t="shared" si="167"/>
        <v>792168.95735083101</v>
      </c>
    </row>
    <row r="264" spans="3:11" x14ac:dyDescent="0.25">
      <c r="C264" s="6" t="s">
        <v>212</v>
      </c>
      <c r="D264" s="194">
        <v>93200</v>
      </c>
      <c r="E264" s="194">
        <v>121400</v>
      </c>
      <c r="F264" s="194">
        <v>177800</v>
      </c>
      <c r="G264" s="191">
        <f>G270*G16</f>
        <v>188201.26523754772</v>
      </c>
      <c r="H264" s="191">
        <f>H270*H16</f>
        <v>199672.42743860462</v>
      </c>
      <c r="I264" s="191">
        <f>I270*I16</f>
        <v>209893.97356857342</v>
      </c>
      <c r="J264" s="191">
        <f>J270*J16</f>
        <v>219183.6921419827</v>
      </c>
      <c r="K264" s="191">
        <f>K270*K16</f>
        <v>228276.90014308048</v>
      </c>
    </row>
    <row r="265" spans="3:11" x14ac:dyDescent="0.25">
      <c r="C265" s="6" t="s">
        <v>213</v>
      </c>
      <c r="D265" s="194">
        <v>-110900</v>
      </c>
      <c r="E265" s="194">
        <v>-117990</v>
      </c>
      <c r="F265" s="194">
        <v>-125446</v>
      </c>
      <c r="G265" s="191">
        <f>G271*G16</f>
        <v>-132784.56647350625</v>
      </c>
      <c r="H265" s="191">
        <f>H271*H16</f>
        <v>-140877.993995856</v>
      </c>
      <c r="I265" s="191">
        <f>I271*I16</f>
        <v>-148089.76045153689</v>
      </c>
      <c r="J265" s="191">
        <f>J271*J16</f>
        <v>-154644.08011497839</v>
      </c>
      <c r="K265" s="191">
        <f>K271*K16</f>
        <v>-161059.75261726027</v>
      </c>
    </row>
    <row r="266" spans="3:11" x14ac:dyDescent="0.25">
      <c r="C266" s="6" t="s">
        <v>214</v>
      </c>
      <c r="D266" s="191">
        <f>D64</f>
        <v>473831</v>
      </c>
      <c r="E266" s="191">
        <f>E64</f>
        <v>504066</v>
      </c>
      <c r="F266" s="191">
        <f>F64</f>
        <v>551614</v>
      </c>
      <c r="G266" s="191">
        <f>SUM(G263:G265)</f>
        <v>607030.69876404142</v>
      </c>
      <c r="H266" s="191">
        <f t="shared" ref="H266:K266" si="168">SUM(H263:H265)</f>
        <v>665825.13220679003</v>
      </c>
      <c r="I266" s="191">
        <f t="shared" si="168"/>
        <v>727629.34532382665</v>
      </c>
      <c r="J266" s="191">
        <f t="shared" si="168"/>
        <v>792168.95735083101</v>
      </c>
      <c r="K266" s="191">
        <f t="shared" si="168"/>
        <v>859386.1048766512</v>
      </c>
    </row>
    <row r="267" spans="3:11" x14ac:dyDescent="0.25">
      <c r="C267" s="6" t="s">
        <v>215</v>
      </c>
      <c r="E267" s="191">
        <f>D268</f>
        <v>450192</v>
      </c>
      <c r="F267" s="191">
        <f t="shared" ref="F267:K267" si="169">E268</f>
        <v>484950</v>
      </c>
      <c r="G267" s="191">
        <f t="shared" si="169"/>
        <v>550226</v>
      </c>
      <c r="H267" s="191">
        <f t="shared" si="169"/>
        <v>605642.69876404142</v>
      </c>
      <c r="I267" s="191">
        <f t="shared" si="169"/>
        <v>664437.13220679003</v>
      </c>
      <c r="J267" s="191">
        <f t="shared" si="169"/>
        <v>726241.34532382665</v>
      </c>
      <c r="K267" s="191">
        <f t="shared" si="169"/>
        <v>790780.95735083101</v>
      </c>
    </row>
    <row r="268" spans="3:11" x14ac:dyDescent="0.25">
      <c r="C268" s="6" t="s">
        <v>216</v>
      </c>
      <c r="D268" s="191">
        <f>D79+D89</f>
        <v>450192</v>
      </c>
      <c r="E268" s="191">
        <f>E79+E89</f>
        <v>484950</v>
      </c>
      <c r="F268" s="191">
        <f>F79+F89</f>
        <v>550226</v>
      </c>
      <c r="G268" s="191">
        <f>G267+G264+G265</f>
        <v>605642.69876404142</v>
      </c>
      <c r="H268" s="191">
        <f t="shared" ref="H268:K268" si="170">H267+H264+H265</f>
        <v>664437.13220679003</v>
      </c>
      <c r="I268" s="191">
        <f t="shared" si="170"/>
        <v>726241.34532382665</v>
      </c>
      <c r="J268" s="191">
        <f t="shared" si="170"/>
        <v>790780.95735083101</v>
      </c>
      <c r="K268" s="191">
        <f t="shared" si="170"/>
        <v>857998.1048766512</v>
      </c>
    </row>
    <row r="269" spans="3:11" x14ac:dyDescent="0.25">
      <c r="C269" s="6" t="s">
        <v>217</v>
      </c>
      <c r="D269" s="217">
        <f>D79/(D79+D89)</f>
        <v>0.18009871343782208</v>
      </c>
      <c r="E269" s="217">
        <f>E79/(E79+E89)</f>
        <v>0.1799133931333127</v>
      </c>
      <c r="F269" s="217">
        <f>F79/(F79+F89)</f>
        <v>0.19582862314757934</v>
      </c>
      <c r="G269" s="217">
        <f>F269</f>
        <v>0.19582862314757934</v>
      </c>
      <c r="H269" s="217">
        <f>G269</f>
        <v>0.19582862314757934</v>
      </c>
      <c r="I269" s="217">
        <f t="shared" ref="I269:K269" si="171">H269</f>
        <v>0.19582862314757934</v>
      </c>
      <c r="J269" s="217">
        <f t="shared" si="171"/>
        <v>0.19582862314757934</v>
      </c>
      <c r="K269" s="217">
        <f t="shared" si="171"/>
        <v>0.19582862314757934</v>
      </c>
    </row>
    <row r="270" spans="3:11" x14ac:dyDescent="0.25">
      <c r="C270" s="6" t="s">
        <v>218</v>
      </c>
      <c r="D270" s="1">
        <f>D264/D16</f>
        <v>4.7610326843361261E-3</v>
      </c>
      <c r="E270" s="1">
        <f>E264/E16</f>
        <v>5.7865978960807097E-3</v>
      </c>
      <c r="F270" s="1">
        <f>F264/F16</f>
        <v>8.0580557080855569E-3</v>
      </c>
      <c r="G270" s="222">
        <f>F270</f>
        <v>8.0580557080855569E-3</v>
      </c>
      <c r="H270" s="222">
        <f t="shared" ref="H270:K270" si="172">G270</f>
        <v>8.0580557080855569E-3</v>
      </c>
      <c r="I270" s="222">
        <f t="shared" si="172"/>
        <v>8.0580557080855569E-3</v>
      </c>
      <c r="J270" s="222">
        <f t="shared" si="172"/>
        <v>8.0580557080855569E-3</v>
      </c>
      <c r="K270" s="222">
        <f t="shared" si="172"/>
        <v>8.0580557080855569E-3</v>
      </c>
    </row>
    <row r="271" spans="3:11" x14ac:dyDescent="0.25">
      <c r="C271" s="6" t="s">
        <v>219</v>
      </c>
      <c r="D271" s="1">
        <f>D265/D16</f>
        <v>-5.6652202220265702E-3</v>
      </c>
      <c r="E271" s="1">
        <f>E265/E16</f>
        <v>-5.6240583670392336E-3</v>
      </c>
      <c r="F271" s="1">
        <f>F265/F16</f>
        <v>-5.6853254013301503E-3</v>
      </c>
      <c r="G271" s="222">
        <f>F271</f>
        <v>-5.6853254013301503E-3</v>
      </c>
      <c r="H271" s="222">
        <f t="shared" ref="H271:K271" si="173">G271</f>
        <v>-5.6853254013301503E-3</v>
      </c>
      <c r="I271" s="222">
        <f t="shared" si="173"/>
        <v>-5.6853254013301503E-3</v>
      </c>
      <c r="J271" s="222">
        <f t="shared" si="173"/>
        <v>-5.6853254013301503E-3</v>
      </c>
      <c r="K271" s="222">
        <f t="shared" si="173"/>
        <v>-5.6853254013301503E-3</v>
      </c>
    </row>
    <row r="273" spans="3:11" x14ac:dyDescent="0.25">
      <c r="C273" s="13" t="s">
        <v>273</v>
      </c>
    </row>
    <row r="274" spans="3:11" x14ac:dyDescent="0.25">
      <c r="C274" s="51" t="s">
        <v>42</v>
      </c>
      <c r="D274" s="52">
        <f t="shared" ref="D274:K274" si="174">D$13</f>
        <v>2023</v>
      </c>
      <c r="E274" s="52">
        <f t="shared" si="174"/>
        <v>2024</v>
      </c>
      <c r="F274" s="52">
        <f t="shared" si="174"/>
        <v>2025</v>
      </c>
      <c r="G274" s="53">
        <f t="shared" si="174"/>
        <v>2026</v>
      </c>
      <c r="H274" s="53">
        <f t="shared" si="174"/>
        <v>2027</v>
      </c>
      <c r="I274" s="53">
        <f t="shared" si="174"/>
        <v>2028</v>
      </c>
      <c r="J274" s="53">
        <f t="shared" si="174"/>
        <v>2029</v>
      </c>
      <c r="K274" s="53">
        <f t="shared" si="174"/>
        <v>2030</v>
      </c>
    </row>
    <row r="275" spans="3:11" x14ac:dyDescent="0.25">
      <c r="C275" s="45" t="s">
        <v>43</v>
      </c>
      <c r="D275" s="245">
        <f t="shared" ref="D275:K275" si="175">D$14</f>
        <v>45291</v>
      </c>
      <c r="E275" s="245">
        <f t="shared" si="175"/>
        <v>45657</v>
      </c>
      <c r="F275" s="245">
        <f t="shared" si="175"/>
        <v>46022</v>
      </c>
      <c r="G275" s="245">
        <f t="shared" si="175"/>
        <v>46387</v>
      </c>
      <c r="H275" s="245">
        <f t="shared" si="175"/>
        <v>46752</v>
      </c>
      <c r="I275" s="245">
        <f t="shared" si="175"/>
        <v>47118</v>
      </c>
      <c r="J275" s="245">
        <f t="shared" si="175"/>
        <v>47483</v>
      </c>
      <c r="K275" s="245">
        <f t="shared" si="175"/>
        <v>47848</v>
      </c>
    </row>
    <row r="277" spans="3:11" x14ac:dyDescent="0.25">
      <c r="C277" s="6" t="s">
        <v>32</v>
      </c>
      <c r="D277" s="191"/>
      <c r="E277" s="191">
        <f>D280</f>
        <v>525153</v>
      </c>
      <c r="F277" s="191">
        <f t="shared" ref="F277:G277" si="176">E280</f>
        <v>525391</v>
      </c>
      <c r="G277" s="191">
        <f t="shared" si="176"/>
        <v>492514</v>
      </c>
      <c r="H277" s="191">
        <f t="shared" ref="H277:K277" si="177">G280</f>
        <v>457713.70192792546</v>
      </c>
      <c r="I277" s="191">
        <f t="shared" si="177"/>
        <v>420792.27112421906</v>
      </c>
      <c r="J277" s="191">
        <f t="shared" si="177"/>
        <v>381980.77411064209</v>
      </c>
      <c r="K277" s="191">
        <f t="shared" si="177"/>
        <v>341451.51513115969</v>
      </c>
    </row>
    <row r="278" spans="3:11" x14ac:dyDescent="0.25">
      <c r="C278" s="6" t="s">
        <v>206</v>
      </c>
      <c r="D278" s="194">
        <v>0</v>
      </c>
      <c r="E278" s="194">
        <v>27500</v>
      </c>
      <c r="F278" s="194">
        <v>1176</v>
      </c>
      <c r="G278" s="191">
        <f>G281*G16</f>
        <v>1244.7957700751185</v>
      </c>
      <c r="H278" s="191">
        <f>H281*H16</f>
        <v>1320.6680240033691</v>
      </c>
      <c r="I278" s="191">
        <f>I281*I16</f>
        <v>1388.2751007685169</v>
      </c>
      <c r="J278" s="191">
        <f>J281*J16</f>
        <v>1449.7189086556334</v>
      </c>
      <c r="K278" s="191">
        <f>K281*K16</f>
        <v>1509.8629615762802</v>
      </c>
    </row>
    <row r="279" spans="3:11" x14ac:dyDescent="0.25">
      <c r="C279" s="6" t="s">
        <v>207</v>
      </c>
      <c r="D279" s="194">
        <v>27262</v>
      </c>
      <c r="E279" s="194">
        <v>27262</v>
      </c>
      <c r="F279" s="194">
        <v>34053</v>
      </c>
      <c r="G279" s="191">
        <f>G282*G16</f>
        <v>36045.093842149676</v>
      </c>
      <c r="H279" s="191">
        <f>H282*H16</f>
        <v>38242.0988277098</v>
      </c>
      <c r="I279" s="191">
        <f>I282*I16</f>
        <v>40199.772114345498</v>
      </c>
      <c r="J279" s="191">
        <f>J282*J16</f>
        <v>41978.977888138004</v>
      </c>
      <c r="K279" s="191">
        <f>K282*K16</f>
        <v>43720.547134827444</v>
      </c>
    </row>
    <row r="280" spans="3:11" x14ac:dyDescent="0.25">
      <c r="C280" s="6" t="s">
        <v>35</v>
      </c>
      <c r="D280" s="191">
        <f>D63</f>
        <v>525153</v>
      </c>
      <c r="E280" s="191">
        <f>E63</f>
        <v>525391</v>
      </c>
      <c r="F280" s="191">
        <f>F63</f>
        <v>492514</v>
      </c>
      <c r="G280" s="191">
        <f>G277+G278-G279</f>
        <v>457713.70192792546</v>
      </c>
      <c r="H280" s="191">
        <f t="shared" ref="H280:K280" si="178">H277+H278-H279</f>
        <v>420792.27112421906</v>
      </c>
      <c r="I280" s="191">
        <f t="shared" si="178"/>
        <v>381980.77411064209</v>
      </c>
      <c r="J280" s="191">
        <f t="shared" si="178"/>
        <v>341451.51513115969</v>
      </c>
      <c r="K280" s="191">
        <f t="shared" si="178"/>
        <v>299240.83095790853</v>
      </c>
    </row>
    <row r="281" spans="3:11" x14ac:dyDescent="0.25">
      <c r="C281" s="6" t="s">
        <v>208</v>
      </c>
      <c r="D281" s="1">
        <f>D278/D16</f>
        <v>0</v>
      </c>
      <c r="E281" s="1">
        <f>E278/E16</f>
        <v>1.3108026535602925E-3</v>
      </c>
      <c r="F281" s="1">
        <f>F278/F16</f>
        <v>5.3297376336943835E-5</v>
      </c>
      <c r="G281" s="222">
        <f>F281</f>
        <v>5.3297376336943835E-5</v>
      </c>
      <c r="H281" s="222">
        <f t="shared" ref="H281:K281" si="179">G281</f>
        <v>5.3297376336943835E-5</v>
      </c>
      <c r="I281" s="222">
        <f t="shared" si="179"/>
        <v>5.3297376336943835E-5</v>
      </c>
      <c r="J281" s="222">
        <f t="shared" si="179"/>
        <v>5.3297376336943835E-5</v>
      </c>
      <c r="K281" s="222">
        <f t="shared" si="179"/>
        <v>5.3297376336943835E-5</v>
      </c>
    </row>
    <row r="282" spans="3:11" x14ac:dyDescent="0.25">
      <c r="C282" s="6" t="s">
        <v>209</v>
      </c>
      <c r="D282" s="1">
        <f>D279/D16</f>
        <v>1.3926531442099942E-3</v>
      </c>
      <c r="E282" s="1">
        <f>E279/E16</f>
        <v>1.2994582524131161E-3</v>
      </c>
      <c r="F282" s="1">
        <f>F279/F16</f>
        <v>1.5433125479608406E-3</v>
      </c>
      <c r="G282" s="222">
        <f>F282</f>
        <v>1.5433125479608406E-3</v>
      </c>
      <c r="H282" s="222">
        <f t="shared" ref="H282:K282" si="180">G282</f>
        <v>1.5433125479608406E-3</v>
      </c>
      <c r="I282" s="222">
        <f t="shared" si="180"/>
        <v>1.5433125479608406E-3</v>
      </c>
      <c r="J282" s="222">
        <f t="shared" si="180"/>
        <v>1.5433125479608406E-3</v>
      </c>
      <c r="K282" s="222">
        <f t="shared" si="180"/>
        <v>1.5433125479608406E-3</v>
      </c>
    </row>
    <row r="284" spans="3:11" x14ac:dyDescent="0.25">
      <c r="C284" s="13" t="s">
        <v>274</v>
      </c>
    </row>
    <row r="285" spans="3:11" x14ac:dyDescent="0.25">
      <c r="C285" s="51" t="s">
        <v>42</v>
      </c>
      <c r="D285" s="52">
        <f t="shared" ref="D285:K285" si="181">D$13</f>
        <v>2023</v>
      </c>
      <c r="E285" s="52">
        <f t="shared" si="181"/>
        <v>2024</v>
      </c>
      <c r="F285" s="52">
        <f t="shared" si="181"/>
        <v>2025</v>
      </c>
      <c r="G285" s="53">
        <f t="shared" si="181"/>
        <v>2026</v>
      </c>
      <c r="H285" s="53">
        <f t="shared" si="181"/>
        <v>2027</v>
      </c>
      <c r="I285" s="53">
        <f t="shared" si="181"/>
        <v>2028</v>
      </c>
      <c r="J285" s="53">
        <f t="shared" si="181"/>
        <v>2029</v>
      </c>
      <c r="K285" s="53">
        <f t="shared" si="181"/>
        <v>2030</v>
      </c>
    </row>
    <row r="286" spans="3:11" x14ac:dyDescent="0.25">
      <c r="C286" s="45" t="s">
        <v>43</v>
      </c>
      <c r="D286" s="245">
        <f t="shared" ref="D286:K286" si="182">D$14</f>
        <v>45291</v>
      </c>
      <c r="E286" s="245">
        <f t="shared" si="182"/>
        <v>45657</v>
      </c>
      <c r="F286" s="245">
        <f t="shared" si="182"/>
        <v>46022</v>
      </c>
      <c r="G286" s="245">
        <f t="shared" si="182"/>
        <v>46387</v>
      </c>
      <c r="H286" s="245">
        <f t="shared" si="182"/>
        <v>46752</v>
      </c>
      <c r="I286" s="245">
        <f t="shared" si="182"/>
        <v>47118</v>
      </c>
      <c r="J286" s="245">
        <f t="shared" si="182"/>
        <v>47483</v>
      </c>
      <c r="K286" s="245">
        <f t="shared" si="182"/>
        <v>47848</v>
      </c>
    </row>
    <row r="288" spans="3:11" x14ac:dyDescent="0.25">
      <c r="C288" s="6" t="s">
        <v>32</v>
      </c>
      <c r="D288" s="191"/>
      <c r="E288" s="191">
        <f>D292</f>
        <v>1876863</v>
      </c>
      <c r="F288" s="191">
        <f t="shared" ref="F288:K288" si="183">E292</f>
        <v>1974904</v>
      </c>
      <c r="G288" s="191">
        <f t="shared" si="183"/>
        <v>1971423</v>
      </c>
      <c r="H288" s="191">
        <f t="shared" si="183"/>
        <v>2146463.9142426965</v>
      </c>
      <c r="I288" s="191">
        <f t="shared" si="183"/>
        <v>2332173.8466589153</v>
      </c>
      <c r="J288" s="191">
        <f t="shared" si="183"/>
        <v>2527390.563088011</v>
      </c>
      <c r="K288" s="191">
        <f t="shared" si="183"/>
        <v>2731247.3958845208</v>
      </c>
    </row>
    <row r="289" spans="3:11" x14ac:dyDescent="0.25">
      <c r="C289" s="6" t="s">
        <v>206</v>
      </c>
      <c r="D289" s="194"/>
      <c r="E289" s="194">
        <v>1072814</v>
      </c>
      <c r="F289" s="194">
        <v>1041703</v>
      </c>
      <c r="G289" s="191">
        <f>G294*G16</f>
        <v>1148482.061558974</v>
      </c>
      <c r="H289" s="191">
        <f>H294*H16</f>
        <v>1218483.8439408217</v>
      </c>
      <c r="I289" s="191">
        <f>I294*I16</f>
        <v>1280859.9515448243</v>
      </c>
      <c r="J289" s="191">
        <f>J294*J16</f>
        <v>1337549.6614945703</v>
      </c>
      <c r="K289" s="191">
        <f>K294*K16</f>
        <v>1393040.1825498019</v>
      </c>
    </row>
    <row r="290" spans="3:11" x14ac:dyDescent="0.25">
      <c r="C290" s="6" t="s">
        <v>34</v>
      </c>
      <c r="D290" s="194"/>
      <c r="E290" s="194">
        <v>566338</v>
      </c>
      <c r="F290" s="194">
        <v>635250</v>
      </c>
      <c r="G290" s="191">
        <f>G295*G16</f>
        <v>651446.92923868448</v>
      </c>
      <c r="H290" s="191">
        <f>H295*H16</f>
        <v>691153.6409934921</v>
      </c>
      <c r="I290" s="191">
        <f>I295*I16</f>
        <v>726534.88473824051</v>
      </c>
      <c r="J290" s="191">
        <f>J295*J16</f>
        <v>758690.66557478544</v>
      </c>
      <c r="K290" s="191">
        <f>K295*K16</f>
        <v>790166.23733444838</v>
      </c>
    </row>
    <row r="291" spans="3:11" x14ac:dyDescent="0.25">
      <c r="C291" s="6" t="s">
        <v>276</v>
      </c>
      <c r="D291" s="194"/>
      <c r="E291" s="194">
        <v>287126</v>
      </c>
      <c r="F291" s="194">
        <v>306417</v>
      </c>
      <c r="G291" s="191">
        <f>G296*G16</f>
        <v>321994.21807759319</v>
      </c>
      <c r="H291" s="191">
        <f>H296*H16</f>
        <v>341620.27053111116</v>
      </c>
      <c r="I291" s="191">
        <f>I296*I16</f>
        <v>359108.35037748783</v>
      </c>
      <c r="J291" s="191">
        <f>J296*J16</f>
        <v>375002.1631232751</v>
      </c>
      <c r="K291" s="191">
        <f>K296*K16</f>
        <v>390559.76522778126</v>
      </c>
    </row>
    <row r="292" spans="3:11" x14ac:dyDescent="0.25">
      <c r="C292" s="6" t="s">
        <v>35</v>
      </c>
      <c r="D292" s="191">
        <f>D66+D54</f>
        <v>1876863</v>
      </c>
      <c r="E292" s="191">
        <f>E66+E54</f>
        <v>1974904</v>
      </c>
      <c r="F292" s="191">
        <f>F66+F54</f>
        <v>1971423</v>
      </c>
      <c r="G292" s="191">
        <f>G288+G289-G290-G291</f>
        <v>2146463.9142426965</v>
      </c>
      <c r="H292" s="191">
        <f>H288+H289-H290-H291</f>
        <v>2332173.8466589153</v>
      </c>
      <c r="I292" s="191">
        <f>I288+I289-I290-I291</f>
        <v>2527390.563088011</v>
      </c>
      <c r="J292" s="191">
        <f>J288+J289-J290-J291</f>
        <v>2731247.3958845208</v>
      </c>
      <c r="K292" s="191">
        <f>K288+K289-K290-K291</f>
        <v>2943561.5758720934</v>
      </c>
    </row>
    <row r="293" spans="3:11" x14ac:dyDescent="0.25">
      <c r="D293" s="1"/>
      <c r="E293" s="1"/>
      <c r="F293" s="1"/>
      <c r="G293" s="222"/>
      <c r="H293" s="222"/>
      <c r="I293" s="222"/>
      <c r="J293" s="222"/>
      <c r="K293" s="222"/>
    </row>
    <row r="294" spans="3:11" x14ac:dyDescent="0.25">
      <c r="C294" s="6" t="s">
        <v>208</v>
      </c>
      <c r="D294" s="1"/>
      <c r="E294" s="1">
        <f>E289/E16</f>
        <v>5.1136270471877514E-2</v>
      </c>
      <c r="F294" s="1">
        <f>F289/F16</f>
        <v>4.7210915665240993E-2</v>
      </c>
      <c r="G294" s="222">
        <f>AVERAGE(D294:F294)</f>
        <v>4.9173593068559257E-2</v>
      </c>
      <c r="H294" s="222">
        <f>G294</f>
        <v>4.9173593068559257E-2</v>
      </c>
      <c r="I294" s="222">
        <f t="shared" ref="I294:K296" si="184">H294</f>
        <v>4.9173593068559257E-2</v>
      </c>
      <c r="J294" s="222">
        <f t="shared" si="184"/>
        <v>4.9173593068559257E-2</v>
      </c>
      <c r="K294" s="222">
        <f t="shared" si="184"/>
        <v>4.9173593068559257E-2</v>
      </c>
    </row>
    <row r="295" spans="3:11" x14ac:dyDescent="0.25">
      <c r="C295" s="6" t="s">
        <v>279</v>
      </c>
      <c r="D295" s="1"/>
      <c r="E295" s="1">
        <f>E290/E16</f>
        <v>2.699481284407378E-2</v>
      </c>
      <c r="F295" s="1">
        <f>F290/F16</f>
        <v>2.8790100610581269E-2</v>
      </c>
      <c r="G295" s="222">
        <f>AVERAGE(D295:F295)</f>
        <v>2.7892456727327524E-2</v>
      </c>
      <c r="H295" s="222">
        <f>G295</f>
        <v>2.7892456727327524E-2</v>
      </c>
      <c r="I295" s="222">
        <f t="shared" si="184"/>
        <v>2.7892456727327524E-2</v>
      </c>
      <c r="J295" s="222">
        <f t="shared" si="184"/>
        <v>2.7892456727327524E-2</v>
      </c>
      <c r="K295" s="222">
        <f t="shared" si="184"/>
        <v>2.7892456727327524E-2</v>
      </c>
    </row>
    <row r="296" spans="3:11" x14ac:dyDescent="0.25">
      <c r="C296" s="6" t="s">
        <v>280</v>
      </c>
      <c r="D296" s="1"/>
      <c r="E296" s="1">
        <f>E291/E16</f>
        <v>1.3686019007496457E-2</v>
      </c>
      <c r="F296" s="1">
        <f>F291/F16</f>
        <v>1.3887093677752822E-2</v>
      </c>
      <c r="G296" s="222">
        <f>AVERAGE(D296:F296)</f>
        <v>1.3786556342624639E-2</v>
      </c>
      <c r="H296" s="222">
        <f>G296</f>
        <v>1.3786556342624639E-2</v>
      </c>
      <c r="I296" s="222">
        <f t="shared" si="184"/>
        <v>1.3786556342624639E-2</v>
      </c>
      <c r="J296" s="222">
        <f t="shared" si="184"/>
        <v>1.3786556342624639E-2</v>
      </c>
      <c r="K296" s="222">
        <f t="shared" si="184"/>
        <v>1.3786556342624639E-2</v>
      </c>
    </row>
    <row r="297" spans="3:11" x14ac:dyDescent="0.25">
      <c r="D297" s="1"/>
      <c r="E297" s="1"/>
      <c r="F297" s="1"/>
      <c r="G297" s="222"/>
      <c r="H297" s="222"/>
      <c r="I297" s="222"/>
      <c r="J297" s="222"/>
      <c r="K297" s="222"/>
    </row>
    <row r="298" spans="3:11" x14ac:dyDescent="0.25">
      <c r="C298" s="6" t="s">
        <v>277</v>
      </c>
      <c r="D298" s="191">
        <f>D54</f>
        <v>135044</v>
      </c>
      <c r="E298" s="191">
        <f>E54</f>
        <v>136551</v>
      </c>
      <c r="F298" s="191">
        <f>F54</f>
        <v>160737</v>
      </c>
      <c r="G298" s="191">
        <f>G292*G301</f>
        <v>165433.00697109679</v>
      </c>
      <c r="H298" s="191">
        <f t="shared" ref="H298:K298" si="185">H292*H301</f>
        <v>179746.10692127864</v>
      </c>
      <c r="I298" s="191">
        <f t="shared" si="185"/>
        <v>194791.91700715816</v>
      </c>
      <c r="J298" s="191">
        <f t="shared" si="185"/>
        <v>210503.64112110829</v>
      </c>
      <c r="K298" s="191">
        <f t="shared" si="185"/>
        <v>226867.19281414431</v>
      </c>
    </row>
    <row r="299" spans="3:11" x14ac:dyDescent="0.25">
      <c r="C299" s="6" t="s">
        <v>278</v>
      </c>
      <c r="D299" s="191">
        <f>D66</f>
        <v>1741819</v>
      </c>
      <c r="E299" s="191">
        <f>E66</f>
        <v>1838353</v>
      </c>
      <c r="F299" s="191">
        <f>F66</f>
        <v>1810686</v>
      </c>
      <c r="G299" s="191">
        <f>G292*G302</f>
        <v>1981030.9072715996</v>
      </c>
      <c r="H299" s="191">
        <f t="shared" ref="H299:K299" si="186">H292*H302</f>
        <v>2152427.7397376369</v>
      </c>
      <c r="I299" s="191">
        <f t="shared" si="186"/>
        <v>2332598.646080853</v>
      </c>
      <c r="J299" s="191">
        <f t="shared" si="186"/>
        <v>2520743.7547634128</v>
      </c>
      <c r="K299" s="191">
        <f t="shared" si="186"/>
        <v>2716694.3830579491</v>
      </c>
    </row>
    <row r="300" spans="3:11" x14ac:dyDescent="0.25">
      <c r="D300" s="1"/>
      <c r="E300" s="1"/>
      <c r="F300" s="1"/>
      <c r="G300" s="222"/>
      <c r="H300" s="222"/>
      <c r="I300" s="222"/>
      <c r="J300" s="222"/>
      <c r="K300" s="222"/>
    </row>
    <row r="301" spans="3:11" x14ac:dyDescent="0.25">
      <c r="C301" s="6" t="s">
        <v>281</v>
      </c>
      <c r="D301" s="1"/>
      <c r="E301" s="1">
        <f>E298/E288</f>
        <v>7.2754910720707902E-2</v>
      </c>
      <c r="F301" s="1">
        <f>F298/F288</f>
        <v>8.1389778946217128E-2</v>
      </c>
      <c r="G301" s="222">
        <f>AVERAGE(D301:F301)</f>
        <v>7.7072344833462508E-2</v>
      </c>
      <c r="H301" s="222">
        <f>G301</f>
        <v>7.7072344833462508E-2</v>
      </c>
      <c r="I301" s="222">
        <f t="shared" ref="I301:K301" si="187">H301</f>
        <v>7.7072344833462508E-2</v>
      </c>
      <c r="J301" s="222">
        <f t="shared" si="187"/>
        <v>7.7072344833462508E-2</v>
      </c>
      <c r="K301" s="222">
        <f t="shared" si="187"/>
        <v>7.7072344833462508E-2</v>
      </c>
    </row>
    <row r="302" spans="3:11" x14ac:dyDescent="0.25">
      <c r="C302" s="6" t="s">
        <v>282</v>
      </c>
      <c r="D302" s="1"/>
      <c r="E302" s="1">
        <f>E299/E288</f>
        <v>0.97948172029604719</v>
      </c>
      <c r="F302" s="1">
        <f>F299/F288</f>
        <v>0.91684760373162444</v>
      </c>
      <c r="G302" s="222">
        <f>1-G301</f>
        <v>0.92292765516653752</v>
      </c>
      <c r="H302" s="222">
        <f t="shared" ref="H302:K302" si="188">1-H301</f>
        <v>0.92292765516653752</v>
      </c>
      <c r="I302" s="222">
        <f t="shared" si="188"/>
        <v>0.92292765516653752</v>
      </c>
      <c r="J302" s="222">
        <f t="shared" si="188"/>
        <v>0.92292765516653752</v>
      </c>
      <c r="K302" s="222">
        <f t="shared" si="188"/>
        <v>0.92292765516653752</v>
      </c>
    </row>
    <row r="303" spans="3:11" x14ac:dyDescent="0.25">
      <c r="D303" s="1"/>
      <c r="E303" s="1"/>
      <c r="F303" s="1"/>
      <c r="G303" s="222"/>
      <c r="H303" s="222"/>
      <c r="I303" s="222"/>
      <c r="J303" s="222"/>
      <c r="K303" s="222"/>
    </row>
    <row r="304" spans="3:11" x14ac:dyDescent="0.25">
      <c r="C304" s="13" t="s">
        <v>275</v>
      </c>
    </row>
    <row r="305" spans="3:11" x14ac:dyDescent="0.25">
      <c r="C305" s="51" t="s">
        <v>42</v>
      </c>
      <c r="D305" s="52">
        <f t="shared" ref="D305:K305" si="189">D$13</f>
        <v>2023</v>
      </c>
      <c r="E305" s="52">
        <f t="shared" si="189"/>
        <v>2024</v>
      </c>
      <c r="F305" s="52">
        <f t="shared" si="189"/>
        <v>2025</v>
      </c>
      <c r="G305" s="53">
        <f t="shared" si="189"/>
        <v>2026</v>
      </c>
      <c r="H305" s="53">
        <f t="shared" si="189"/>
        <v>2027</v>
      </c>
      <c r="I305" s="53">
        <f t="shared" si="189"/>
        <v>2028</v>
      </c>
      <c r="J305" s="53">
        <f t="shared" si="189"/>
        <v>2029</v>
      </c>
      <c r="K305" s="53">
        <f t="shared" si="189"/>
        <v>2030</v>
      </c>
    </row>
    <row r="306" spans="3:11" x14ac:dyDescent="0.25">
      <c r="C306" s="45" t="s">
        <v>43</v>
      </c>
      <c r="D306" s="245">
        <f t="shared" ref="D306:K306" si="190">D$14</f>
        <v>45291</v>
      </c>
      <c r="E306" s="245">
        <f t="shared" si="190"/>
        <v>45657</v>
      </c>
      <c r="F306" s="245">
        <f t="shared" si="190"/>
        <v>46022</v>
      </c>
      <c r="G306" s="245">
        <f t="shared" si="190"/>
        <v>46387</v>
      </c>
      <c r="H306" s="245">
        <f t="shared" si="190"/>
        <v>46752</v>
      </c>
      <c r="I306" s="245">
        <f t="shared" si="190"/>
        <v>47118</v>
      </c>
      <c r="J306" s="245">
        <f t="shared" si="190"/>
        <v>47483</v>
      </c>
      <c r="K306" s="245">
        <f t="shared" si="190"/>
        <v>47848</v>
      </c>
    </row>
    <row r="308" spans="3:11" x14ac:dyDescent="0.25">
      <c r="C308" s="6" t="s">
        <v>32</v>
      </c>
      <c r="D308" s="191"/>
      <c r="E308" s="191">
        <f>D311</f>
        <v>1225730</v>
      </c>
      <c r="F308" s="191">
        <f t="shared" ref="F308:K308" si="191">E311</f>
        <v>1396542</v>
      </c>
      <c r="G308" s="191">
        <f t="shared" si="191"/>
        <v>1584310</v>
      </c>
      <c r="H308" s="191">
        <f t="shared" si="191"/>
        <v>1746971.144978096</v>
      </c>
      <c r="I308" s="191">
        <f t="shared" si="191"/>
        <v>1926332.713538436</v>
      </c>
      <c r="J308" s="191">
        <f t="shared" si="191"/>
        <v>2124109.3385631624</v>
      </c>
      <c r="K308" s="191">
        <f t="shared" si="191"/>
        <v>2342191.6943327719</v>
      </c>
    </row>
    <row r="309" spans="3:11" x14ac:dyDescent="0.25">
      <c r="C309" s="6" t="s">
        <v>286</v>
      </c>
      <c r="D309" s="191"/>
      <c r="E309" s="191">
        <v>182398</v>
      </c>
      <c r="F309" s="191">
        <v>222699</v>
      </c>
      <c r="G309" s="191">
        <f>G313*G308</f>
        <v>252641.34747827135</v>
      </c>
      <c r="H309" s="191">
        <f t="shared" ref="H309:K309" si="192">H313*H308</f>
        <v>278580.0405684018</v>
      </c>
      <c r="I309" s="191">
        <f t="shared" si="192"/>
        <v>307181.85988842166</v>
      </c>
      <c r="J309" s="191">
        <f t="shared" si="192"/>
        <v>338720.22867101576</v>
      </c>
      <c r="K309" s="191">
        <f t="shared" si="192"/>
        <v>373496.64251860237</v>
      </c>
    </row>
    <row r="310" spans="3:11" x14ac:dyDescent="0.25">
      <c r="C310" s="6" t="s">
        <v>287</v>
      </c>
      <c r="D310" s="191"/>
      <c r="E310" s="191">
        <v>70501</v>
      </c>
      <c r="F310" s="191">
        <v>79316</v>
      </c>
      <c r="G310" s="191">
        <f>G314*G308</f>
        <v>89980.202500175423</v>
      </c>
      <c r="H310" s="191">
        <f t="shared" ref="H310:K310" si="193">H314*H308</f>
        <v>99218.472008061814</v>
      </c>
      <c r="I310" s="191">
        <f t="shared" si="193"/>
        <v>109405.23486369516</v>
      </c>
      <c r="J310" s="191">
        <f t="shared" si="193"/>
        <v>120637.87290140631</v>
      </c>
      <c r="K310" s="191">
        <f t="shared" si="193"/>
        <v>133023.76615074815</v>
      </c>
    </row>
    <row r="311" spans="3:11" x14ac:dyDescent="0.25">
      <c r="C311" s="6" t="s">
        <v>35</v>
      </c>
      <c r="D311" s="191">
        <f>D90</f>
        <v>1225730</v>
      </c>
      <c r="E311" s="191">
        <f>E90</f>
        <v>1396542</v>
      </c>
      <c r="F311" s="191">
        <f>F90</f>
        <v>1584310</v>
      </c>
      <c r="G311" s="191">
        <f>G308+G309-G310</f>
        <v>1746971.144978096</v>
      </c>
      <c r="H311" s="191">
        <f t="shared" ref="H311:K311" si="194">H308+H309-H310</f>
        <v>1926332.713538436</v>
      </c>
      <c r="I311" s="191">
        <f t="shared" si="194"/>
        <v>2124109.3385631624</v>
      </c>
      <c r="J311" s="191">
        <f t="shared" si="194"/>
        <v>2342191.6943327719</v>
      </c>
      <c r="K311" s="191">
        <f t="shared" si="194"/>
        <v>2582664.5707006259</v>
      </c>
    </row>
    <row r="313" spans="3:11" x14ac:dyDescent="0.25">
      <c r="C313" s="6" t="s">
        <v>288</v>
      </c>
      <c r="D313" s="217"/>
      <c r="E313" s="217">
        <f>E309/E308</f>
        <v>0.14880764931918122</v>
      </c>
      <c r="F313" s="217">
        <f>F309/F308</f>
        <v>0.15946459182752828</v>
      </c>
      <c r="G313" s="219">
        <f>F313</f>
        <v>0.15946459182752828</v>
      </c>
      <c r="H313" s="219">
        <f t="shared" ref="H313:K313" si="195">G313</f>
        <v>0.15946459182752828</v>
      </c>
      <c r="I313" s="219">
        <f t="shared" si="195"/>
        <v>0.15946459182752828</v>
      </c>
      <c r="J313" s="219">
        <f t="shared" si="195"/>
        <v>0.15946459182752828</v>
      </c>
      <c r="K313" s="219">
        <f t="shared" si="195"/>
        <v>0.15946459182752828</v>
      </c>
    </row>
    <row r="314" spans="3:11" x14ac:dyDescent="0.25">
      <c r="C314" s="6" t="s">
        <v>289</v>
      </c>
      <c r="D314" s="217"/>
      <c r="E314" s="217">
        <f>E310/E308</f>
        <v>5.7517560963670632E-2</v>
      </c>
      <c r="F314" s="217">
        <f>F310/F308</f>
        <v>5.6794568297981726E-2</v>
      </c>
      <c r="G314" s="219">
        <f>F314</f>
        <v>5.6794568297981726E-2</v>
      </c>
      <c r="H314" s="219">
        <f t="shared" ref="H314:K314" si="196">G314</f>
        <v>5.6794568297981726E-2</v>
      </c>
      <c r="I314" s="219">
        <f t="shared" si="196"/>
        <v>5.6794568297981726E-2</v>
      </c>
      <c r="J314" s="219">
        <f t="shared" si="196"/>
        <v>5.6794568297981726E-2</v>
      </c>
      <c r="K314" s="219">
        <f t="shared" si="196"/>
        <v>5.6794568297981726E-2</v>
      </c>
    </row>
    <row r="316" spans="3:11" x14ac:dyDescent="0.25">
      <c r="C316" s="13" t="s">
        <v>297</v>
      </c>
    </row>
    <row r="317" spans="3:11" x14ac:dyDescent="0.25">
      <c r="C317" s="51" t="s">
        <v>42</v>
      </c>
      <c r="D317" s="52">
        <f t="shared" ref="D317:K317" si="197">D$13</f>
        <v>2023</v>
      </c>
      <c r="E317" s="52">
        <f t="shared" si="197"/>
        <v>2024</v>
      </c>
      <c r="F317" s="52">
        <f t="shared" si="197"/>
        <v>2025</v>
      </c>
      <c r="G317" s="53">
        <f t="shared" si="197"/>
        <v>2026</v>
      </c>
      <c r="H317" s="53">
        <f t="shared" si="197"/>
        <v>2027</v>
      </c>
      <c r="I317" s="53">
        <f t="shared" si="197"/>
        <v>2028</v>
      </c>
      <c r="J317" s="53">
        <f t="shared" si="197"/>
        <v>2029</v>
      </c>
      <c r="K317" s="53">
        <f t="shared" si="197"/>
        <v>2030</v>
      </c>
    </row>
    <row r="318" spans="3:11" x14ac:dyDescent="0.25">
      <c r="C318" s="45" t="s">
        <v>43</v>
      </c>
      <c r="D318" s="245">
        <f t="shared" ref="D318:K318" si="198">D$14</f>
        <v>45291</v>
      </c>
      <c r="E318" s="245">
        <f t="shared" si="198"/>
        <v>45657</v>
      </c>
      <c r="F318" s="245">
        <f t="shared" si="198"/>
        <v>46022</v>
      </c>
      <c r="G318" s="245">
        <f t="shared" si="198"/>
        <v>46387</v>
      </c>
      <c r="H318" s="245">
        <f t="shared" si="198"/>
        <v>46752</v>
      </c>
      <c r="I318" s="245">
        <f t="shared" si="198"/>
        <v>47118</v>
      </c>
      <c r="J318" s="245">
        <f t="shared" si="198"/>
        <v>47483</v>
      </c>
      <c r="K318" s="245">
        <f t="shared" si="198"/>
        <v>47848</v>
      </c>
    </row>
    <row r="320" spans="3:11" x14ac:dyDescent="0.25">
      <c r="C320" s="6" t="s">
        <v>301</v>
      </c>
      <c r="D320" s="191">
        <f t="shared" ref="D320:K320" si="199">D324*D16</f>
        <v>666336</v>
      </c>
      <c r="E320" s="191">
        <f t="shared" si="199"/>
        <v>528214</v>
      </c>
      <c r="F320" s="191">
        <f t="shared" si="199"/>
        <v>523038.99999999994</v>
      </c>
      <c r="G320" s="191">
        <f t="shared" si="199"/>
        <v>553636.67923836736</v>
      </c>
      <c r="H320" s="191">
        <f t="shared" si="199"/>
        <v>587381.70289685216</v>
      </c>
      <c r="I320" s="191">
        <f t="shared" si="199"/>
        <v>617450.69764529273</v>
      </c>
      <c r="J320" s="191">
        <f t="shared" si="199"/>
        <v>644778.51042885531</v>
      </c>
      <c r="K320" s="191">
        <f t="shared" si="199"/>
        <v>671528.24282304081</v>
      </c>
    </row>
    <row r="321" spans="3:11" x14ac:dyDescent="0.25">
      <c r="C321" s="6" t="s">
        <v>298</v>
      </c>
      <c r="D321" s="191"/>
      <c r="E321" s="191"/>
      <c r="F321" s="191"/>
      <c r="G321" s="191">
        <f>G125+G134+G138+G139+G140+G145</f>
        <v>-1222028.6408424806</v>
      </c>
      <c r="H321" s="191">
        <f t="shared" ref="H321:K321" si="200">H125+H134+H138+H139+H140+H145</f>
        <v>-1285477.4795557386</v>
      </c>
      <c r="I321" s="191">
        <f t="shared" si="200"/>
        <v>230557.71473267046</v>
      </c>
      <c r="J321" s="191">
        <f t="shared" si="200"/>
        <v>1115747.809661444</v>
      </c>
      <c r="K321" s="191">
        <f t="shared" si="200"/>
        <v>1768365.4284813181</v>
      </c>
    </row>
    <row r="322" spans="3:11" x14ac:dyDescent="0.25">
      <c r="C322" s="6" t="s">
        <v>299</v>
      </c>
      <c r="D322" s="191"/>
      <c r="E322" s="191"/>
      <c r="F322" s="191"/>
      <c r="G322" s="191">
        <f>MAX(0, F322 - (G321 - G320))</f>
        <v>1775665.3200808479</v>
      </c>
      <c r="H322" s="191">
        <f>MAX(0, G322 - (H321 - H320))</f>
        <v>3648524.5025334386</v>
      </c>
      <c r="I322" s="191">
        <f>MAX(0, H322 - (I321 - I320))</f>
        <v>4035417.485446061</v>
      </c>
      <c r="J322" s="191">
        <f t="shared" ref="J322:K322" si="201">MAX(0, I322 - (J321 - J320))</f>
        <v>3564448.1862134724</v>
      </c>
      <c r="K322" s="191">
        <f t="shared" si="201"/>
        <v>2467611.0005551949</v>
      </c>
    </row>
    <row r="323" spans="3:11" x14ac:dyDescent="0.25">
      <c r="C323" s="6" t="s">
        <v>220</v>
      </c>
      <c r="D323" s="191"/>
      <c r="E323" s="191"/>
      <c r="F323" s="191"/>
      <c r="G323" s="191">
        <f>G322 - F322</f>
        <v>1775665.3200808479</v>
      </c>
      <c r="H323" s="191">
        <f t="shared" ref="H323:K323" si="202">H322 - G322</f>
        <v>1872859.1824525907</v>
      </c>
      <c r="I323" s="191">
        <f t="shared" si="202"/>
        <v>386892.98291262239</v>
      </c>
      <c r="J323" s="191">
        <f t="shared" si="202"/>
        <v>-470969.29923258862</v>
      </c>
      <c r="K323" s="191">
        <f t="shared" si="202"/>
        <v>-1096837.1856582775</v>
      </c>
    </row>
    <row r="324" spans="3:11" x14ac:dyDescent="0.25">
      <c r="C324" s="6" t="s">
        <v>300</v>
      </c>
      <c r="D324" s="1">
        <f>D58/D16</f>
        <v>3.4039135995169494E-2</v>
      </c>
      <c r="E324" s="1">
        <f>E58/E16</f>
        <v>2.5177611376279867E-2</v>
      </c>
      <c r="F324" s="1">
        <f>F58/F16</f>
        <v>2.3704597297532964E-2</v>
      </c>
      <c r="G324" s="222">
        <f>F324</f>
        <v>2.3704597297532964E-2</v>
      </c>
      <c r="H324" s="222">
        <f t="shared" ref="H324:K324" si="203">G324</f>
        <v>2.3704597297532964E-2</v>
      </c>
      <c r="I324" s="222">
        <f t="shared" si="203"/>
        <v>2.3704597297532964E-2</v>
      </c>
      <c r="J324" s="222">
        <f t="shared" si="203"/>
        <v>2.3704597297532964E-2</v>
      </c>
      <c r="K324" s="222">
        <f t="shared" si="203"/>
        <v>2.3704597297532964E-2</v>
      </c>
    </row>
    <row r="326" spans="3:11" x14ac:dyDescent="0.25">
      <c r="C326" s="13" t="s">
        <v>304</v>
      </c>
      <c r="D326" s="30"/>
    </row>
    <row r="327" spans="3:11" x14ac:dyDescent="0.25">
      <c r="C327" s="51" t="s">
        <v>42</v>
      </c>
      <c r="D327" s="52">
        <f t="shared" ref="D327:K327" si="204">D$13</f>
        <v>2023</v>
      </c>
      <c r="E327" s="52">
        <f t="shared" si="204"/>
        <v>2024</v>
      </c>
      <c r="F327" s="52">
        <f t="shared" si="204"/>
        <v>2025</v>
      </c>
      <c r="G327" s="53">
        <f t="shared" si="204"/>
        <v>2026</v>
      </c>
      <c r="H327" s="53">
        <f t="shared" si="204"/>
        <v>2027</v>
      </c>
      <c r="I327" s="53">
        <f t="shared" si="204"/>
        <v>2028</v>
      </c>
      <c r="J327" s="53">
        <f t="shared" si="204"/>
        <v>2029</v>
      </c>
      <c r="K327" s="53">
        <f t="shared" si="204"/>
        <v>2030</v>
      </c>
    </row>
    <row r="328" spans="3:11" x14ac:dyDescent="0.25">
      <c r="C328" s="45" t="s">
        <v>43</v>
      </c>
      <c r="D328" s="271">
        <f t="shared" ref="D328:K328" si="205">D$14</f>
        <v>45291</v>
      </c>
      <c r="E328" s="245">
        <f t="shared" si="205"/>
        <v>45657</v>
      </c>
      <c r="F328" s="245">
        <f t="shared" si="205"/>
        <v>46022</v>
      </c>
      <c r="G328" s="245">
        <f t="shared" si="205"/>
        <v>46387</v>
      </c>
      <c r="H328" s="245">
        <f t="shared" si="205"/>
        <v>46752</v>
      </c>
      <c r="I328" s="245">
        <f t="shared" si="205"/>
        <v>47118</v>
      </c>
      <c r="J328" s="245">
        <f t="shared" si="205"/>
        <v>47483</v>
      </c>
      <c r="K328" s="245">
        <f t="shared" si="205"/>
        <v>47848</v>
      </c>
    </row>
    <row r="329" spans="3:11" x14ac:dyDescent="0.25">
      <c r="D329" s="30"/>
    </row>
    <row r="330" spans="3:11" x14ac:dyDescent="0.25">
      <c r="C330" s="13" t="s">
        <v>312</v>
      </c>
      <c r="D330" s="165">
        <f>D78+D79+D88+D89+D84</f>
        <v>12478189</v>
      </c>
      <c r="E330" s="165">
        <f t="shared" ref="E330:K330" si="206">E78+E79+E88+E89+E84</f>
        <v>10615191</v>
      </c>
      <c r="F330" s="165">
        <f t="shared" si="206"/>
        <v>13022366</v>
      </c>
      <c r="G330" s="165">
        <f t="shared" si="206"/>
        <v>14853448.018844889</v>
      </c>
      <c r="H330" s="165">
        <f t="shared" si="206"/>
        <v>16785101.63474023</v>
      </c>
      <c r="I330" s="165">
        <f t="shared" si="206"/>
        <v>17233798.830769889</v>
      </c>
      <c r="J330" s="165">
        <f t="shared" si="206"/>
        <v>16827369.143564302</v>
      </c>
      <c r="K330" s="165">
        <f t="shared" si="206"/>
        <v>15797749.105431845</v>
      </c>
    </row>
    <row r="331" spans="3:11" x14ac:dyDescent="0.25">
      <c r="C331" s="13" t="s">
        <v>305</v>
      </c>
      <c r="D331" s="165">
        <f>D330-D58</f>
        <v>11811853</v>
      </c>
      <c r="E331" s="165">
        <f t="shared" ref="E331:K331" si="207">E330-E58</f>
        <v>10086977</v>
      </c>
      <c r="F331" s="165">
        <f t="shared" si="207"/>
        <v>12499327</v>
      </c>
      <c r="G331" s="165">
        <f t="shared" si="207"/>
        <v>14299811.339606522</v>
      </c>
      <c r="H331" s="165">
        <f t="shared" si="207"/>
        <v>16197719.931843378</v>
      </c>
      <c r="I331" s="165">
        <f t="shared" si="207"/>
        <v>16616348.133124596</v>
      </c>
      <c r="J331" s="165">
        <f t="shared" si="207"/>
        <v>16182590.633135447</v>
      </c>
      <c r="K331" s="165">
        <f t="shared" si="207"/>
        <v>15126220.862608805</v>
      </c>
    </row>
    <row r="332" spans="3:11" x14ac:dyDescent="0.25">
      <c r="C332" s="13"/>
      <c r="D332" s="165"/>
      <c r="E332" s="165"/>
      <c r="F332" s="165"/>
      <c r="G332" s="165"/>
      <c r="H332" s="165"/>
      <c r="I332" s="165"/>
      <c r="J332" s="165"/>
      <c r="K332" s="165"/>
    </row>
    <row r="333" spans="3:11" x14ac:dyDescent="0.25">
      <c r="C333" s="13" t="s">
        <v>323</v>
      </c>
      <c r="D333" s="30"/>
      <c r="E333" s="30"/>
      <c r="F333" s="30"/>
      <c r="G333" s="30"/>
      <c r="H333" s="30"/>
      <c r="I333" s="30"/>
      <c r="J333" s="30"/>
      <c r="K333" s="30"/>
    </row>
    <row r="334" spans="3:11" x14ac:dyDescent="0.25">
      <c r="C334" s="17" t="s">
        <v>306</v>
      </c>
      <c r="D334" s="272">
        <f>D331/D32</f>
        <v>2.2911346417196525</v>
      </c>
      <c r="E334" s="272">
        <f t="shared" ref="E334:K334" si="208">E331/E32</f>
        <v>1.8558486042098992</v>
      </c>
      <c r="F334" s="272">
        <f t="shared" si="208"/>
        <v>2.2463511900910809</v>
      </c>
      <c r="G334" s="272">
        <f t="shared" si="208"/>
        <v>2.4319084491868606</v>
      </c>
      <c r="H334" s="272">
        <f t="shared" si="208"/>
        <v>2.5964217610290596</v>
      </c>
      <c r="I334" s="272">
        <f t="shared" si="208"/>
        <v>2.5338159512459648</v>
      </c>
      <c r="J334" s="272">
        <f t="shared" si="208"/>
        <v>2.3630845584605544</v>
      </c>
      <c r="K334" s="272">
        <f t="shared" si="208"/>
        <v>2.1208400865374717</v>
      </c>
    </row>
    <row r="335" spans="3:11" x14ac:dyDescent="0.25">
      <c r="C335" s="17" t="s">
        <v>307</v>
      </c>
      <c r="D335" s="1">
        <f>D330/D72</f>
        <v>0.34475835300394275</v>
      </c>
      <c r="E335" s="1">
        <f t="shared" ref="E335:K335" si="209">E330/E72</f>
        <v>0.2984481257851167</v>
      </c>
      <c r="F335" s="1">
        <f t="shared" si="209"/>
        <v>0.32582878961484579</v>
      </c>
      <c r="G335" s="1">
        <f t="shared" si="209"/>
        <v>0.33913167641866543</v>
      </c>
      <c r="H335" s="1">
        <f t="shared" si="209"/>
        <v>0.35046550975873875</v>
      </c>
      <c r="I335" s="1">
        <f t="shared" si="209"/>
        <v>0.34064551928126313</v>
      </c>
      <c r="J335" s="1">
        <f t="shared" si="209"/>
        <v>0.32039272071686137</v>
      </c>
      <c r="K335" s="1">
        <f t="shared" si="209"/>
        <v>0.29290971830886409</v>
      </c>
    </row>
    <row r="336" spans="3:11" x14ac:dyDescent="0.25">
      <c r="C336" s="17" t="s">
        <v>308</v>
      </c>
      <c r="D336" s="1">
        <f>D331/D105</f>
        <v>0.66325841261284779</v>
      </c>
      <c r="E336" s="1">
        <f t="shared" ref="E336:K336" si="210">E331/E105</f>
        <v>0.53679453691241164</v>
      </c>
      <c r="F336" s="1">
        <f t="shared" si="210"/>
        <v>0.60891427369958628</v>
      </c>
      <c r="G336" s="1">
        <f t="shared" si="210"/>
        <v>0.64724739926500852</v>
      </c>
      <c r="H336" s="1">
        <f t="shared" si="210"/>
        <v>0.6813781945687496</v>
      </c>
      <c r="I336" s="1">
        <f t="shared" si="210"/>
        <v>0.65031729903103141</v>
      </c>
      <c r="J336" s="1">
        <f t="shared" si="210"/>
        <v>0.59014145209486468</v>
      </c>
      <c r="K336" s="1">
        <f t="shared" si="210"/>
        <v>0.51482506158133823</v>
      </c>
    </row>
    <row r="337" spans="3:11" x14ac:dyDescent="0.25">
      <c r="E337" s="7"/>
      <c r="F337" s="7"/>
      <c r="G337" s="7"/>
      <c r="H337" s="7"/>
      <c r="I337" s="7"/>
      <c r="J337" s="7"/>
      <c r="K337" s="7"/>
    </row>
    <row r="338" spans="3:11" x14ac:dyDescent="0.25">
      <c r="C338" s="13" t="s">
        <v>324</v>
      </c>
      <c r="E338" s="7"/>
      <c r="F338" s="7"/>
      <c r="G338" s="7"/>
      <c r="H338" s="7"/>
      <c r="I338" s="7"/>
      <c r="J338" s="7"/>
      <c r="K338" s="7"/>
    </row>
    <row r="339" spans="3:11" x14ac:dyDescent="0.25">
      <c r="C339" s="17" t="s">
        <v>313</v>
      </c>
      <c r="D339" s="272">
        <f>D23/ABS(D24)</f>
        <v>5.1115576478267384</v>
      </c>
      <c r="E339" s="272">
        <f t="shared" ref="E339:K339" si="211">E23/ABS(E24)</f>
        <v>5.6488533926752913</v>
      </c>
      <c r="F339" s="272">
        <f t="shared" si="211"/>
        <v>6.6047014542048492</v>
      </c>
      <c r="G339" s="272">
        <f t="shared" si="211"/>
        <v>6.531054957104133</v>
      </c>
      <c r="H339" s="272">
        <f t="shared" si="211"/>
        <v>6.9291329969217497</v>
      </c>
      <c r="I339" s="272">
        <f t="shared" si="211"/>
        <v>7.2838462313792309</v>
      </c>
      <c r="J339" s="272">
        <f t="shared" si="211"/>
        <v>7.606222717331053</v>
      </c>
      <c r="K339" s="272">
        <f t="shared" si="211"/>
        <v>7.9217797945727426</v>
      </c>
    </row>
    <row r="341" spans="3:11" x14ac:dyDescent="0.25">
      <c r="C341" s="204" t="s">
        <v>325</v>
      </c>
      <c r="D341" s="1"/>
      <c r="E341" s="1"/>
      <c r="F341" s="1"/>
      <c r="G341" s="1"/>
      <c r="H341" s="1"/>
      <c r="I341" s="1"/>
      <c r="J341" s="1"/>
      <c r="K341" s="1"/>
    </row>
    <row r="342" spans="3:11" x14ac:dyDescent="0.25">
      <c r="C342" s="17" t="s">
        <v>309</v>
      </c>
      <c r="D342" s="272">
        <f>D59/D85</f>
        <v>1.399231239882204</v>
      </c>
      <c r="E342" s="272">
        <f t="shared" ref="E342:K342" si="212">E59/E85</f>
        <v>1.5044895744521238</v>
      </c>
      <c r="F342" s="272">
        <f t="shared" si="212"/>
        <v>1.4692399463467245</v>
      </c>
      <c r="G342" s="272">
        <f t="shared" si="212"/>
        <v>1.1748980921729055</v>
      </c>
      <c r="H342" s="272">
        <f t="shared" si="212"/>
        <v>0.9903299527375895</v>
      </c>
      <c r="I342" s="272">
        <f t="shared" si="212"/>
        <v>0.9797420247054347</v>
      </c>
      <c r="J342" s="272">
        <f t="shared" si="212"/>
        <v>1.043158860690143</v>
      </c>
      <c r="K342" s="272">
        <f t="shared" si="212"/>
        <v>1.1762687928566289</v>
      </c>
    </row>
    <row r="343" spans="3:11" x14ac:dyDescent="0.25">
      <c r="C343" s="17" t="s">
        <v>310</v>
      </c>
      <c r="D343" s="272">
        <f>(D59-D53)/D85</f>
        <v>0.6482330035988908</v>
      </c>
      <c r="E343" s="272">
        <f t="shared" ref="E343:K343" si="213">(E59-E53)/E85</f>
        <v>0.53090292633316194</v>
      </c>
      <c r="F343" s="272">
        <f t="shared" si="213"/>
        <v>0.52969155624223074</v>
      </c>
      <c r="G343" s="272">
        <f t="shared" si="213"/>
        <v>0.4235150533642934</v>
      </c>
      <c r="H343" s="272">
        <f t="shared" si="213"/>
        <v>0.35721699923682693</v>
      </c>
      <c r="I343" s="272">
        <f t="shared" si="213"/>
        <v>0.3537115410111874</v>
      </c>
      <c r="J343" s="272">
        <f t="shared" si="213"/>
        <v>0.37700009784494043</v>
      </c>
      <c r="K343" s="272">
        <f t="shared" si="213"/>
        <v>0.4255664579710956</v>
      </c>
    </row>
    <row r="344" spans="3:11" x14ac:dyDescent="0.25">
      <c r="D344" s="272"/>
      <c r="E344" s="272"/>
      <c r="F344" s="272"/>
      <c r="G344" s="272"/>
      <c r="H344" s="272"/>
      <c r="I344" s="272"/>
      <c r="J344" s="272"/>
      <c r="K344" s="272"/>
    </row>
    <row r="345" spans="3:11" x14ac:dyDescent="0.25">
      <c r="C345" s="13" t="s">
        <v>314</v>
      </c>
      <c r="D345" s="272"/>
      <c r="E345" s="272"/>
      <c r="F345" s="272"/>
      <c r="G345" s="272"/>
      <c r="H345" s="272"/>
      <c r="I345" s="272"/>
      <c r="J345" s="272"/>
      <c r="K345" s="272"/>
    </row>
    <row r="346" spans="3:11" x14ac:dyDescent="0.25">
      <c r="C346" s="17" t="s">
        <v>315</v>
      </c>
      <c r="D346" s="1">
        <f>D28/D72</f>
        <v>5.6681443050736427E-2</v>
      </c>
      <c r="E346" s="1">
        <f t="shared" ref="E346:K346" si="214">E28/E72</f>
        <v>6.5049190338720572E-2</v>
      </c>
      <c r="F346" s="1">
        <f t="shared" si="214"/>
        <v>6.1467692589002032E-2</v>
      </c>
      <c r="G346" s="1">
        <f t="shared" si="214"/>
        <v>5.970788857829646E-2</v>
      </c>
      <c r="H346" s="1">
        <f t="shared" si="214"/>
        <v>5.8532242769790702E-2</v>
      </c>
      <c r="I346" s="1">
        <f t="shared" si="214"/>
        <v>5.8725926164176823E-2</v>
      </c>
      <c r="J346" s="1">
        <f t="shared" si="214"/>
        <v>5.9470596354519394E-2</v>
      </c>
      <c r="K346" s="1">
        <f t="shared" si="214"/>
        <v>6.067908338471658E-2</v>
      </c>
    </row>
    <row r="347" spans="3:11" x14ac:dyDescent="0.25">
      <c r="C347" s="17" t="s">
        <v>316</v>
      </c>
      <c r="D347" s="1">
        <f>D28/D105</f>
        <v>0.11519732492177333</v>
      </c>
      <c r="E347" s="1">
        <f t="shared" ref="E347:K347" si="215">E28/E105</f>
        <v>0.12312547216421023</v>
      </c>
      <c r="F347" s="1">
        <f t="shared" si="215"/>
        <v>0.11967870394241095</v>
      </c>
      <c r="G347" s="1">
        <f t="shared" si="215"/>
        <v>0.11836700091904881</v>
      </c>
      <c r="H347" s="1">
        <f t="shared" si="215"/>
        <v>0.1179256291247</v>
      </c>
      <c r="I347" s="1">
        <f t="shared" si="215"/>
        <v>0.1162781028239655</v>
      </c>
      <c r="J347" s="1">
        <f t="shared" si="215"/>
        <v>0.11390530414541496</v>
      </c>
      <c r="K347" s="1">
        <f t="shared" si="215"/>
        <v>0.11138576335644054</v>
      </c>
    </row>
    <row r="349" spans="3:11" x14ac:dyDescent="0.25">
      <c r="C349" s="13" t="s">
        <v>317</v>
      </c>
      <c r="D349" s="272"/>
      <c r="E349" s="272"/>
      <c r="F349" s="272"/>
      <c r="G349" s="272"/>
      <c r="H349" s="272"/>
      <c r="I349" s="272"/>
      <c r="J349" s="272"/>
      <c r="K349" s="272"/>
    </row>
    <row r="350" spans="3:11" x14ac:dyDescent="0.25">
      <c r="C350" s="17" t="s">
        <v>318</v>
      </c>
      <c r="D350" s="217">
        <f>D28/D16</f>
        <v>0.10480039293844859</v>
      </c>
      <c r="E350" s="217">
        <f t="shared" ref="E350:K350" si="216">E28/E16</f>
        <v>0.11028221247472296</v>
      </c>
      <c r="F350" s="217">
        <f t="shared" si="216"/>
        <v>0.11133862705595989</v>
      </c>
      <c r="G350" s="217">
        <f t="shared" si="216"/>
        <v>0.11196914563644411</v>
      </c>
      <c r="H350" s="217">
        <f t="shared" si="216"/>
        <v>0.11313214563362482</v>
      </c>
      <c r="I350" s="217">
        <f t="shared" si="216"/>
        <v>0.11406135045663253</v>
      </c>
      <c r="J350" s="217">
        <f t="shared" si="216"/>
        <v>0.11483067091070658</v>
      </c>
      <c r="K350" s="217">
        <f t="shared" si="216"/>
        <v>0.11552307536025366</v>
      </c>
    </row>
    <row r="351" spans="3:11" x14ac:dyDescent="0.25">
      <c r="C351" s="17" t="s">
        <v>319</v>
      </c>
      <c r="D351" s="272">
        <f>D16/D72</f>
        <v>0.54085143634935229</v>
      </c>
      <c r="E351" s="272">
        <f t="shared" ref="E351:K351" si="217">E16/E72</f>
        <v>0.58984299352563374</v>
      </c>
      <c r="F351" s="272">
        <f t="shared" si="217"/>
        <v>0.5520787727884211</v>
      </c>
      <c r="G351" s="272">
        <f t="shared" si="217"/>
        <v>0.5332530514447591</v>
      </c>
      <c r="H351" s="272">
        <f t="shared" si="217"/>
        <v>0.51737941008690558</v>
      </c>
      <c r="I351" s="272">
        <f t="shared" si="217"/>
        <v>0.51486262374655223</v>
      </c>
      <c r="J351" s="272">
        <f t="shared" si="217"/>
        <v>0.517898187678136</v>
      </c>
      <c r="K351" s="272">
        <f t="shared" si="217"/>
        <v>0.52525509034010309</v>
      </c>
    </row>
    <row r="352" spans="3:11" x14ac:dyDescent="0.25">
      <c r="C352" s="17" t="s">
        <v>320</v>
      </c>
      <c r="D352" s="272">
        <f>D72/D105</f>
        <v>2.0323640105397183</v>
      </c>
      <c r="E352" s="272">
        <f t="shared" ref="E352:K352" si="218">E72/E105</f>
        <v>1.8928056063892267</v>
      </c>
      <c r="F352" s="272">
        <f t="shared" si="218"/>
        <v>1.9470180008648021</v>
      </c>
      <c r="G352" s="272">
        <f t="shared" si="218"/>
        <v>1.9824348798372124</v>
      </c>
      <c r="H352" s="272">
        <f t="shared" si="218"/>
        <v>2.0147122943589486</v>
      </c>
      <c r="I352" s="272">
        <f t="shared" si="218"/>
        <v>1.9800130950492505</v>
      </c>
      <c r="J352" s="272">
        <f t="shared" si="218"/>
        <v>1.9153213710250423</v>
      </c>
      <c r="K352" s="272">
        <f t="shared" si="218"/>
        <v>1.8356533609816459</v>
      </c>
    </row>
    <row r="353" spans="3:11" x14ac:dyDescent="0.25">
      <c r="C353" s="17" t="s">
        <v>321</v>
      </c>
      <c r="D353" s="1">
        <f>D350*D351*D352</f>
        <v>0.11519732492177334</v>
      </c>
      <c r="E353" s="1">
        <f t="shared" ref="E353:K353" si="219">E350*E351*E352</f>
        <v>0.12312547216421024</v>
      </c>
      <c r="F353" s="1">
        <f t="shared" si="219"/>
        <v>0.11967870394241095</v>
      </c>
      <c r="G353" s="1">
        <f t="shared" si="219"/>
        <v>0.1183670009190488</v>
      </c>
      <c r="H353" s="1">
        <f t="shared" si="219"/>
        <v>0.1179256291247</v>
      </c>
      <c r="I353" s="1">
        <f t="shared" si="219"/>
        <v>0.11627810282396553</v>
      </c>
      <c r="J353" s="1">
        <f t="shared" si="219"/>
        <v>0.11390530414541496</v>
      </c>
      <c r="K353" s="1">
        <f t="shared" si="219"/>
        <v>0.11138576335644053</v>
      </c>
    </row>
    <row r="354" spans="3:11" x14ac:dyDescent="0.25">
      <c r="C354" s="6" t="s">
        <v>322</v>
      </c>
      <c r="D354" s="191">
        <f>D353-D347</f>
        <v>0</v>
      </c>
      <c r="E354" s="191">
        <f t="shared" ref="E354:K354" si="220">E353-E347</f>
        <v>0</v>
      </c>
      <c r="F354" s="191">
        <f t="shared" si="220"/>
        <v>0</v>
      </c>
      <c r="G354" s="191">
        <f t="shared" si="220"/>
        <v>0</v>
      </c>
      <c r="H354" s="191">
        <f t="shared" si="220"/>
        <v>0</v>
      </c>
      <c r="I354" s="191">
        <f t="shared" si="220"/>
        <v>0</v>
      </c>
      <c r="J354" s="191">
        <f t="shared" si="220"/>
        <v>0</v>
      </c>
      <c r="K354" s="191">
        <f t="shared" si="220"/>
        <v>0</v>
      </c>
    </row>
    <row r="356" spans="3:11" x14ac:dyDescent="0.25">
      <c r="C356" s="6" t="s">
        <v>311</v>
      </c>
      <c r="D356" s="30" t="str">
        <f t="shared" ref="D356:K356" si="221">IF(AND(D334&lt;1.5, D343&gt;1), "Strong", IF(D334&lt;3, "Adequate", "Elevated"))</f>
        <v>Adequate</v>
      </c>
      <c r="E356" s="30" t="str">
        <f t="shared" si="221"/>
        <v>Adequate</v>
      </c>
      <c r="F356" s="30" t="str">
        <f t="shared" si="221"/>
        <v>Adequate</v>
      </c>
      <c r="G356" s="30" t="str">
        <f t="shared" si="221"/>
        <v>Adequate</v>
      </c>
      <c r="H356" s="30" t="str">
        <f t="shared" si="221"/>
        <v>Adequate</v>
      </c>
      <c r="I356" s="30" t="str">
        <f t="shared" si="221"/>
        <v>Adequate</v>
      </c>
      <c r="J356" s="30" t="str">
        <f t="shared" si="221"/>
        <v>Adequate</v>
      </c>
      <c r="K356" s="30" t="str">
        <f t="shared" si="221"/>
        <v>Adequate</v>
      </c>
    </row>
  </sheetData>
  <conditionalFormatting sqref="C43:C44">
    <cfRule type="expression" dxfId="2" priority="1">
      <formula>#REF!=$C43</formula>
    </cfRule>
  </conditionalFormatting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BFB8B-B60E-497E-A730-4D15A5E1DAC7}">
  <dimension ref="B1:Q132"/>
  <sheetViews>
    <sheetView showGridLines="0" zoomScaleNormal="100" workbookViewId="0">
      <selection activeCell="H7" sqref="H7"/>
    </sheetView>
  </sheetViews>
  <sheetFormatPr defaultColWidth="9.140625" defaultRowHeight="15" x14ac:dyDescent="0.25"/>
  <cols>
    <col min="1" max="1" width="1.42578125" style="54" customWidth="1"/>
    <col min="2" max="2" width="54.42578125" style="54" customWidth="1"/>
    <col min="3" max="3" width="16.7109375" style="54" customWidth="1"/>
    <col min="4" max="4" width="15.5703125" style="54" bestFit="1" customWidth="1"/>
    <col min="5" max="9" width="16.42578125" style="54" customWidth="1"/>
    <col min="10" max="10" width="1.7109375" style="54" customWidth="1"/>
    <col min="11" max="11" width="12.140625" style="54" bestFit="1" customWidth="1"/>
    <col min="12" max="16" width="9.42578125" style="54" customWidth="1"/>
    <col min="17" max="16384" width="9.140625" style="54"/>
  </cols>
  <sheetData>
    <row r="1" spans="2:10" ht="15.75" thickBot="1" x14ac:dyDescent="0.3"/>
    <row r="2" spans="2:10" ht="15.75" thickBot="1" x14ac:dyDescent="0.3">
      <c r="B2" s="55" t="s">
        <v>46</v>
      </c>
      <c r="C2" s="56"/>
      <c r="D2" s="56"/>
      <c r="E2" s="56"/>
      <c r="F2" s="56"/>
      <c r="G2" s="56"/>
      <c r="H2" s="56"/>
      <c r="I2" s="56"/>
    </row>
    <row r="3" spans="2:10" x14ac:dyDescent="0.25">
      <c r="B3" s="190" t="str">
        <f>FSM!C3</f>
        <v>All amounts are shown in Saudi riyal, except per-share data, ratios, and shares outstanding</v>
      </c>
    </row>
    <row r="4" spans="2:10" x14ac:dyDescent="0.25">
      <c r="B4" s="54" t="s">
        <v>47</v>
      </c>
      <c r="C4" s="58"/>
      <c r="D4" s="58">
        <v>46022</v>
      </c>
      <c r="F4" s="54" t="s">
        <v>48</v>
      </c>
      <c r="H4" s="59">
        <f>+WACC!E21</f>
        <v>6.6861171836884115E-2</v>
      </c>
      <c r="I4" s="54" t="s">
        <v>49</v>
      </c>
    </row>
    <row r="5" spans="2:10" x14ac:dyDescent="0.25">
      <c r="B5" s="54" t="s">
        <v>50</v>
      </c>
      <c r="C5" s="60"/>
      <c r="D5" s="60">
        <f>EOMONTH(D4,12)</f>
        <v>46387</v>
      </c>
      <c r="F5" s="54" t="s">
        <v>51</v>
      </c>
      <c r="H5" s="268">
        <v>45.76</v>
      </c>
    </row>
    <row r="6" spans="2:10" x14ac:dyDescent="0.25">
      <c r="B6" s="54" t="s">
        <v>52</v>
      </c>
      <c r="C6" s="58"/>
      <c r="D6" s="58">
        <v>46022</v>
      </c>
      <c r="F6" s="54" t="s">
        <v>53</v>
      </c>
      <c r="H6" s="61">
        <v>46184</v>
      </c>
      <c r="J6" s="62"/>
    </row>
    <row r="7" spans="2:10" x14ac:dyDescent="0.25">
      <c r="B7" s="54" t="s">
        <v>54</v>
      </c>
      <c r="C7" s="58"/>
      <c r="D7" s="58">
        <v>46184</v>
      </c>
      <c r="E7" s="62"/>
      <c r="F7" s="224" t="s">
        <v>150</v>
      </c>
      <c r="G7" s="62"/>
      <c r="H7" s="268">
        <f>C73</f>
        <v>79.436253160099554</v>
      </c>
    </row>
    <row r="8" spans="2:10" x14ac:dyDescent="0.25">
      <c r="B8" s="54" t="s">
        <v>55</v>
      </c>
      <c r="C8" s="141"/>
      <c r="D8" s="141">
        <f>YEARFRAC(D7,D5)</f>
        <v>0.55555555555555558</v>
      </c>
      <c r="F8" s="224" t="s">
        <v>151</v>
      </c>
      <c r="H8" s="217">
        <f>H7/H5-1</f>
        <v>0.73593210577140633</v>
      </c>
    </row>
    <row r="9" spans="2:10" x14ac:dyDescent="0.25">
      <c r="D9" s="64"/>
      <c r="F9" t="s">
        <v>196</v>
      </c>
      <c r="G9"/>
      <c r="H9" s="269">
        <v>1</v>
      </c>
    </row>
    <row r="10" spans="2:10" x14ac:dyDescent="0.25">
      <c r="B10" s="65" t="s">
        <v>56</v>
      </c>
      <c r="C10" s="66"/>
      <c r="D10" s="67"/>
      <c r="F10" s="66"/>
      <c r="G10" s="66"/>
      <c r="H10" s="66"/>
      <c r="I10" s="66"/>
    </row>
    <row r="11" spans="2:10" ht="17.25" customHeight="1" x14ac:dyDescent="0.4">
      <c r="C11" s="68" t="s">
        <v>57</v>
      </c>
      <c r="D11" s="68" t="s">
        <v>58</v>
      </c>
      <c r="E11" s="69" t="s">
        <v>59</v>
      </c>
      <c r="F11" s="68"/>
      <c r="G11" s="68"/>
      <c r="H11" s="68"/>
      <c r="I11" s="68"/>
    </row>
    <row r="12" spans="2:10" x14ac:dyDescent="0.25">
      <c r="B12" s="70" t="s">
        <v>60</v>
      </c>
      <c r="C12" s="71">
        <f>D7</f>
        <v>46184</v>
      </c>
      <c r="D12" s="246">
        <f>D4</f>
        <v>46022</v>
      </c>
      <c r="E12" s="246">
        <f>EOMONTH(D12,12)</f>
        <v>46387</v>
      </c>
      <c r="F12" s="246">
        <f>EOMONTH(E12,12)</f>
        <v>46752</v>
      </c>
      <c r="G12" s="246">
        <f t="shared" ref="G12:I12" si="0">EOMONTH(F12,12)</f>
        <v>47118</v>
      </c>
      <c r="H12" s="246">
        <f t="shared" si="0"/>
        <v>47483</v>
      </c>
      <c r="I12" s="246">
        <f t="shared" si="0"/>
        <v>47848</v>
      </c>
    </row>
    <row r="13" spans="2:10" x14ac:dyDescent="0.25">
      <c r="B13" s="70"/>
      <c r="D13" s="182"/>
      <c r="E13" s="189"/>
      <c r="F13" s="189"/>
      <c r="G13" s="189"/>
      <c r="H13" s="189"/>
      <c r="I13" s="188"/>
    </row>
    <row r="14" spans="2:10" x14ac:dyDescent="0.25">
      <c r="B14" s="54" t="s">
        <v>61</v>
      </c>
      <c r="C14" s="161">
        <f>E14*(1-$D$8)+D14*$D$8</f>
        <v>22638560.85866667</v>
      </c>
      <c r="D14" s="183">
        <f>FSM!F16</f>
        <v>22064876</v>
      </c>
      <c r="E14" s="183">
        <f>FSM!G16</f>
        <v>23355666.932000004</v>
      </c>
      <c r="F14" s="183">
        <f>FSM!H16</f>
        <v>24779231.451360002</v>
      </c>
      <c r="G14" s="183">
        <f>FSM!I16</f>
        <v>26047719.347231999</v>
      </c>
      <c r="H14" s="183">
        <f>FSM!J16</f>
        <v>27200567.988385953</v>
      </c>
      <c r="I14" s="183">
        <f>FSM!K16</f>
        <v>28329029.782460365</v>
      </c>
    </row>
    <row r="15" spans="2:10" x14ac:dyDescent="0.25">
      <c r="B15" s="74" t="s">
        <v>40</v>
      </c>
      <c r="C15"/>
      <c r="D15" s="184"/>
      <c r="E15" s="184">
        <f>E14/D14-1</f>
        <v>5.8499804485645068E-2</v>
      </c>
      <c r="F15" s="184">
        <f t="shared" ref="F15:I15" si="1">F14/E14-1</f>
        <v>6.0951567921597061E-2</v>
      </c>
      <c r="G15" s="184">
        <f t="shared" si="1"/>
        <v>5.1191575427266711E-2</v>
      </c>
      <c r="H15" s="184">
        <f t="shared" si="1"/>
        <v>4.425910099021646E-2</v>
      </c>
      <c r="I15" s="184">
        <f t="shared" si="1"/>
        <v>4.1486699636428259E-2</v>
      </c>
    </row>
    <row r="16" spans="2:10" x14ac:dyDescent="0.25">
      <c r="B16" s="54" t="s">
        <v>24</v>
      </c>
      <c r="C16" s="161">
        <f>E16*(1-$D$8)+D16*$D$8</f>
        <v>5704634.6610978805</v>
      </c>
      <c r="D16" s="183">
        <f>FSM!F32</f>
        <v>5564280</v>
      </c>
      <c r="E16" s="183">
        <f>FSM!G32</f>
        <v>5880077.9874702292</v>
      </c>
      <c r="F16" s="183">
        <f>FSM!H32</f>
        <v>6238477.9603078095</v>
      </c>
      <c r="G16" s="183">
        <f>FSM!I32</f>
        <v>6557835.4753642473</v>
      </c>
      <c r="H16" s="183">
        <f>FSM!J32</f>
        <v>6848079.3779456168</v>
      </c>
      <c r="I16" s="183">
        <f>FSM!K32</f>
        <v>7132183.5901848655</v>
      </c>
    </row>
    <row r="17" spans="2:13" x14ac:dyDescent="0.25">
      <c r="B17" s="74" t="s">
        <v>62</v>
      </c>
      <c r="C17"/>
      <c r="D17" s="184">
        <f>D16/D14</f>
        <v>0.2521781676905866</v>
      </c>
      <c r="E17" s="184">
        <f t="shared" ref="E17:I17" si="2">E16/E14</f>
        <v>0.25176236690607334</v>
      </c>
      <c r="F17" s="184">
        <f t="shared" si="2"/>
        <v>0.25176236690607334</v>
      </c>
      <c r="G17" s="184">
        <f t="shared" si="2"/>
        <v>0.25176236690607334</v>
      </c>
      <c r="H17" s="184">
        <f t="shared" si="2"/>
        <v>0.25176236690607329</v>
      </c>
      <c r="I17" s="184">
        <f t="shared" si="2"/>
        <v>0.25176236690607334</v>
      </c>
    </row>
    <row r="18" spans="2:13" x14ac:dyDescent="0.25">
      <c r="B18" s="54" t="s">
        <v>63</v>
      </c>
      <c r="C18" s="161">
        <f>E18*(1-$D$8)+D18*$D$8</f>
        <v>3150217.7490504375</v>
      </c>
      <c r="D18" s="183">
        <f>FSM!F23</f>
        <v>3060262</v>
      </c>
      <c r="E18" s="183">
        <f>FSM!G23</f>
        <v>3262662.4353634841</v>
      </c>
      <c r="F18" s="183">
        <f>FSM!H23</f>
        <v>3461526.8263977855</v>
      </c>
      <c r="G18" s="183">
        <f>FSM!I23</f>
        <v>3638727.8380248342</v>
      </c>
      <c r="H18" s="183">
        <f>FSM!J23</f>
        <v>3799774.6608838877</v>
      </c>
      <c r="I18" s="183">
        <f>FSM!K23</f>
        <v>3957414.7709260881</v>
      </c>
    </row>
    <row r="19" spans="2:13" x14ac:dyDescent="0.25">
      <c r="B19" s="74" t="s">
        <v>62</v>
      </c>
      <c r="D19" s="184">
        <f>D18/D14</f>
        <v>0.13869382270718403</v>
      </c>
      <c r="E19" s="184">
        <f t="shared" ref="E19:I19" si="3">E18/E14</f>
        <v>0.13969468073263427</v>
      </c>
      <c r="F19" s="184">
        <f t="shared" si="3"/>
        <v>0.13969468073263427</v>
      </c>
      <c r="G19" s="184">
        <f t="shared" si="3"/>
        <v>0.13969468073263425</v>
      </c>
      <c r="H19" s="184">
        <f t="shared" si="3"/>
        <v>0.13969468073263427</v>
      </c>
      <c r="I19" s="184">
        <f t="shared" si="3"/>
        <v>0.13969468073263425</v>
      </c>
    </row>
    <row r="20" spans="2:13" x14ac:dyDescent="0.25">
      <c r="B20" s="74"/>
      <c r="D20" s="183"/>
      <c r="E20" s="183"/>
      <c r="F20" s="183"/>
      <c r="G20" s="183"/>
      <c r="H20" s="183"/>
      <c r="I20" s="183"/>
    </row>
    <row r="21" spans="2:13" x14ac:dyDescent="0.25">
      <c r="B21" s="54" t="s">
        <v>64</v>
      </c>
      <c r="D21" s="185">
        <f>D18*D22</f>
        <v>163902.47983853257</v>
      </c>
      <c r="E21" s="185">
        <f t="shared" ref="E21:I21" si="4">E18*E22</f>
        <v>174742.70635393343</v>
      </c>
      <c r="F21" s="185">
        <f t="shared" si="4"/>
        <v>185393.54828906895</v>
      </c>
      <c r="G21" s="185">
        <f t="shared" si="4"/>
        <v>194884.1361000374</v>
      </c>
      <c r="H21" s="185">
        <f t="shared" si="4"/>
        <v>203509.53276108007</v>
      </c>
      <c r="I21" s="185">
        <f t="shared" si="4"/>
        <v>211952.47161988882</v>
      </c>
    </row>
    <row r="22" spans="2:13" ht="15" customHeight="1" x14ac:dyDescent="0.25">
      <c r="B22" s="74" t="s">
        <v>26</v>
      </c>
      <c r="D22" s="186">
        <f>FSM!F45</f>
        <v>5.3558316195976875E-2</v>
      </c>
      <c r="E22" s="186">
        <f>FSM!G45</f>
        <v>5.3558316195976875E-2</v>
      </c>
      <c r="F22" s="186">
        <f>FSM!H45</f>
        <v>5.3558316195976875E-2</v>
      </c>
      <c r="G22" s="186">
        <f>FSM!I45</f>
        <v>5.3558316195976875E-2</v>
      </c>
      <c r="H22" s="186">
        <f>FSM!J45</f>
        <v>5.3558316195976875E-2</v>
      </c>
      <c r="I22" s="186">
        <f>FSM!K45</f>
        <v>5.3558316195976875E-2</v>
      </c>
    </row>
    <row r="23" spans="2:13" x14ac:dyDescent="0.25">
      <c r="B23" s="75" t="s">
        <v>65</v>
      </c>
      <c r="C23" s="75"/>
      <c r="D23" s="187">
        <f>D18*(1-D22)</f>
        <v>2896359.5201614676</v>
      </c>
      <c r="E23" s="187">
        <f t="shared" ref="E23:I23" si="5">E18*(1-E22)</f>
        <v>3087919.7290095505</v>
      </c>
      <c r="F23" s="187">
        <f t="shared" si="5"/>
        <v>3276133.2781087165</v>
      </c>
      <c r="G23" s="187">
        <f t="shared" si="5"/>
        <v>3443843.7019247967</v>
      </c>
      <c r="H23" s="187">
        <f t="shared" si="5"/>
        <v>3596265.1281228079</v>
      </c>
      <c r="I23" s="187">
        <f t="shared" si="5"/>
        <v>3745462.2993061994</v>
      </c>
    </row>
    <row r="24" spans="2:13" x14ac:dyDescent="0.25">
      <c r="D24" s="72"/>
      <c r="E24" s="72"/>
      <c r="F24" s="72"/>
      <c r="G24" s="72"/>
      <c r="H24" s="72"/>
      <c r="I24" s="72"/>
    </row>
    <row r="25" spans="2:13" x14ac:dyDescent="0.25">
      <c r="B25" s="54" t="s">
        <v>23</v>
      </c>
      <c r="D25" s="73"/>
      <c r="E25" s="73">
        <f>FSM!G166</f>
        <v>2617415.5521067451</v>
      </c>
      <c r="F25" s="73">
        <f>FSM!H166</f>
        <v>2776951.1339100241</v>
      </c>
      <c r="G25" s="73">
        <f>FSM!I166</f>
        <v>2919107.6373394127</v>
      </c>
      <c r="H25" s="73">
        <f>FSM!J166</f>
        <v>3048304.7170617296</v>
      </c>
      <c r="I25" s="73">
        <f>FSM!K166</f>
        <v>3174768.819258777</v>
      </c>
      <c r="M25" s="77"/>
    </row>
    <row r="26" spans="2:13" x14ac:dyDescent="0.25">
      <c r="B26" s="54" t="s">
        <v>66</v>
      </c>
      <c r="D26" s="72"/>
      <c r="E26" s="72">
        <f>D32-E32</f>
        <v>-229740.02880368195</v>
      </c>
      <c r="F26" s="72">
        <f t="shared" ref="F26:I26" si="6">E32-F32</f>
        <v>-255451.68000911735</v>
      </c>
      <c r="G26" s="72">
        <f t="shared" si="6"/>
        <v>-227623.93952991627</v>
      </c>
      <c r="H26" s="72">
        <f t="shared" si="6"/>
        <v>-206873.04170197062</v>
      </c>
      <c r="I26" s="72">
        <f t="shared" si="6"/>
        <v>-202496.94144668151</v>
      </c>
      <c r="M26" s="77"/>
    </row>
    <row r="27" spans="2:13" x14ac:dyDescent="0.25">
      <c r="B27" s="54" t="s">
        <v>67</v>
      </c>
      <c r="D27" s="73"/>
      <c r="E27" s="73">
        <f>-FSM!G155</f>
        <v>-4858921.6250138385</v>
      </c>
      <c r="F27" s="73">
        <f>-FSM!H155</f>
        <v>-5155080.5164665859</v>
      </c>
      <c r="G27" s="73">
        <f>-FSM!I155</f>
        <v>-3907157.9020847995</v>
      </c>
      <c r="H27" s="73">
        <f>-FSM!J155</f>
        <v>-3264068.1586063141</v>
      </c>
      <c r="I27" s="73">
        <f>-FSM!K155</f>
        <v>-2832902.9782460369</v>
      </c>
      <c r="M27" s="77"/>
    </row>
    <row r="28" spans="2:13" x14ac:dyDescent="0.25">
      <c r="B28" s="74" t="s">
        <v>38</v>
      </c>
      <c r="D28" s="1"/>
      <c r="E28" s="1">
        <f>E27/E14</f>
        <v>-0.20804037149359009</v>
      </c>
      <c r="F28" s="1">
        <f t="shared" ref="F28:I28" si="7">F27/F14</f>
        <v>-0.20804037149359006</v>
      </c>
      <c r="G28" s="1">
        <f t="shared" si="7"/>
        <v>-0.15</v>
      </c>
      <c r="H28" s="1">
        <f t="shared" si="7"/>
        <v>-0.12</v>
      </c>
      <c r="I28" s="1">
        <f t="shared" si="7"/>
        <v>-0.10000000000000002</v>
      </c>
      <c r="M28" s="77"/>
    </row>
    <row r="29" spans="2:13" x14ac:dyDescent="0.25">
      <c r="B29" s="224"/>
      <c r="D29" s="73"/>
      <c r="E29" s="73"/>
      <c r="F29" s="73"/>
      <c r="G29" s="73"/>
      <c r="H29" s="73"/>
      <c r="I29" s="73"/>
      <c r="M29" s="77"/>
    </row>
    <row r="30" spans="2:13" x14ac:dyDescent="0.25">
      <c r="B30" s="75" t="s">
        <v>68</v>
      </c>
      <c r="C30" s="75"/>
      <c r="D30" s="76"/>
      <c r="E30" s="76">
        <f>E23+E25+E26+E27</f>
        <v>616673.62729877513</v>
      </c>
      <c r="F30" s="76">
        <f t="shared" ref="F30:I30" si="8">F23+F25+F26+F27</f>
        <v>642552.21554303728</v>
      </c>
      <c r="G30" s="76">
        <f t="shared" si="8"/>
        <v>2228169.4976494936</v>
      </c>
      <c r="H30" s="76">
        <f t="shared" si="8"/>
        <v>3173628.6448762529</v>
      </c>
      <c r="I30" s="76">
        <f t="shared" si="8"/>
        <v>3884831.198872258</v>
      </c>
      <c r="M30" s="76"/>
    </row>
    <row r="31" spans="2:13" x14ac:dyDescent="0.25">
      <c r="D31" s="73"/>
      <c r="E31" s="73"/>
      <c r="F31" s="73"/>
      <c r="G31" s="73"/>
      <c r="H31" s="73"/>
      <c r="I31" s="73"/>
      <c r="M31" s="77"/>
    </row>
    <row r="32" spans="2:13" x14ac:dyDescent="0.25">
      <c r="B32" s="54" t="s">
        <v>69</v>
      </c>
      <c r="C32" s="73"/>
      <c r="D32" s="73">
        <f>FSM!F201</f>
        <v>3961320</v>
      </c>
      <c r="E32" s="73">
        <f>FSM!G201</f>
        <v>4191060.028803682</v>
      </c>
      <c r="F32" s="73">
        <f>FSM!H201</f>
        <v>4446511.7088127993</v>
      </c>
      <c r="G32" s="73">
        <f>FSM!I201</f>
        <v>4674135.6483427156</v>
      </c>
      <c r="H32" s="73">
        <f>FSM!J201</f>
        <v>4881008.6900446862</v>
      </c>
      <c r="I32" s="73">
        <f>FSM!K201</f>
        <v>5083505.6314913677</v>
      </c>
    </row>
    <row r="33" spans="2:13" x14ac:dyDescent="0.25">
      <c r="B33" s="74" t="s">
        <v>38</v>
      </c>
      <c r="D33" s="63"/>
      <c r="E33" s="63">
        <f>E32/E14</f>
        <v>0.17944510173937436</v>
      </c>
      <c r="F33" s="63">
        <f t="shared" ref="F33:I33" si="9">F32/F14</f>
        <v>0.17944510173937431</v>
      </c>
      <c r="G33" s="63">
        <f t="shared" si="9"/>
        <v>0.17944510173937434</v>
      </c>
      <c r="H33" s="63">
        <f t="shared" si="9"/>
        <v>0.17944510173937434</v>
      </c>
      <c r="I33" s="63">
        <f t="shared" si="9"/>
        <v>0.17944510173937439</v>
      </c>
      <c r="J33" s="73"/>
    </row>
    <row r="34" spans="2:13" x14ac:dyDescent="0.25">
      <c r="D34"/>
      <c r="E34" s="63"/>
      <c r="F34" s="63"/>
      <c r="G34" s="63"/>
      <c r="H34" s="63"/>
      <c r="I34" s="63"/>
      <c r="J34" s="73"/>
      <c r="K34" s="78"/>
      <c r="M34" s="63"/>
    </row>
    <row r="35" spans="2:13" x14ac:dyDescent="0.25">
      <c r="B35" s="65" t="str">
        <f>"Present value of UFCF on "&amp;TEXT(D7,"mmm dd, yyyy")&amp;" valuation date"</f>
        <v>Present value of UFCF on Jun 11, 2026 valuation date</v>
      </c>
      <c r="C35" s="66"/>
      <c r="D35" s="79"/>
      <c r="E35" s="66"/>
      <c r="F35" s="79"/>
      <c r="G35" s="79"/>
      <c r="H35" s="79"/>
      <c r="I35" s="79"/>
      <c r="J35" s="73"/>
    </row>
    <row r="36" spans="2:13" ht="17.25" x14ac:dyDescent="0.4">
      <c r="B36" s="75"/>
      <c r="D36" s="80" t="s">
        <v>70</v>
      </c>
      <c r="E36" s="80" t="s">
        <v>71</v>
      </c>
      <c r="F36" s="81" t="s">
        <v>72</v>
      </c>
      <c r="G36" s="81" t="s">
        <v>73</v>
      </c>
      <c r="H36" s="81" t="s">
        <v>74</v>
      </c>
      <c r="I36" s="81" t="s">
        <v>75</v>
      </c>
      <c r="J36" s="73"/>
    </row>
    <row r="37" spans="2:13" x14ac:dyDescent="0.25">
      <c r="B37" s="54" t="s">
        <v>76</v>
      </c>
      <c r="D37" s="82">
        <f>D7</f>
        <v>46184</v>
      </c>
      <c r="E37" s="162">
        <f>IF($H$9=1,AVERAGE(E12,D37),E12)</f>
        <v>46285.5</v>
      </c>
      <c r="F37" s="162">
        <f>IF($H$9=1,AVERAGE(F12,E12),F12)</f>
        <v>46569.5</v>
      </c>
      <c r="G37" s="162">
        <f>IF($H$9=1,AVERAGE(G12,F12),G12)</f>
        <v>46935</v>
      </c>
      <c r="H37" s="162">
        <f>IF($H$9=1,AVERAGE(H12,G12),H12)</f>
        <v>47300.5</v>
      </c>
      <c r="I37" s="162">
        <f>IF($H$9=1,AVERAGE(I12,H12),I12)</f>
        <v>47665.5</v>
      </c>
      <c r="J37" s="73"/>
    </row>
    <row r="38" spans="2:13" x14ac:dyDescent="0.25">
      <c r="B38" s="54" t="s">
        <v>77</v>
      </c>
      <c r="C38" s="83">
        <f>D8</f>
        <v>0.55555555555555558</v>
      </c>
      <c r="D38" s="77"/>
      <c r="E38" s="84">
        <f>E30*C38</f>
        <v>342596.45961043064</v>
      </c>
      <c r="F38" s="84">
        <f>F30</f>
        <v>642552.21554303728</v>
      </c>
      <c r="G38" s="84">
        <f t="shared" ref="G38:I38" si="10">G30</f>
        <v>2228169.4976494936</v>
      </c>
      <c r="H38" s="84">
        <f t="shared" si="10"/>
        <v>3173628.6448762529</v>
      </c>
      <c r="I38" s="84">
        <f t="shared" si="10"/>
        <v>3884831.198872258</v>
      </c>
      <c r="J38" s="72"/>
    </row>
    <row r="39" spans="2:13" ht="15" customHeight="1" x14ac:dyDescent="0.25">
      <c r="B39" s="75" t="s">
        <v>78</v>
      </c>
      <c r="C39" s="85"/>
      <c r="D39" s="76"/>
      <c r="E39" s="76">
        <f>E38/(1+$H$4)^((E37-$D$37)/365)</f>
        <v>336485.66075445974</v>
      </c>
      <c r="F39" s="76">
        <f t="shared" ref="F39:I39" si="11">F38/(1+$H$4)^((F37-$D$37)/365)</f>
        <v>600097.5485183032</v>
      </c>
      <c r="G39" s="76">
        <f t="shared" si="11"/>
        <v>1950362.0530493844</v>
      </c>
      <c r="H39" s="76">
        <f t="shared" si="11"/>
        <v>2603614.6580268582</v>
      </c>
      <c r="I39" s="76">
        <f t="shared" si="11"/>
        <v>2987341.3067071158</v>
      </c>
      <c r="J39" s="72"/>
    </row>
    <row r="41" spans="2:13" x14ac:dyDescent="0.25">
      <c r="B41" s="65" t="s">
        <v>79</v>
      </c>
      <c r="C41" s="65"/>
      <c r="E41" s="65" t="s">
        <v>80</v>
      </c>
      <c r="F41" s="66"/>
      <c r="G41" s="66"/>
      <c r="H41" s="66"/>
      <c r="I41" s="66"/>
    </row>
    <row r="42" spans="2:13" x14ac:dyDescent="0.25">
      <c r="B42" s="54" t="s">
        <v>81</v>
      </c>
      <c r="C42" s="86">
        <v>0.03</v>
      </c>
      <c r="E42" s="54" t="s">
        <v>82</v>
      </c>
      <c r="I42" s="77">
        <f>I16</f>
        <v>7132183.5901848655</v>
      </c>
      <c r="J42" s="77"/>
    </row>
    <row r="43" spans="2:13" x14ac:dyDescent="0.25">
      <c r="B43" s="87" t="str">
        <f>YEAR(I12)&amp;" FCF x (1+g)"</f>
        <v>2030 FCF x (1+g)</v>
      </c>
      <c r="C43" s="77">
        <f>I38*(1+C42)</f>
        <v>4001376.134838426</v>
      </c>
      <c r="E43" s="54" t="s">
        <v>83</v>
      </c>
      <c r="I43" s="88">
        <v>10.3</v>
      </c>
      <c r="J43" s="88"/>
    </row>
    <row r="44" spans="2:13" x14ac:dyDescent="0.25">
      <c r="B44" s="54" t="str">
        <f>"Terminal value in "&amp;YEAR(I12)</f>
        <v>Terminal value in 2030</v>
      </c>
      <c r="C44" s="77">
        <f>C43/(H4-C42)</f>
        <v>108552602.52020961</v>
      </c>
      <c r="E44" s="54" t="str">
        <f>"Terminal value in "&amp;YEAR(I12)</f>
        <v>Terminal value in 2030</v>
      </c>
      <c r="I44" s="77">
        <f>I42*I43</f>
        <v>73461490.978904113</v>
      </c>
      <c r="J44" s="77"/>
    </row>
    <row r="45" spans="2:13" x14ac:dyDescent="0.25">
      <c r="B45" s="54" t="s">
        <v>84</v>
      </c>
      <c r="C45" s="77">
        <f>C44/(1+H4)^((I37-$D$37)/365)</f>
        <v>83474327.933043435</v>
      </c>
      <c r="E45" s="54" t="s">
        <v>84</v>
      </c>
      <c r="I45" s="77">
        <f>I44/(1+H4)^((I37-D37)/365)</f>
        <v>56490111.209279492</v>
      </c>
      <c r="J45" s="77"/>
    </row>
    <row r="46" spans="2:13" x14ac:dyDescent="0.25">
      <c r="B46" s="54" t="s">
        <v>85</v>
      </c>
      <c r="C46" s="72">
        <f>SUM(E39:I39)</f>
        <v>8477901.2270561215</v>
      </c>
      <c r="E46" s="54" t="s">
        <v>85</v>
      </c>
      <c r="I46" s="77">
        <f>C46</f>
        <v>8477901.2270561215</v>
      </c>
      <c r="J46" s="77"/>
    </row>
    <row r="47" spans="2:13" x14ac:dyDescent="0.25">
      <c r="B47" s="75" t="s">
        <v>86</v>
      </c>
      <c r="C47" s="89">
        <f>C45+C46</f>
        <v>91952229.160099551</v>
      </c>
      <c r="E47" s="75" t="s">
        <v>87</v>
      </c>
      <c r="I47" s="89">
        <f>I45+I46</f>
        <v>64968012.436335616</v>
      </c>
      <c r="J47" s="89"/>
    </row>
    <row r="49" spans="2:10" x14ac:dyDescent="0.25">
      <c r="B49" s="90" t="s">
        <v>88</v>
      </c>
      <c r="C49" s="91">
        <f>C45/C47</f>
        <v>0.90780102554887387</v>
      </c>
      <c r="E49" s="90" t="s">
        <v>88</v>
      </c>
      <c r="I49" s="91">
        <f>I45/I47</f>
        <v>0.86950653238216402</v>
      </c>
      <c r="J49" s="91"/>
    </row>
    <row r="50" spans="2:10" x14ac:dyDescent="0.25">
      <c r="B50" s="90" t="s">
        <v>89</v>
      </c>
      <c r="C50" s="91">
        <f>1-C49</f>
        <v>9.2198974451126126E-2</v>
      </c>
      <c r="E50" s="90" t="s">
        <v>90</v>
      </c>
      <c r="G50" s="92"/>
      <c r="I50" s="93">
        <f>1-I49</f>
        <v>0.13049346761783598</v>
      </c>
      <c r="J50" s="93"/>
    </row>
    <row r="51" spans="2:10" x14ac:dyDescent="0.25">
      <c r="B51" s="90" t="s">
        <v>91</v>
      </c>
      <c r="C51" s="94">
        <f>C44/I16</f>
        <v>15.220107719828892</v>
      </c>
      <c r="E51" s="54" t="s">
        <v>92</v>
      </c>
      <c r="I51" s="229">
        <f>(H4-I38/I44)/(1+I38/I44)</f>
        <v>1.3276522321277413E-2</v>
      </c>
      <c r="J51" s="95"/>
    </row>
    <row r="52" spans="2:10" x14ac:dyDescent="0.25">
      <c r="B52" s="90"/>
      <c r="C52" s="70"/>
      <c r="D52" s="94"/>
      <c r="I52" s="95"/>
      <c r="J52" s="95"/>
    </row>
    <row r="53" spans="2:10" x14ac:dyDescent="0.25">
      <c r="B53" s="65" t="s">
        <v>93</v>
      </c>
      <c r="C53" s="66"/>
      <c r="E53" s="65" t="s">
        <v>30</v>
      </c>
      <c r="F53" s="66"/>
      <c r="G53" s="65"/>
      <c r="H53" s="66"/>
      <c r="I53" s="66"/>
    </row>
    <row r="54" spans="2:10" x14ac:dyDescent="0.25">
      <c r="B54" s="54" t="s">
        <v>94</v>
      </c>
      <c r="C54" s="197" t="s">
        <v>187</v>
      </c>
    </row>
    <row r="55" spans="2:10" x14ac:dyDescent="0.25">
      <c r="B55" s="96" t="s">
        <v>95</v>
      </c>
      <c r="C55" s="61" t="s">
        <v>188</v>
      </c>
      <c r="G55" s="97" t="s">
        <v>94</v>
      </c>
      <c r="H55" s="98" t="s">
        <v>96</v>
      </c>
      <c r="I55" s="98" t="s">
        <v>97</v>
      </c>
    </row>
    <row r="56" spans="2:10" x14ac:dyDescent="0.25">
      <c r="B56" s="99" t="s">
        <v>98</v>
      </c>
      <c r="C56" s="100"/>
      <c r="E56" s="54" t="s">
        <v>99</v>
      </c>
      <c r="G56" s="198" t="s">
        <v>187</v>
      </c>
      <c r="H56" s="61" t="s">
        <v>188</v>
      </c>
      <c r="I56" s="195">
        <v>989306</v>
      </c>
      <c r="J56" s="101"/>
    </row>
    <row r="57" spans="2:10" x14ac:dyDescent="0.25">
      <c r="B57" s="74" t="s">
        <v>100</v>
      </c>
      <c r="C57" s="103">
        <f>FSM!F217+FSM!F79+FSM!F89</f>
        <v>13039259</v>
      </c>
      <c r="E57" s="96" t="s">
        <v>101</v>
      </c>
      <c r="G57" s="198"/>
      <c r="H57" s="61"/>
      <c r="I57" s="195">
        <v>10694</v>
      </c>
      <c r="J57" s="102"/>
    </row>
    <row r="58" spans="2:10" x14ac:dyDescent="0.25">
      <c r="B58" s="74" t="s">
        <v>102</v>
      </c>
      <c r="C58" s="103"/>
      <c r="E58" s="96" t="s">
        <v>103</v>
      </c>
      <c r="G58" s="61"/>
      <c r="H58" s="61"/>
      <c r="I58" s="104"/>
    </row>
    <row r="59" spans="2:10" ht="15" customHeight="1" x14ac:dyDescent="0.25">
      <c r="B59" s="74" t="s">
        <v>104</v>
      </c>
      <c r="C59" s="103"/>
      <c r="E59" s="54" t="s">
        <v>102</v>
      </c>
      <c r="G59" s="61"/>
      <c r="H59" s="61"/>
      <c r="I59" s="104"/>
    </row>
    <row r="60" spans="2:10" x14ac:dyDescent="0.25">
      <c r="B60" s="105" t="s">
        <v>105</v>
      </c>
      <c r="C60" s="103">
        <f>FSM!F104</f>
        <v>-244</v>
      </c>
      <c r="E60" s="54" t="s">
        <v>106</v>
      </c>
      <c r="G60" s="61"/>
      <c r="H60" s="61"/>
      <c r="I60" s="104"/>
    </row>
    <row r="61" spans="2:10" ht="15" customHeight="1" x14ac:dyDescent="0.25">
      <c r="B61" s="99" t="s">
        <v>107</v>
      </c>
      <c r="C61" s="103"/>
      <c r="E61" s="106" t="s">
        <v>108</v>
      </c>
      <c r="I61" s="196">
        <f>SUM(I56:I60)</f>
        <v>1000000</v>
      </c>
      <c r="J61" s="107"/>
    </row>
    <row r="62" spans="2:10" x14ac:dyDescent="0.25">
      <c r="B62" s="108" t="s">
        <v>109</v>
      </c>
      <c r="C62" s="103">
        <f>FSM!F58</f>
        <v>523039</v>
      </c>
      <c r="J62" s="109"/>
    </row>
    <row r="63" spans="2:10" x14ac:dyDescent="0.25">
      <c r="B63" s="108" t="s">
        <v>110</v>
      </c>
      <c r="C63" s="103">
        <f>FSM!F67</f>
        <v>0</v>
      </c>
      <c r="J63" s="109"/>
    </row>
    <row r="64" spans="2:10" x14ac:dyDescent="0.25">
      <c r="B64" s="108" t="s">
        <v>178</v>
      </c>
      <c r="C64" s="103"/>
      <c r="J64" s="110"/>
    </row>
    <row r="65" spans="2:6" x14ac:dyDescent="0.25">
      <c r="B65" s="111" t="s">
        <v>93</v>
      </c>
      <c r="C65" s="14">
        <f>SUM(C57:C60)-SUM(C62:C64)</f>
        <v>12515976</v>
      </c>
    </row>
    <row r="67" spans="2:6" x14ac:dyDescent="0.25">
      <c r="B67" s="65" t="s">
        <v>111</v>
      </c>
      <c r="C67" s="66"/>
      <c r="D67" s="66"/>
    </row>
    <row r="68" spans="2:6" ht="17.25" x14ac:dyDescent="0.4">
      <c r="C68" s="112" t="s">
        <v>112</v>
      </c>
      <c r="D68" s="112" t="s">
        <v>24</v>
      </c>
    </row>
    <row r="69" spans="2:6" x14ac:dyDescent="0.25">
      <c r="B69" s="54" t="s">
        <v>113</v>
      </c>
      <c r="C69" s="113">
        <f>C47</f>
        <v>91952229.160099551</v>
      </c>
      <c r="D69" s="113">
        <f>I47</f>
        <v>64968012.436335616</v>
      </c>
    </row>
    <row r="70" spans="2:6" x14ac:dyDescent="0.25">
      <c r="B70" s="54" t="s">
        <v>93</v>
      </c>
      <c r="C70" s="114">
        <f>$C$65</f>
        <v>12515976</v>
      </c>
      <c r="D70" s="114">
        <f t="shared" ref="D70" si="12">$C$65</f>
        <v>12515976</v>
      </c>
    </row>
    <row r="71" spans="2:6" x14ac:dyDescent="0.25">
      <c r="B71" s="54" t="s">
        <v>114</v>
      </c>
      <c r="C71" s="115">
        <f>C69-C70</f>
        <v>79436253.160099551</v>
      </c>
      <c r="D71" s="115">
        <f t="shared" ref="D71" si="13">D69-D70</f>
        <v>52452036.436335616</v>
      </c>
    </row>
    <row r="72" spans="2:6" x14ac:dyDescent="0.25">
      <c r="B72" s="54" t="s">
        <v>30</v>
      </c>
      <c r="C72" s="225">
        <f>$I$61</f>
        <v>1000000</v>
      </c>
      <c r="D72" s="225">
        <f t="shared" ref="D72" si="14">$I$61</f>
        <v>1000000</v>
      </c>
    </row>
    <row r="73" spans="2:6" x14ac:dyDescent="0.25">
      <c r="B73" s="75" t="s">
        <v>115</v>
      </c>
      <c r="C73" s="270">
        <f>C71/C72</f>
        <v>79.436253160099554</v>
      </c>
      <c r="D73" s="270">
        <f t="shared" ref="D73" si="15">D71/D72</f>
        <v>52.452036436335618</v>
      </c>
    </row>
    <row r="75" spans="2:6" ht="17.25" x14ac:dyDescent="0.4">
      <c r="C75" s="68" t="s">
        <v>116</v>
      </c>
      <c r="D75" s="68"/>
    </row>
    <row r="76" spans="2:6" x14ac:dyDescent="0.25">
      <c r="B76" s="97"/>
      <c r="C76" s="98" t="s">
        <v>112</v>
      </c>
      <c r="D76" s="98" t="s">
        <v>24</v>
      </c>
    </row>
    <row r="77" spans="2:6" x14ac:dyDescent="0.25">
      <c r="B77" s="54" t="s">
        <v>117</v>
      </c>
      <c r="C77" s="252">
        <f>C69/$C$14</f>
        <v>4.0617524114788282</v>
      </c>
      <c r="D77" s="252">
        <f>D69/$C$14</f>
        <v>2.8697942789708764</v>
      </c>
    </row>
    <row r="78" spans="2:6" x14ac:dyDescent="0.25">
      <c r="B78" s="54" t="s">
        <v>118</v>
      </c>
      <c r="C78" s="253">
        <f>C69/$C$16</f>
        <v>16.118863805101757</v>
      </c>
      <c r="D78" s="253">
        <f t="shared" ref="D78" si="16">D69/$C$16</f>
        <v>11.388636835830649</v>
      </c>
    </row>
    <row r="79" spans="2:6" x14ac:dyDescent="0.25">
      <c r="B79" s="72" t="s">
        <v>119</v>
      </c>
      <c r="C79" s="253">
        <f>C69/$C$18</f>
        <v>29.189166110125718</v>
      </c>
      <c r="D79" s="253">
        <f t="shared" ref="D79" si="17">D69/$C$18</f>
        <v>20.623340229709125</v>
      </c>
    </row>
    <row r="80" spans="2:6" ht="17.25" x14ac:dyDescent="0.4">
      <c r="B80" s="72"/>
      <c r="C80" s="68" t="s">
        <v>120</v>
      </c>
      <c r="D80" s="68"/>
      <c r="E80" s="116"/>
      <c r="F80" s="116"/>
    </row>
    <row r="81" spans="2:17" x14ac:dyDescent="0.25">
      <c r="B81" s="97"/>
      <c r="C81" s="98" t="s">
        <v>112</v>
      </c>
      <c r="D81" s="98" t="s">
        <v>24</v>
      </c>
      <c r="E81" s="116"/>
      <c r="F81" s="116"/>
    </row>
    <row r="82" spans="2:17" x14ac:dyDescent="0.25">
      <c r="B82" s="54" t="s">
        <v>117</v>
      </c>
      <c r="C82" s="252">
        <f>C69/$D$14</f>
        <v>4.1673576212302104</v>
      </c>
      <c r="D82" s="252">
        <f>D69/$D$14</f>
        <v>2.944408680852574</v>
      </c>
      <c r="E82" s="116"/>
      <c r="F82" s="116"/>
    </row>
    <row r="83" spans="2:17" x14ac:dyDescent="0.25">
      <c r="B83" s="54" t="s">
        <v>118</v>
      </c>
      <c r="C83" s="253">
        <f>C69/$D$16</f>
        <v>16.525449682636307</v>
      </c>
      <c r="D83" s="253">
        <f t="shared" ref="D83" si="18">D69/$D$16</f>
        <v>11.675906395137487</v>
      </c>
      <c r="E83" s="116"/>
      <c r="F83" s="116"/>
    </row>
    <row r="84" spans="2:17" x14ac:dyDescent="0.25">
      <c r="B84" s="72" t="s">
        <v>119</v>
      </c>
      <c r="C84" s="253">
        <f>C69/$D$18</f>
        <v>30.047175424881775</v>
      </c>
      <c r="D84" s="253">
        <f t="shared" ref="D84" si="19">D69/$D$18</f>
        <v>21.229558918921196</v>
      </c>
      <c r="E84" s="116"/>
      <c r="F84" s="116"/>
    </row>
    <row r="86" spans="2:17" x14ac:dyDescent="0.25">
      <c r="B86" s="65" t="s">
        <v>121</v>
      </c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</row>
    <row r="87" spans="2:17" x14ac:dyDescent="0.25">
      <c r="B87" s="75"/>
    </row>
    <row r="88" spans="2:17" ht="17.25" customHeight="1" x14ac:dyDescent="0.4">
      <c r="B88" s="117"/>
      <c r="C88" s="75"/>
      <c r="D88" s="118" t="s">
        <v>115</v>
      </c>
      <c r="E88" s="68"/>
      <c r="F88" s="68"/>
      <c r="G88" s="68"/>
      <c r="H88" s="68"/>
      <c r="I88" s="68"/>
      <c r="J88" s="119"/>
      <c r="L88" s="118" t="s">
        <v>122</v>
      </c>
      <c r="M88" s="68"/>
      <c r="N88" s="68"/>
      <c r="O88" s="68"/>
      <c r="P88" s="68"/>
      <c r="Q88" s="68"/>
    </row>
    <row r="89" spans="2:17" ht="15" customHeight="1" x14ac:dyDescent="0.25">
      <c r="B89" s="117"/>
      <c r="D89" s="96"/>
      <c r="E89" s="120" t="s">
        <v>123</v>
      </c>
      <c r="F89" s="120"/>
      <c r="G89" s="120"/>
      <c r="H89" s="120"/>
      <c r="I89" s="120"/>
      <c r="J89" s="121"/>
      <c r="L89" s="120" t="s">
        <v>123</v>
      </c>
      <c r="M89" s="120"/>
      <c r="N89" s="120"/>
      <c r="O89" s="120"/>
      <c r="P89" s="120"/>
      <c r="Q89" s="120"/>
    </row>
    <row r="90" spans="2:17" ht="15" customHeight="1" x14ac:dyDescent="0.25">
      <c r="B90" s="117"/>
      <c r="C90" s="122"/>
      <c r="D90" s="166">
        <f>C73</f>
        <v>79.436253160099554</v>
      </c>
      <c r="E90" s="201">
        <f>F90-0.005</f>
        <v>1.9999999999999997E-2</v>
      </c>
      <c r="F90" s="202">
        <f>G90-0.005</f>
        <v>2.4999999999999998E-2</v>
      </c>
      <c r="G90" s="123">
        <f>$C$42</f>
        <v>0.03</v>
      </c>
      <c r="H90" s="202">
        <f>G90+0.005</f>
        <v>3.4999999999999996E-2</v>
      </c>
      <c r="I90" s="230">
        <f>H90+0.005</f>
        <v>3.9999999999999994E-2</v>
      </c>
      <c r="K90" s="127"/>
      <c r="L90" s="124">
        <f>C78</f>
        <v>16.118863805101757</v>
      </c>
      <c r="M90" s="201">
        <f>N90-0.005</f>
        <v>1.9999999999999997E-2</v>
      </c>
      <c r="N90" s="202">
        <f>O90-0.005</f>
        <v>2.4999999999999998E-2</v>
      </c>
      <c r="O90" s="123">
        <f>$C$42</f>
        <v>0.03</v>
      </c>
      <c r="P90" s="202">
        <f>O90+0.005</f>
        <v>3.4999999999999996E-2</v>
      </c>
      <c r="Q90" s="230">
        <f>P90+0.005</f>
        <v>3.9999999999999994E-2</v>
      </c>
    </row>
    <row r="91" spans="2:17" ht="15" customHeight="1" x14ac:dyDescent="0.25">
      <c r="B91" s="117"/>
      <c r="D91" s="199">
        <f>D92+0.01</f>
        <v>8.6861171836884105E-2</v>
      </c>
      <c r="E91" s="125">
        <f t="dataTable" ref="E91:I95" dt2D="1" dtr="1" r1="C42" r2="H4" ca="1"/>
        <v>37.77875061951611</v>
      </c>
      <c r="F91" s="125">
        <v>34.645314428671718</v>
      </c>
      <c r="G91" s="125">
        <v>34.645314428671718</v>
      </c>
      <c r="H91" s="125">
        <v>37.77875061951611</v>
      </c>
      <c r="I91" s="125">
        <v>45.698826456015773</v>
      </c>
      <c r="J91" s="126"/>
      <c r="L91" s="199">
        <f>L92+0.01</f>
        <v>8.6861171836884105E-2</v>
      </c>
      <c r="M91" s="127">
        <f t="dataTable" ref="M91:Q95" dt2D="1" dtr="1" r1="C42" r2="H4" ca="1"/>
        <v>8.8164675930073813</v>
      </c>
      <c r="N91" s="127">
        <v>8.2671885634119349</v>
      </c>
      <c r="O91" s="127">
        <v>8.2671885634119349</v>
      </c>
      <c r="P91" s="127">
        <v>8.8164675930073813</v>
      </c>
      <c r="Q91" s="127">
        <v>10.204825710050308</v>
      </c>
    </row>
    <row r="92" spans="2:17" ht="15" customHeight="1" x14ac:dyDescent="0.25">
      <c r="B92" s="117"/>
      <c r="D92" s="199">
        <f>D93+0.01</f>
        <v>7.686117183688411E-2</v>
      </c>
      <c r="E92" s="125">
        <v>47.330688527869789</v>
      </c>
      <c r="F92" s="125">
        <v>42.927830157727705</v>
      </c>
      <c r="G92" s="125">
        <v>42.927830157727705</v>
      </c>
      <c r="H92" s="125">
        <v>47.330688527869789</v>
      </c>
      <c r="I92" s="125">
        <v>58.955066132291812</v>
      </c>
      <c r="J92" s="126"/>
      <c r="L92" s="199">
        <f>L93+0.01</f>
        <v>7.686117183688411E-2</v>
      </c>
      <c r="M92" s="127">
        <v>10.490884707479594</v>
      </c>
      <c r="N92" s="127">
        <v>9.7190809668883009</v>
      </c>
      <c r="O92" s="127">
        <v>9.7190809668883009</v>
      </c>
      <c r="P92" s="127">
        <v>10.490884707479594</v>
      </c>
      <c r="Q92" s="127">
        <v>12.528592342587793</v>
      </c>
    </row>
    <row r="93" spans="2:17" ht="15" customHeight="1" x14ac:dyDescent="0.25">
      <c r="B93" s="117"/>
      <c r="C93" s="122" t="s">
        <v>124</v>
      </c>
      <c r="D93" s="128">
        <f>WACC!$E$21</f>
        <v>6.6861171836884115E-2</v>
      </c>
      <c r="E93" s="125">
        <v>60.985654113897908</v>
      </c>
      <c r="F93" s="125">
        <v>54.428622351536255</v>
      </c>
      <c r="G93" s="125">
        <v>54.428622351536255</v>
      </c>
      <c r="H93" s="125">
        <v>60.985654113897908</v>
      </c>
      <c r="I93" s="125">
        <v>79.436253160099554</v>
      </c>
      <c r="J93" s="126"/>
      <c r="K93" s="122" t="s">
        <v>124</v>
      </c>
      <c r="L93" s="128">
        <f>WACC!$E$21</f>
        <v>6.6861171836884115E-2</v>
      </c>
      <c r="M93" s="127">
        <v>12.884546422426325</v>
      </c>
      <c r="N93" s="127">
        <v>11.73512456600551</v>
      </c>
      <c r="O93" s="127">
        <v>11.73512456600551</v>
      </c>
      <c r="P93" s="127">
        <v>12.884546422426325</v>
      </c>
      <c r="Q93" s="127">
        <v>16.118863805101757</v>
      </c>
    </row>
    <row r="94" spans="2:17" ht="15" customHeight="1" x14ac:dyDescent="0.25">
      <c r="B94" s="117"/>
      <c r="D94" s="199">
        <f t="shared" ref="D94:D95" si="20">D93-0.01</f>
        <v>5.6861171836884113E-2</v>
      </c>
      <c r="E94" s="125">
        <v>82.084330694317146</v>
      </c>
      <c r="F94" s="125">
        <v>71.455314841458701</v>
      </c>
      <c r="G94" s="125">
        <v>71.455314841458701</v>
      </c>
      <c r="H94" s="125">
        <v>82.084330694317146</v>
      </c>
      <c r="I94" s="125">
        <v>115.21341841807039</v>
      </c>
      <c r="J94" s="126"/>
      <c r="L94" s="199">
        <f t="shared" ref="L94:L95" si="21">L93-0.01</f>
        <v>5.6861171836884113E-2</v>
      </c>
      <c r="M94" s="127">
        <v>16.58306137278753</v>
      </c>
      <c r="N94" s="127">
        <v>14.719836734522467</v>
      </c>
      <c r="O94" s="127">
        <v>14.719836734522467</v>
      </c>
      <c r="P94" s="127">
        <v>16.58306137278753</v>
      </c>
      <c r="Q94" s="127">
        <v>22.390460039291693</v>
      </c>
    </row>
    <row r="95" spans="2:17" ht="15" customHeight="1" x14ac:dyDescent="0.25">
      <c r="B95" s="129" t="s">
        <v>125</v>
      </c>
      <c r="D95" s="200">
        <f t="shared" si="20"/>
        <v>4.6861171836884111E-2</v>
      </c>
      <c r="E95" s="125">
        <v>118.94223985276778</v>
      </c>
      <c r="F95" s="125">
        <v>99.21271475340113</v>
      </c>
      <c r="G95" s="125">
        <v>99.21271475340113</v>
      </c>
      <c r="H95" s="125">
        <v>118.94223985276778</v>
      </c>
      <c r="I95" s="125">
        <v>193.50476676752859</v>
      </c>
      <c r="J95" s="126"/>
      <c r="L95" s="200">
        <f t="shared" si="21"/>
        <v>4.6861171836884111E-2</v>
      </c>
      <c r="M95" s="127">
        <v>23.044107758421834</v>
      </c>
      <c r="N95" s="127">
        <v>19.585599673073276</v>
      </c>
      <c r="O95" s="127">
        <v>19.585599673073276</v>
      </c>
      <c r="P95" s="127">
        <v>23.044107758421834</v>
      </c>
      <c r="Q95" s="127">
        <v>36.114625213857089</v>
      </c>
    </row>
    <row r="96" spans="2:17" ht="15" customHeight="1" x14ac:dyDescent="0.25">
      <c r="B96" s="129" t="s">
        <v>126</v>
      </c>
      <c r="E96" s="130"/>
      <c r="F96" s="130"/>
      <c r="G96" s="130"/>
      <c r="H96" s="130"/>
      <c r="I96" s="130"/>
      <c r="J96" s="130"/>
    </row>
    <row r="97" spans="2:17" ht="17.25" customHeight="1" x14ac:dyDescent="0.4">
      <c r="B97" s="117"/>
      <c r="D97" s="118" t="s">
        <v>115</v>
      </c>
      <c r="E97" s="68"/>
      <c r="F97" s="68"/>
      <c r="G97" s="68"/>
      <c r="H97" s="68"/>
      <c r="I97" s="68"/>
      <c r="J97" s="119"/>
      <c r="L97" s="118" t="s">
        <v>122</v>
      </c>
      <c r="M97" s="68"/>
      <c r="N97" s="68"/>
      <c r="O97" s="68"/>
      <c r="P97" s="68"/>
      <c r="Q97" s="68"/>
    </row>
    <row r="98" spans="2:17" ht="15" customHeight="1" x14ac:dyDescent="0.25">
      <c r="B98" s="117"/>
      <c r="E98" s="120" t="s">
        <v>127</v>
      </c>
      <c r="F98" s="120"/>
      <c r="G98" s="120"/>
      <c r="H98" s="120"/>
      <c r="I98" s="120"/>
      <c r="J98" s="121"/>
      <c r="M98" s="120" t="s">
        <v>127</v>
      </c>
      <c r="N98" s="120"/>
      <c r="O98" s="120"/>
      <c r="P98" s="120"/>
      <c r="Q98" s="120"/>
    </row>
    <row r="99" spans="2:17" ht="15" customHeight="1" x14ac:dyDescent="0.25">
      <c r="B99" s="117"/>
      <c r="D99" s="167">
        <f>D73</f>
        <v>52.452036436335618</v>
      </c>
      <c r="E99" s="168">
        <f>+F99-0.5</f>
        <v>9.3000000000000007</v>
      </c>
      <c r="F99" s="168">
        <f>+G99-0.5</f>
        <v>9.8000000000000007</v>
      </c>
      <c r="G99" s="131">
        <f>$I$43</f>
        <v>10.3</v>
      </c>
      <c r="H99" s="168">
        <f>+G99+0.5</f>
        <v>10.8</v>
      </c>
      <c r="I99" s="232">
        <f>+H99+0.5</f>
        <v>11.3</v>
      </c>
      <c r="J99" s="231"/>
      <c r="L99" s="124">
        <f>D78</f>
        <v>11.388636835830649</v>
      </c>
      <c r="M99" s="168">
        <f>+N99-0.5</f>
        <v>9.3000000000000007</v>
      </c>
      <c r="N99" s="168">
        <f>+O99-0.5</f>
        <v>9.8000000000000007</v>
      </c>
      <c r="O99" s="131">
        <f>$I$43</f>
        <v>10.3</v>
      </c>
      <c r="P99" s="168">
        <f>+O99+0.5</f>
        <v>10.8</v>
      </c>
      <c r="Q99" s="232">
        <f>+P99+0.5</f>
        <v>11.3</v>
      </c>
    </row>
    <row r="100" spans="2:17" ht="15" customHeight="1" x14ac:dyDescent="0.25">
      <c r="B100" s="117"/>
      <c r="D100" s="199">
        <f>D101+0.01</f>
        <v>8.6861171836884105E-2</v>
      </c>
      <c r="E100" s="125">
        <f t="dataTable" ref="E100:I104" dt2D="1" dtr="1" r1="I43" r2="H4" ca="1"/>
        <v>42.816563769074079</v>
      </c>
      <c r="F100" s="125">
        <v>40.273452155180657</v>
      </c>
      <c r="G100" s="125">
        <v>40.273452155180657</v>
      </c>
      <c r="H100" s="125">
        <v>42.816563769074079</v>
      </c>
      <c r="I100" s="125">
        <v>47.902786996860947</v>
      </c>
      <c r="J100" s="126"/>
      <c r="L100" s="199">
        <f>L101+0.01</f>
        <v>8.6861171836884105E-2</v>
      </c>
      <c r="M100" s="127">
        <f t="dataTable" ref="M100:Q104" dt2D="1" dtr="1" r1="I43" r2="H4" ca="1"/>
        <v>9.6995764069534829</v>
      </c>
      <c r="N100" s="127">
        <v>9.253778951905943</v>
      </c>
      <c r="O100" s="127">
        <v>9.253778951905943</v>
      </c>
      <c r="P100" s="127">
        <v>9.6995764069534829</v>
      </c>
      <c r="Q100" s="127">
        <v>10.591171317048566</v>
      </c>
    </row>
    <row r="101" spans="2:17" ht="15" customHeight="1" x14ac:dyDescent="0.25">
      <c r="B101" s="117"/>
      <c r="D101" s="199">
        <f>D102+0.01</f>
        <v>7.686117183688411E-2</v>
      </c>
      <c r="E101" s="125">
        <v>44.844086399562883</v>
      </c>
      <c r="F101" s="125">
        <v>42.203749733581049</v>
      </c>
      <c r="G101" s="125">
        <v>42.203749733581049</v>
      </c>
      <c r="H101" s="125">
        <v>44.844086399562883</v>
      </c>
      <c r="I101" s="125">
        <v>50.124759731526531</v>
      </c>
      <c r="J101" s="126"/>
      <c r="L101" s="199">
        <f>L102+0.01</f>
        <v>7.686117183688411E-2</v>
      </c>
      <c r="M101" s="127">
        <v>10.054993142807799</v>
      </c>
      <c r="N101" s="127">
        <v>9.5921525188521031</v>
      </c>
      <c r="O101" s="127">
        <v>9.5921525188521031</v>
      </c>
      <c r="P101" s="127">
        <v>10.054993142807799</v>
      </c>
      <c r="Q101" s="127">
        <v>10.980674390719189</v>
      </c>
    </row>
    <row r="102" spans="2:17" ht="15" customHeight="1" x14ac:dyDescent="0.25">
      <c r="B102" s="117"/>
      <c r="C102" s="122" t="s">
        <v>124</v>
      </c>
      <c r="D102" s="128">
        <f>WACC!$E$21</f>
        <v>6.6861171836884115E-2</v>
      </c>
      <c r="E102" s="125">
        <v>46.967559619900719</v>
      </c>
      <c r="F102" s="125">
        <v>44.225321211683266</v>
      </c>
      <c r="G102" s="125">
        <v>44.225321211683266</v>
      </c>
      <c r="H102" s="125">
        <v>46.967559619900719</v>
      </c>
      <c r="I102" s="125">
        <v>52.452036436335618</v>
      </c>
      <c r="J102" s="126"/>
      <c r="K102" s="122" t="s">
        <v>124</v>
      </c>
      <c r="L102" s="128">
        <f>WACC!$E$21</f>
        <v>6.6861171836884115E-2</v>
      </c>
      <c r="M102" s="127">
        <v>10.427229639356584</v>
      </c>
      <c r="N102" s="127">
        <v>9.9465260411195491</v>
      </c>
      <c r="O102" s="127">
        <v>9.9465260411195491</v>
      </c>
      <c r="P102" s="127">
        <v>10.427229639356584</v>
      </c>
      <c r="Q102" s="127">
        <v>11.388636835830649</v>
      </c>
    </row>
    <row r="103" spans="2:17" ht="15" customHeight="1" x14ac:dyDescent="0.25">
      <c r="B103" s="117"/>
      <c r="D103" s="199">
        <f t="shared" ref="D103:D104" si="22">D102-0.01</f>
        <v>5.6861171836884113E-2</v>
      </c>
      <c r="E103" s="125">
        <v>49.192513491757168</v>
      </c>
      <c r="F103" s="125">
        <v>46.343424646954745</v>
      </c>
      <c r="G103" s="125">
        <v>46.343424646954745</v>
      </c>
      <c r="H103" s="125">
        <v>49.192513491757168</v>
      </c>
      <c r="I103" s="125">
        <v>54.890691181361987</v>
      </c>
      <c r="J103" s="126"/>
      <c r="L103" s="199">
        <f t="shared" ref="L103:L104" si="23">L102-0.01</f>
        <v>5.6861171836884113E-2</v>
      </c>
      <c r="M103" s="127">
        <v>10.817255294641622</v>
      </c>
      <c r="N103" s="127">
        <v>10.317821235484169</v>
      </c>
      <c r="O103" s="127">
        <v>10.317821235484169</v>
      </c>
      <c r="P103" s="127">
        <v>10.817255294641622</v>
      </c>
      <c r="Q103" s="127">
        <v>11.816123412956527</v>
      </c>
    </row>
    <row r="104" spans="2:17" ht="15" customHeight="1" x14ac:dyDescent="0.25">
      <c r="B104" s="117"/>
      <c r="D104" s="200">
        <f t="shared" si="22"/>
        <v>4.6861171836884111E-2</v>
      </c>
      <c r="E104" s="125">
        <v>51.524854217407317</v>
      </c>
      <c r="F104" s="125">
        <v>48.563675627975861</v>
      </c>
      <c r="G104" s="125">
        <v>48.563675627975861</v>
      </c>
      <c r="H104" s="125">
        <v>51.524854217407317</v>
      </c>
      <c r="I104" s="125">
        <v>57.447211396270234</v>
      </c>
      <c r="J104" s="126"/>
      <c r="L104" s="200">
        <f t="shared" si="23"/>
        <v>4.6861171836884111E-2</v>
      </c>
      <c r="M104" s="127">
        <v>11.226105442672186</v>
      </c>
      <c r="N104" s="127">
        <v>10.707022492518535</v>
      </c>
      <c r="O104" s="127">
        <v>10.707022492518535</v>
      </c>
      <c r="P104" s="127">
        <v>11.226105442672186</v>
      </c>
      <c r="Q104" s="127">
        <v>12.264271342979487</v>
      </c>
    </row>
    <row r="105" spans="2:17" x14ac:dyDescent="0.25">
      <c r="J105" s="132"/>
    </row>
    <row r="106" spans="2:17" x14ac:dyDescent="0.25">
      <c r="B106" s="133" t="s">
        <v>128</v>
      </c>
      <c r="C106" s="133"/>
      <c r="D106" s="133"/>
      <c r="E106" s="133"/>
      <c r="G106" s="133" t="s">
        <v>129</v>
      </c>
      <c r="H106" s="133"/>
      <c r="I106" s="133"/>
      <c r="J106" s="134"/>
      <c r="K106" s="133"/>
      <c r="L106" s="133"/>
      <c r="M106" s="133"/>
      <c r="N106" s="133"/>
      <c r="O106" s="133"/>
      <c r="P106" s="133"/>
    </row>
    <row r="107" spans="2:17" x14ac:dyDescent="0.25">
      <c r="J107" s="132"/>
    </row>
    <row r="108" spans="2:17" x14ac:dyDescent="0.25">
      <c r="J108" s="132"/>
    </row>
    <row r="109" spans="2:17" x14ac:dyDescent="0.25">
      <c r="J109" s="132"/>
    </row>
    <row r="110" spans="2:17" x14ac:dyDescent="0.25">
      <c r="J110" s="132"/>
    </row>
    <row r="111" spans="2:17" x14ac:dyDescent="0.25">
      <c r="J111" s="132"/>
    </row>
    <row r="112" spans="2:17" x14ac:dyDescent="0.25">
      <c r="J112" s="132"/>
    </row>
    <row r="113" spans="2:17" x14ac:dyDescent="0.25">
      <c r="J113" s="132"/>
    </row>
    <row r="114" spans="2:17" x14ac:dyDescent="0.25">
      <c r="J114" s="132"/>
    </row>
    <row r="115" spans="2:17" x14ac:dyDescent="0.25">
      <c r="J115" s="132"/>
    </row>
    <row r="116" spans="2:17" x14ac:dyDescent="0.25">
      <c r="J116" s="132"/>
    </row>
    <row r="117" spans="2:17" x14ac:dyDescent="0.25">
      <c r="J117" s="132"/>
    </row>
    <row r="118" spans="2:17" x14ac:dyDescent="0.25">
      <c r="J118" s="132"/>
    </row>
    <row r="119" spans="2:17" x14ac:dyDescent="0.25">
      <c r="J119" s="132"/>
    </row>
    <row r="120" spans="2:17" x14ac:dyDescent="0.25">
      <c r="J120" s="132"/>
      <c r="M120" s="135"/>
    </row>
    <row r="121" spans="2:17" x14ac:dyDescent="0.25">
      <c r="J121" s="132"/>
    </row>
    <row r="122" spans="2:17" x14ac:dyDescent="0.25">
      <c r="J122" s="132"/>
    </row>
    <row r="123" spans="2:17" x14ac:dyDescent="0.25">
      <c r="J123" s="132"/>
    </row>
    <row r="124" spans="2:17" x14ac:dyDescent="0.25">
      <c r="J124" s="132"/>
    </row>
    <row r="125" spans="2:17" x14ac:dyDescent="0.25">
      <c r="J125" s="132"/>
    </row>
    <row r="126" spans="2:17" x14ac:dyDescent="0.25">
      <c r="J126" s="132"/>
    </row>
    <row r="127" spans="2:17" x14ac:dyDescent="0.25">
      <c r="B127" s="136"/>
      <c r="C127" s="137" t="s">
        <v>130</v>
      </c>
      <c r="D127" s="137" t="s">
        <v>131</v>
      </c>
      <c r="E127" s="138" t="s">
        <v>132</v>
      </c>
      <c r="G127" s="136"/>
      <c r="H127" s="139"/>
      <c r="I127" s="139"/>
      <c r="J127" s="140"/>
      <c r="K127" s="139"/>
      <c r="L127" s="139"/>
      <c r="M127" s="139"/>
      <c r="N127" s="139"/>
      <c r="O127" s="137" t="s">
        <v>130</v>
      </c>
      <c r="P127" s="137" t="s">
        <v>131</v>
      </c>
      <c r="Q127" s="138" t="s">
        <v>132</v>
      </c>
    </row>
    <row r="128" spans="2:17" x14ac:dyDescent="0.25">
      <c r="B128" s="169" t="str">
        <f>"DCF Value at "&amp;TEXT(E99,"0.0x")&amp;"-"&amp;TEXT(I99,"0.0x")&amp;" Exit EBITDA Range at "&amp;TEXT(D102,"0.0%")&amp;" WACC"</f>
        <v>DCF Value at 9.3x-11.3x Exit EBITDA Range at 6.7% WACC</v>
      </c>
      <c r="C128" s="170">
        <f>E102</f>
        <v>46.967559619900719</v>
      </c>
      <c r="D128" s="170">
        <f>E128-C128</f>
        <v>5.4844768164348991</v>
      </c>
      <c r="E128" s="171">
        <f>I102</f>
        <v>52.452036436335618</v>
      </c>
      <c r="G128" s="169" t="str">
        <f>"LTM EBITDA Purchase Multiple at "&amp;TEXT(M90,"0.0%")&amp;"-"&amp;TEXT(Q90,"0.0%")&amp;" Perpetuity Growth at "&amp;TEXT(L93,"0.0%")&amp;" WACC"</f>
        <v>LTM EBITDA Purchase Multiple at 2.0%-4.0% Perpetuity Growth at 6.7% WACC</v>
      </c>
      <c r="H128"/>
      <c r="I128"/>
      <c r="J128" s="177"/>
      <c r="K128"/>
      <c r="L128"/>
      <c r="M128"/>
      <c r="N128"/>
      <c r="O128" s="178">
        <f>M93</f>
        <v>12.884546422426325</v>
      </c>
      <c r="P128" s="178">
        <f>Q128-O128</f>
        <v>3.2343173826754317</v>
      </c>
      <c r="Q128" s="179">
        <f>Q93</f>
        <v>16.118863805101757</v>
      </c>
    </row>
    <row r="129" spans="2:17" x14ac:dyDescent="0.25">
      <c r="B129" s="172" t="str">
        <f>"DCF Value at "&amp;TEXT(E90,"0.0%")&amp;"-"&amp;TEXT(I90,"0.0%")&amp;" Perpetuity Range at "&amp;TEXT(D102,"0.0%")&amp;" WACC"</f>
        <v>DCF Value at 2.0%-4.0% Perpetuity Range at 6.7% WACC</v>
      </c>
      <c r="C129" s="170">
        <f>E93</f>
        <v>60.985654113897908</v>
      </c>
      <c r="D129" s="170">
        <f>E129-C129</f>
        <v>18.450599046201646</v>
      </c>
      <c r="E129" s="171">
        <f>I93</f>
        <v>79.436253160099554</v>
      </c>
      <c r="G129" s="172" t="str">
        <f>"LTM EBITDA Purchase Multiple at "&amp;TEXT(M102,"0.0x")&amp;"-"&amp;TEXT(Q102,"0.0x")&amp;" Exit EBITDA Multiple at "&amp;TEXT(L102,"0.0%")&amp;" WACC"</f>
        <v>LTM EBITDA Purchase Multiple at 10.4x-11.4x Exit EBITDA Multiple at 6.7% WACC</v>
      </c>
      <c r="H129"/>
      <c r="I129"/>
      <c r="J129" s="177"/>
      <c r="K129"/>
      <c r="L129"/>
      <c r="M129"/>
      <c r="N129"/>
      <c r="O129" s="178">
        <f>M102</f>
        <v>10.427229639356584</v>
      </c>
      <c r="P129" s="178">
        <f>Q129-O129</f>
        <v>0.96140719647406492</v>
      </c>
      <c r="Q129" s="179">
        <f>Q102</f>
        <v>11.388636835830649</v>
      </c>
    </row>
    <row r="130" spans="2:17" x14ac:dyDescent="0.25">
      <c r="B130" s="173" t="s">
        <v>133</v>
      </c>
      <c r="C130" s="174">
        <v>38.18</v>
      </c>
      <c r="D130" s="175">
        <f>E130-C130</f>
        <v>15.869999999999997</v>
      </c>
      <c r="E130" s="176">
        <v>54.05</v>
      </c>
      <c r="G130" s="173" t="str">
        <f>"LTM EBITDA Purchase Multiple at "&amp;TEXT(L104,"0.0%")&amp;"-"&amp;TEXT(L100,"0.0%")&amp;" WACC at "&amp;TEXT(O99,"0.0x")&amp;" Exit EBITDA"</f>
        <v>LTM EBITDA Purchase Multiple at 4.7%-8.7% WACC at 10.3x Exit EBITDA</v>
      </c>
      <c r="H130" s="42"/>
      <c r="I130" s="42"/>
      <c r="J130" s="180"/>
      <c r="K130" s="42"/>
      <c r="L130" s="42"/>
      <c r="M130" s="42"/>
      <c r="N130" s="42"/>
      <c r="O130" s="175">
        <f>O100</f>
        <v>9.253778951905943</v>
      </c>
      <c r="P130" s="175">
        <f>Q130-O130</f>
        <v>1.4532435406125916</v>
      </c>
      <c r="Q130" s="181">
        <f>O104</f>
        <v>10.707022492518535</v>
      </c>
    </row>
    <row r="131" spans="2:17" x14ac:dyDescent="0.25">
      <c r="J131" s="132"/>
    </row>
    <row r="132" spans="2:17" x14ac:dyDescent="0.25">
      <c r="J132" s="132"/>
    </row>
  </sheetData>
  <conditionalFormatting sqref="E91:J95 E100:J104">
    <cfRule type="cellIs" dxfId="1" priority="2" operator="lessThan">
      <formula>#REF!</formula>
    </cfRule>
  </conditionalFormatting>
  <dataValidations count="1">
    <dataValidation type="list" allowBlank="1" showInputMessage="1" showErrorMessage="1" sqref="H9" xr:uid="{CB45C56C-AFB1-4E43-A477-1FC1C59EBD22}">
      <formula1>"0,1"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4E94-4BEA-4BEC-A3D4-AE92824096F5}">
  <dimension ref="B1:I24"/>
  <sheetViews>
    <sheetView zoomScaleNormal="100" workbookViewId="0">
      <selection activeCell="E21" sqref="E21"/>
    </sheetView>
  </sheetViews>
  <sheetFormatPr defaultColWidth="9.140625" defaultRowHeight="15" x14ac:dyDescent="0.25"/>
  <cols>
    <col min="1" max="1" width="1.42578125" style="54" customWidth="1"/>
    <col min="2" max="2" width="50.28515625" style="54" customWidth="1"/>
    <col min="3" max="3" width="15.5703125" style="54" bestFit="1" customWidth="1"/>
    <col min="4" max="9" width="12.7109375" style="54" customWidth="1"/>
    <col min="10" max="10" width="1.7109375" style="54" customWidth="1"/>
    <col min="11" max="11" width="11" style="54" bestFit="1" customWidth="1"/>
    <col min="12" max="16" width="9.42578125" style="54" customWidth="1"/>
    <col min="17" max="16384" width="9.140625" style="54"/>
  </cols>
  <sheetData>
    <row r="1" spans="2:9" ht="15.75" thickBot="1" x14ac:dyDescent="0.3"/>
    <row r="2" spans="2:9" ht="15.75" thickBot="1" x14ac:dyDescent="0.3">
      <c r="B2" s="55" t="s">
        <v>134</v>
      </c>
      <c r="C2" s="56"/>
      <c r="D2" s="56"/>
      <c r="E2" s="56"/>
      <c r="F2" s="56"/>
      <c r="G2" s="56"/>
      <c r="H2" s="56"/>
      <c r="I2" s="56"/>
    </row>
    <row r="3" spans="2:9" x14ac:dyDescent="0.25">
      <c r="B3" s="57" t="str">
        <f>DCF!B3</f>
        <v>All amounts are shown in Saudi riyal, except per-share data, ratios, and shares outstanding</v>
      </c>
    </row>
    <row r="4" spans="2:9" ht="15" customHeight="1" x14ac:dyDescent="0.25">
      <c r="B4" s="142" t="s">
        <v>135</v>
      </c>
      <c r="C4" s="143"/>
      <c r="D4" s="143"/>
      <c r="E4" s="144"/>
      <c r="F4" s="145"/>
    </row>
    <row r="5" spans="2:9" x14ac:dyDescent="0.25">
      <c r="E5" s="97"/>
    </row>
    <row r="6" spans="2:9" ht="15" customHeight="1" x14ac:dyDescent="0.25">
      <c r="B6" s="54" t="s">
        <v>136</v>
      </c>
      <c r="C6" s="149">
        <v>5.7000000000000002E-2</v>
      </c>
    </row>
    <row r="7" spans="2:9" ht="15" customHeight="1" x14ac:dyDescent="0.25">
      <c r="B7" s="54" t="s">
        <v>26</v>
      </c>
      <c r="C7" s="251">
        <f>DCF!D22</f>
        <v>5.3558316195976875E-2</v>
      </c>
    </row>
    <row r="8" spans="2:9" ht="15" customHeight="1" x14ac:dyDescent="0.25">
      <c r="B8" s="54" t="s">
        <v>137</v>
      </c>
      <c r="C8" s="150">
        <f>C6*(1-C7)</f>
        <v>5.3947175976829319E-2</v>
      </c>
    </row>
    <row r="10" spans="2:9" x14ac:dyDescent="0.25">
      <c r="B10" s="54" t="s">
        <v>138</v>
      </c>
      <c r="C10" s="148">
        <v>0.05</v>
      </c>
    </row>
    <row r="11" spans="2:9" x14ac:dyDescent="0.25">
      <c r="B11" s="54" t="s">
        <v>139</v>
      </c>
      <c r="C11" s="163">
        <v>0.41</v>
      </c>
    </row>
    <row r="12" spans="2:9" ht="15" customHeight="1" x14ac:dyDescent="0.25">
      <c r="B12" s="54" t="s">
        <v>140</v>
      </c>
      <c r="C12" s="151">
        <v>5.0099999999999999E-2</v>
      </c>
    </row>
    <row r="13" spans="2:9" x14ac:dyDescent="0.25">
      <c r="B13" s="54" t="s">
        <v>141</v>
      </c>
      <c r="C13" s="152">
        <f>C10+C11*C12</f>
        <v>7.0540999999999993E-2</v>
      </c>
    </row>
    <row r="14" spans="2:9" x14ac:dyDescent="0.25">
      <c r="C14" s="153"/>
    </row>
    <row r="15" spans="2:9" x14ac:dyDescent="0.25">
      <c r="B15" s="146" t="s">
        <v>142</v>
      </c>
      <c r="C15" s="154"/>
      <c r="D15" s="154"/>
      <c r="E15" s="154"/>
    </row>
    <row r="16" spans="2:9" x14ac:dyDescent="0.25">
      <c r="B16" s="75"/>
      <c r="C16" s="122"/>
      <c r="D16" s="122" t="s">
        <v>143</v>
      </c>
    </row>
    <row r="17" spans="2:5" ht="17.25" x14ac:dyDescent="0.4">
      <c r="C17" s="155" t="s">
        <v>144</v>
      </c>
      <c r="D17" s="155" t="s">
        <v>145</v>
      </c>
      <c r="E17" s="155" t="s">
        <v>146</v>
      </c>
    </row>
    <row r="18" spans="2:5" x14ac:dyDescent="0.25">
      <c r="B18" s="54" t="s">
        <v>15</v>
      </c>
      <c r="C18" s="73">
        <f>DCF!I61*DCF!H5</f>
        <v>45760000</v>
      </c>
      <c r="D18" s="156"/>
      <c r="E18" s="157">
        <f>C18/(C18+C19)</f>
        <v>0.77824109994311319</v>
      </c>
    </row>
    <row r="19" spans="2:5" x14ac:dyDescent="0.25">
      <c r="B19" s="54" t="s">
        <v>100</v>
      </c>
      <c r="C19" s="73">
        <f>DCF!C57</f>
        <v>13039259</v>
      </c>
      <c r="D19" s="158"/>
      <c r="E19" s="157">
        <f>C19/(C19+C18)</f>
        <v>0.22175890005688678</v>
      </c>
    </row>
    <row r="21" spans="2:5" x14ac:dyDescent="0.25">
      <c r="B21" s="147" t="s">
        <v>147</v>
      </c>
      <c r="C21" s="159"/>
      <c r="D21" s="139"/>
      <c r="E21" s="160">
        <f>C8*E19+C13*E18</f>
        <v>6.6861171836884115E-2</v>
      </c>
    </row>
    <row r="22" spans="2:5" x14ac:dyDescent="0.25">
      <c r="B22" s="74"/>
      <c r="C22" s="102"/>
    </row>
    <row r="23" spans="2:5" x14ac:dyDescent="0.25">
      <c r="B23" s="74"/>
      <c r="C23" s="102"/>
    </row>
    <row r="24" spans="2:5" x14ac:dyDescent="0.25">
      <c r="B24" s="74"/>
      <c r="C24" s="102"/>
    </row>
  </sheetData>
  <conditionalFormatting sqref="B22:C24">
    <cfRule type="expression" dxfId="0" priority="1">
      <formula>#REF!="Industry"</formula>
    </cfRule>
  </conditionalFormatting>
  <dataValidations count="1">
    <dataValidation type="list" allowBlank="1" showInputMessage="1" showErrorMessage="1" sqref="C11" xr:uid="{BA86EDE5-7159-4B66-829E-7171B4D698DF}">
      <formula1>"0.41,0.11"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FSM</vt:lpstr>
      <vt:lpstr>DCF</vt:lpstr>
      <vt:lpstr>WACC</vt:lpstr>
      <vt:lpstr>Company_Name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WAEL</dc:creator>
  <dc:description/>
  <cp:lastModifiedBy>Ahmed Wael</cp:lastModifiedBy>
  <cp:revision>0</cp:revision>
  <dcterms:created xsi:type="dcterms:W3CDTF">2015-06-05T18:17:20Z</dcterms:created>
  <dcterms:modified xsi:type="dcterms:W3CDTF">2026-06-13T17:49:20Z</dcterms:modified>
  <dc:language>en-US</dc:language>
</cp:coreProperties>
</file>