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7\AAPL\"/>
    </mc:Choice>
  </mc:AlternateContent>
  <xr:revisionPtr revIDLastSave="0" documentId="13_ncr:1_{1067A6F9-A9B9-49DF-9EA6-B6289E876FA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SM" sheetId="4" r:id="rId1"/>
    <sheet name="DCF" sheetId="2" r:id="rId2"/>
    <sheet name="WACC" sheetId="3" r:id="rId3"/>
  </sheets>
  <definedNames>
    <definedName name="CIQWBGuid" localSheetId="1" hidden="1">"DCF_complete.xlsx"</definedName>
    <definedName name="CIQWBGuid" localSheetId="2" hidden="1">"DCF_complete.xlsx"</definedName>
    <definedName name="CIQWBGuid" hidden="1">"a611639b-bab1-425e-aaa5-008c326fdfdb"</definedName>
    <definedName name="Company_Name" localSheetId="0">FSM!$D$5</definedName>
    <definedName name="Company_Name">#REF!</definedName>
    <definedName name="Hist_Yr" localSheetId="0">FSM!#REF!</definedName>
    <definedName name="Hist_Yr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1" hidden="1">43549.6880671296</definedName>
    <definedName name="IQ_NAMES_REVISION_DATE_" localSheetId="2" hidden="1">43549.6880671296</definedName>
    <definedName name="IQ_NAMES_REVISION_DATE_" hidden="1">43588.5561574074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MLNK841c85bef3244d5c8fb6b3f84988d79e" localSheetId="1" hidden="1">#REF!</definedName>
    <definedName name="MLNK841c85bef3244d5c8fb6b3f84988d79e" localSheetId="2" hidden="1">#REF!</definedName>
    <definedName name="MLNK841c85bef3244d5c8fb6b3f84988d79e" hidden="1">#REF!</definedName>
    <definedName name="MLNKa7775792bf444a4785f8ed5c82461a24" localSheetId="1" hidden="1">#REF!</definedName>
    <definedName name="MLNKa7775792bf444a4785f8ed5c82461a24" localSheetId="2" hidden="1">#REF!</definedName>
    <definedName name="MLNKa7775792bf444a4785f8ed5c82461a24" hidden="1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8" i="3" l="1"/>
  <c r="D72" i="2"/>
  <c r="C72" i="2"/>
  <c r="C64" i="2"/>
  <c r="C62" i="2"/>
  <c r="C57" i="2"/>
  <c r="C65" i="2" s="1"/>
  <c r="I61" i="2"/>
  <c r="C13" i="3"/>
  <c r="D14" i="2"/>
  <c r="C70" i="2" l="1"/>
  <c r="D70" i="2"/>
  <c r="C19" i="3"/>
  <c r="E19" i="3" l="1"/>
  <c r="E18" i="3"/>
  <c r="E21" i="3" s="1"/>
  <c r="G117" i="4"/>
  <c r="F196" i="4" l="1"/>
  <c r="G192" i="4" s="1"/>
  <c r="E196" i="4"/>
  <c r="F192" i="4" s="1"/>
  <c r="D196" i="4"/>
  <c r="E192" i="4" s="1"/>
  <c r="F138" i="4"/>
  <c r="F136" i="4" s="1"/>
  <c r="F137" i="4" s="1"/>
  <c r="E138" i="4"/>
  <c r="E136" i="4" s="1"/>
  <c r="E137" i="4" s="1"/>
  <c r="D138" i="4"/>
  <c r="D136" i="4" s="1"/>
  <c r="D137" i="4" s="1"/>
  <c r="F132" i="4"/>
  <c r="E132" i="4"/>
  <c r="F131" i="4"/>
  <c r="E131" i="4"/>
  <c r="D132" i="4"/>
  <c r="D131" i="4"/>
  <c r="F129" i="4"/>
  <c r="G126" i="4" s="1"/>
  <c r="E129" i="4"/>
  <c r="F126" i="4" s="1"/>
  <c r="D129" i="4"/>
  <c r="E126" i="4" s="1"/>
  <c r="G77" i="4"/>
  <c r="H77" i="4" s="1"/>
  <c r="I77" i="4" s="1"/>
  <c r="J77" i="4" s="1"/>
  <c r="K77" i="4" s="1"/>
  <c r="G76" i="4"/>
  <c r="H76" i="4" s="1"/>
  <c r="H78" i="4" s="1"/>
  <c r="G85" i="4"/>
  <c r="H85" i="4" s="1"/>
  <c r="I85" i="4" s="1"/>
  <c r="J85" i="4" s="1"/>
  <c r="K85" i="4" s="1"/>
  <c r="G58" i="4"/>
  <c r="H58" i="4" s="1"/>
  <c r="I58" i="4" s="1"/>
  <c r="G72" i="4"/>
  <c r="F174" i="4"/>
  <c r="E174" i="4"/>
  <c r="F173" i="4"/>
  <c r="E173" i="4"/>
  <c r="F172" i="4"/>
  <c r="F185" i="4" s="1"/>
  <c r="E172" i="4"/>
  <c r="F168" i="4"/>
  <c r="E168" i="4"/>
  <c r="F167" i="4"/>
  <c r="F182" i="4" s="1"/>
  <c r="E167" i="4"/>
  <c r="E182" i="4" s="1"/>
  <c r="F166" i="4"/>
  <c r="F184" i="4" s="1"/>
  <c r="E166" i="4"/>
  <c r="F165" i="4"/>
  <c r="F183" i="4" s="1"/>
  <c r="E165" i="4"/>
  <c r="E183" i="4" s="1"/>
  <c r="D174" i="4"/>
  <c r="D173" i="4"/>
  <c r="D172" i="4"/>
  <c r="D168" i="4"/>
  <c r="D167" i="4"/>
  <c r="D182" i="4" s="1"/>
  <c r="D166" i="4"/>
  <c r="D184" i="4" s="1"/>
  <c r="D165" i="4"/>
  <c r="G71" i="4"/>
  <c r="H71" i="4" s="1"/>
  <c r="I71" i="4" s="1"/>
  <c r="J71" i="4" s="1"/>
  <c r="K71" i="4" s="1"/>
  <c r="G50" i="4"/>
  <c r="H50" i="4" s="1"/>
  <c r="I50" i="4" s="1"/>
  <c r="J50" i="4" s="1"/>
  <c r="K50" i="4" s="1"/>
  <c r="F40" i="4"/>
  <c r="E40" i="4"/>
  <c r="F39" i="4"/>
  <c r="E39" i="4"/>
  <c r="D40" i="4"/>
  <c r="D39" i="4"/>
  <c r="F37" i="4"/>
  <c r="E37" i="4"/>
  <c r="G148" i="4"/>
  <c r="H148" i="4" s="1"/>
  <c r="I148" i="4" s="1"/>
  <c r="J148" i="4" s="1"/>
  <c r="K148" i="4" s="1"/>
  <c r="G147" i="4"/>
  <c r="H147" i="4" s="1"/>
  <c r="I147" i="4" s="1"/>
  <c r="J147" i="4" s="1"/>
  <c r="K147" i="4" s="1"/>
  <c r="G146" i="4"/>
  <c r="H146" i="4" s="1"/>
  <c r="I146" i="4" s="1"/>
  <c r="J146" i="4" s="1"/>
  <c r="K146" i="4" s="1"/>
  <c r="G145" i="4"/>
  <c r="H145" i="4" s="1"/>
  <c r="I145" i="4" s="1"/>
  <c r="J145" i="4" s="1"/>
  <c r="K145" i="4" s="1"/>
  <c r="G144" i="4"/>
  <c r="H144" i="4" s="1"/>
  <c r="I144" i="4" s="1"/>
  <c r="F158" i="4"/>
  <c r="E158" i="4"/>
  <c r="F157" i="4"/>
  <c r="E157" i="4"/>
  <c r="F156" i="4"/>
  <c r="E156" i="4"/>
  <c r="F155" i="4"/>
  <c r="E155" i="4"/>
  <c r="F154" i="4"/>
  <c r="E154" i="4"/>
  <c r="F149" i="4"/>
  <c r="F151" i="4" s="1"/>
  <c r="E149" i="4"/>
  <c r="E151" i="4" s="1"/>
  <c r="D149" i="4"/>
  <c r="D151" i="4" s="1"/>
  <c r="G111" i="4" l="1"/>
  <c r="H72" i="4"/>
  <c r="I76" i="4"/>
  <c r="J76" i="4" s="1"/>
  <c r="I78" i="4"/>
  <c r="J58" i="4"/>
  <c r="E169" i="4"/>
  <c r="G131" i="4"/>
  <c r="F169" i="4"/>
  <c r="G137" i="4"/>
  <c r="G136" i="4" s="1"/>
  <c r="G60" i="4" s="1"/>
  <c r="E184" i="4"/>
  <c r="G184" i="4" s="1"/>
  <c r="G166" i="4" s="1"/>
  <c r="H131" i="4"/>
  <c r="D169" i="4"/>
  <c r="D183" i="4"/>
  <c r="G183" i="4" s="1"/>
  <c r="G165" i="4" s="1"/>
  <c r="D175" i="4"/>
  <c r="G132" i="4"/>
  <c r="E175" i="4"/>
  <c r="G182" i="4"/>
  <c r="F175" i="4"/>
  <c r="G39" i="4"/>
  <c r="H39" i="4" s="1"/>
  <c r="I39" i="4" s="1"/>
  <c r="J39" i="4" s="1"/>
  <c r="K39" i="4" s="1"/>
  <c r="G40" i="4"/>
  <c r="H40" i="4" s="1"/>
  <c r="I40" i="4" s="1"/>
  <c r="J40" i="4" s="1"/>
  <c r="K40" i="4" s="1"/>
  <c r="D185" i="4"/>
  <c r="E185" i="4"/>
  <c r="G149" i="4"/>
  <c r="G16" i="4" s="1"/>
  <c r="J144" i="4"/>
  <c r="I149" i="4"/>
  <c r="H149" i="4"/>
  <c r="E177" i="4" l="1"/>
  <c r="I72" i="4"/>
  <c r="H111" i="4"/>
  <c r="G173" i="4"/>
  <c r="G69" i="4" s="1"/>
  <c r="E14" i="2"/>
  <c r="E15" i="2" s="1"/>
  <c r="H132" i="4"/>
  <c r="G128" i="4"/>
  <c r="H127" i="4"/>
  <c r="G107" i="4"/>
  <c r="G108" i="4" s="1"/>
  <c r="G127" i="4"/>
  <c r="E27" i="2" s="1"/>
  <c r="K76" i="4"/>
  <c r="K78" i="4" s="1"/>
  <c r="J78" i="4"/>
  <c r="K58" i="4"/>
  <c r="F177" i="4"/>
  <c r="G129" i="4"/>
  <c r="G59" i="4" s="1"/>
  <c r="D177" i="4"/>
  <c r="D178" i="4" s="1"/>
  <c r="H184" i="4"/>
  <c r="G52" i="4"/>
  <c r="G168" i="4"/>
  <c r="G54" i="4" s="1"/>
  <c r="G185" i="4"/>
  <c r="H182" i="4"/>
  <c r="H137" i="4"/>
  <c r="H136" i="4" s="1"/>
  <c r="H60" i="4" s="1"/>
  <c r="G138" i="4"/>
  <c r="G30" i="4" s="1"/>
  <c r="G151" i="4"/>
  <c r="G174" i="4"/>
  <c r="G70" i="4" s="1"/>
  <c r="G51" i="4"/>
  <c r="H183" i="4"/>
  <c r="H165" i="4" s="1"/>
  <c r="H51" i="4" s="1"/>
  <c r="I131" i="4"/>
  <c r="I132" i="4"/>
  <c r="I128" i="4" s="1"/>
  <c r="E178" i="4"/>
  <c r="I16" i="4"/>
  <c r="G14" i="2" s="1"/>
  <c r="G15" i="2" s="1"/>
  <c r="H16" i="4"/>
  <c r="F14" i="2" s="1"/>
  <c r="G37" i="4"/>
  <c r="G33" i="4" s="1"/>
  <c r="G98" i="4" s="1"/>
  <c r="G20" i="4"/>
  <c r="G19" i="4"/>
  <c r="K144" i="4"/>
  <c r="K149" i="4" s="1"/>
  <c r="J149" i="4"/>
  <c r="F27" i="2" l="1"/>
  <c r="F28" i="2" s="1"/>
  <c r="H107" i="4"/>
  <c r="H108" i="4" s="1"/>
  <c r="F15" i="2"/>
  <c r="I127" i="4"/>
  <c r="H166" i="4"/>
  <c r="H52" i="4" s="1"/>
  <c r="F178" i="4"/>
  <c r="D32" i="2"/>
  <c r="D33" i="2" s="1"/>
  <c r="E179" i="4"/>
  <c r="E28" i="2"/>
  <c r="H128" i="4"/>
  <c r="J72" i="4"/>
  <c r="I111" i="4"/>
  <c r="H126" i="4"/>
  <c r="G97" i="4"/>
  <c r="E25" i="2"/>
  <c r="F179" i="4"/>
  <c r="H185" i="4"/>
  <c r="G83" i="4"/>
  <c r="H168" i="4"/>
  <c r="H54" i="4" s="1"/>
  <c r="H173" i="4"/>
  <c r="H69" i="4" s="1"/>
  <c r="H174" i="4"/>
  <c r="H70" i="4" s="1"/>
  <c r="J131" i="4"/>
  <c r="I182" i="4"/>
  <c r="I184" i="4"/>
  <c r="I166" i="4" s="1"/>
  <c r="I52" i="4" s="1"/>
  <c r="I151" i="4"/>
  <c r="I173" i="4"/>
  <c r="I69" i="4" s="1"/>
  <c r="I168" i="4"/>
  <c r="I54" i="4" s="1"/>
  <c r="I174" i="4"/>
  <c r="I70" i="4" s="1"/>
  <c r="I183" i="4"/>
  <c r="I165" i="4" s="1"/>
  <c r="I51" i="4" s="1"/>
  <c r="I137" i="4"/>
  <c r="I136" i="4" s="1"/>
  <c r="I60" i="4" s="1"/>
  <c r="H138" i="4"/>
  <c r="H30" i="4" s="1"/>
  <c r="J132" i="4"/>
  <c r="J128" i="4" s="1"/>
  <c r="K16" i="4"/>
  <c r="I14" i="2" s="1"/>
  <c r="I15" i="2" s="1"/>
  <c r="H20" i="4"/>
  <c r="H19" i="4"/>
  <c r="H37" i="4"/>
  <c r="H33" i="4" s="1"/>
  <c r="H98" i="4" s="1"/>
  <c r="H151" i="4"/>
  <c r="J16" i="4"/>
  <c r="H14" i="2" s="1"/>
  <c r="H15" i="2" s="1"/>
  <c r="I20" i="4"/>
  <c r="I19" i="4"/>
  <c r="I37" i="4"/>
  <c r="K72" i="4" l="1"/>
  <c r="K111" i="4" s="1"/>
  <c r="J111" i="4"/>
  <c r="J127" i="4"/>
  <c r="H83" i="4"/>
  <c r="H129" i="4"/>
  <c r="G27" i="2"/>
  <c r="G28" i="2" s="1"/>
  <c r="I107" i="4"/>
  <c r="I108" i="4" s="1"/>
  <c r="F25" i="2"/>
  <c r="H97" i="4"/>
  <c r="I126" i="4"/>
  <c r="I129" i="4" s="1"/>
  <c r="H59" i="4"/>
  <c r="H61" i="4" s="1"/>
  <c r="J151" i="4"/>
  <c r="J173" i="4"/>
  <c r="J69" i="4" s="1"/>
  <c r="J168" i="4"/>
  <c r="J54" i="4" s="1"/>
  <c r="J174" i="4"/>
  <c r="J70" i="4" s="1"/>
  <c r="J184" i="4"/>
  <c r="J166" i="4" s="1"/>
  <c r="J52" i="4" s="1"/>
  <c r="I185" i="4"/>
  <c r="K151" i="4"/>
  <c r="K173" i="4"/>
  <c r="K69" i="4" s="1"/>
  <c r="K174" i="4"/>
  <c r="K70" i="4" s="1"/>
  <c r="K168" i="4"/>
  <c r="K54" i="4" s="1"/>
  <c r="J137" i="4"/>
  <c r="J136" i="4" s="1"/>
  <c r="J60" i="4" s="1"/>
  <c r="I138" i="4"/>
  <c r="I30" i="4" s="1"/>
  <c r="K131" i="4"/>
  <c r="K127" i="4" s="1"/>
  <c r="I33" i="4"/>
  <c r="I98" i="4" s="1"/>
  <c r="J183" i="4"/>
  <c r="J165" i="4" s="1"/>
  <c r="J51" i="4" s="1"/>
  <c r="J182" i="4"/>
  <c r="K132" i="4"/>
  <c r="K128" i="4" s="1"/>
  <c r="K37" i="4"/>
  <c r="K20" i="4"/>
  <c r="K19" i="4"/>
  <c r="J19" i="4"/>
  <c r="J37" i="4"/>
  <c r="J20" i="4"/>
  <c r="I27" i="2" l="1"/>
  <c r="I28" i="2" s="1"/>
  <c r="K107" i="4"/>
  <c r="K108" i="4" s="1"/>
  <c r="I83" i="4"/>
  <c r="H27" i="2"/>
  <c r="H28" i="2" s="1"/>
  <c r="J107" i="4"/>
  <c r="J108" i="4" s="1"/>
  <c r="G25" i="2"/>
  <c r="I97" i="4"/>
  <c r="J126" i="4"/>
  <c r="J129" i="4" s="1"/>
  <c r="I59" i="4"/>
  <c r="I61" i="4" s="1"/>
  <c r="J33" i="4"/>
  <c r="K182" i="4"/>
  <c r="K137" i="4"/>
  <c r="J138" i="4"/>
  <c r="J30" i="4" s="1"/>
  <c r="K184" i="4"/>
  <c r="K166" i="4" s="1"/>
  <c r="K52" i="4" s="1"/>
  <c r="K183" i="4"/>
  <c r="K165" i="4" s="1"/>
  <c r="K51" i="4" s="1"/>
  <c r="J185" i="4"/>
  <c r="K136" i="4" l="1"/>
  <c r="K60" i="4" s="1"/>
  <c r="K33" i="4"/>
  <c r="K98" i="4" s="1"/>
  <c r="J98" i="4"/>
  <c r="J83" i="4"/>
  <c r="H25" i="2"/>
  <c r="J97" i="4"/>
  <c r="K126" i="4"/>
  <c r="K129" i="4" s="1"/>
  <c r="K59" i="4" s="1"/>
  <c r="J59" i="4"/>
  <c r="J61" i="4" s="1"/>
  <c r="K185" i="4"/>
  <c r="G22" i="4"/>
  <c r="H22" i="4" s="1"/>
  <c r="I22" i="4" s="1"/>
  <c r="J22" i="4" s="1"/>
  <c r="K22" i="4" s="1"/>
  <c r="F55" i="4"/>
  <c r="E55" i="4"/>
  <c r="D55" i="4"/>
  <c r="F61" i="4"/>
  <c r="F86" i="4"/>
  <c r="E86" i="4"/>
  <c r="D86" i="4"/>
  <c r="F18" i="4"/>
  <c r="E18" i="4"/>
  <c r="D18" i="4"/>
  <c r="K138" i="4" l="1"/>
  <c r="K30" i="4" s="1"/>
  <c r="K61" i="4"/>
  <c r="K83" i="4"/>
  <c r="F21" i="4"/>
  <c r="F38" i="4"/>
  <c r="E21" i="4"/>
  <c r="E31" i="4" s="1"/>
  <c r="E38" i="4"/>
  <c r="D21" i="4"/>
  <c r="D38" i="4"/>
  <c r="F31" i="4" l="1"/>
  <c r="D16" i="2" s="1"/>
  <c r="D17" i="2" s="1"/>
  <c r="D18" i="2"/>
  <c r="K97" i="4"/>
  <c r="I25" i="2"/>
  <c r="F34" i="4"/>
  <c r="F32" i="4"/>
  <c r="E34" i="4"/>
  <c r="E32" i="4"/>
  <c r="D26" i="4"/>
  <c r="D31" i="4"/>
  <c r="E26" i="4"/>
  <c r="E41" i="4" s="1"/>
  <c r="G38" i="4"/>
  <c r="F26" i="4"/>
  <c r="F41" i="4" s="1"/>
  <c r="D22" i="2" s="1"/>
  <c r="C8" i="3" s="1"/>
  <c r="D23" i="2" l="1"/>
  <c r="D19" i="2"/>
  <c r="D21" i="2"/>
  <c r="D34" i="4"/>
  <c r="D32" i="4"/>
  <c r="D41" i="4"/>
  <c r="G41" i="4" s="1"/>
  <c r="D28" i="4"/>
  <c r="D193" i="4" s="1"/>
  <c r="H38" i="4"/>
  <c r="G18" i="4"/>
  <c r="F28" i="4"/>
  <c r="F193" i="4" s="1"/>
  <c r="E28" i="4"/>
  <c r="E193" i="4" s="1"/>
  <c r="G78" i="4"/>
  <c r="F78" i="4"/>
  <c r="E78" i="4"/>
  <c r="D78" i="4"/>
  <c r="F73" i="4"/>
  <c r="E73" i="4"/>
  <c r="D73" i="4"/>
  <c r="E61" i="4"/>
  <c r="D61" i="4"/>
  <c r="H41" i="4" l="1"/>
  <c r="E22" i="2"/>
  <c r="E198" i="4"/>
  <c r="E199" i="4"/>
  <c r="D198" i="4"/>
  <c r="D199" i="4"/>
  <c r="F198" i="4"/>
  <c r="H198" i="4" s="1"/>
  <c r="F199" i="4"/>
  <c r="G199" i="4" s="1"/>
  <c r="G17" i="4"/>
  <c r="G21" i="4"/>
  <c r="E18" i="2" s="1"/>
  <c r="I38" i="4"/>
  <c r="H18" i="4"/>
  <c r="E80" i="4"/>
  <c r="E88" i="4" s="1"/>
  <c r="D63" i="4"/>
  <c r="F80" i="4"/>
  <c r="F88" i="4" s="1"/>
  <c r="F63" i="4"/>
  <c r="E63" i="4"/>
  <c r="D80" i="4"/>
  <c r="D88" i="4" s="1"/>
  <c r="E23" i="2" l="1"/>
  <c r="E19" i="2"/>
  <c r="E21" i="2"/>
  <c r="G167" i="4"/>
  <c r="G172" i="4"/>
  <c r="I41" i="4"/>
  <c r="F22" i="2"/>
  <c r="H199" i="4"/>
  <c r="I198" i="4"/>
  <c r="G26" i="4"/>
  <c r="G31" i="4"/>
  <c r="E16" i="2" s="1"/>
  <c r="E17" i="2" s="1"/>
  <c r="J38" i="4"/>
  <c r="I18" i="4"/>
  <c r="H17" i="4"/>
  <c r="H21" i="4"/>
  <c r="G27" i="4"/>
  <c r="E90" i="4"/>
  <c r="D90" i="4"/>
  <c r="F90" i="4"/>
  <c r="H167" i="4" l="1"/>
  <c r="H172" i="4"/>
  <c r="G53" i="4"/>
  <c r="G169" i="4"/>
  <c r="J41" i="4"/>
  <c r="G22" i="2"/>
  <c r="H31" i="4"/>
  <c r="F16" i="2" s="1"/>
  <c r="F17" i="2" s="1"/>
  <c r="F18" i="2"/>
  <c r="G68" i="4"/>
  <c r="G175" i="4"/>
  <c r="G28" i="4"/>
  <c r="G193" i="4" s="1"/>
  <c r="I199" i="4"/>
  <c r="J198" i="4"/>
  <c r="H34" i="4"/>
  <c r="H32" i="4"/>
  <c r="G34" i="4"/>
  <c r="G32" i="4"/>
  <c r="H26" i="4"/>
  <c r="H27" i="4" s="1"/>
  <c r="I17" i="4"/>
  <c r="I21" i="4"/>
  <c r="K38" i="4"/>
  <c r="K18" i="4" s="1"/>
  <c r="J18" i="4"/>
  <c r="G61" i="4"/>
  <c r="G73" i="4"/>
  <c r="G80" i="4" s="1"/>
  <c r="I31" i="4" l="1"/>
  <c r="G16" i="2" s="1"/>
  <c r="G17" i="2" s="1"/>
  <c r="G18" i="2"/>
  <c r="F21" i="2"/>
  <c r="F23" i="2"/>
  <c r="F19" i="2"/>
  <c r="I167" i="4"/>
  <c r="I172" i="4"/>
  <c r="H68" i="4"/>
  <c r="H73" i="4" s="1"/>
  <c r="H80" i="4" s="1"/>
  <c r="H175" i="4"/>
  <c r="H177" i="4" s="1"/>
  <c r="G177" i="4"/>
  <c r="K41" i="4"/>
  <c r="I22" i="2" s="1"/>
  <c r="H22" i="2"/>
  <c r="H53" i="4"/>
  <c r="H169" i="4"/>
  <c r="G195" i="4"/>
  <c r="G112" i="4" s="1"/>
  <c r="G194" i="4"/>
  <c r="G113" i="4" s="1"/>
  <c r="G96" i="4"/>
  <c r="G99" i="4" s="1"/>
  <c r="J199" i="4"/>
  <c r="K198" i="4"/>
  <c r="I34" i="4"/>
  <c r="I32" i="4"/>
  <c r="I26" i="4"/>
  <c r="I27" i="4" s="1"/>
  <c r="J17" i="4"/>
  <c r="J21" i="4"/>
  <c r="K17" i="4"/>
  <c r="K21" i="4"/>
  <c r="H28" i="4"/>
  <c r="H193" i="4" l="1"/>
  <c r="H195" i="4" s="1"/>
  <c r="H112" i="4" s="1"/>
  <c r="H96" i="4"/>
  <c r="H99" i="4" s="1"/>
  <c r="J167" i="4"/>
  <c r="J172" i="4"/>
  <c r="K167" i="4"/>
  <c r="K172" i="4"/>
  <c r="E32" i="2"/>
  <c r="G179" i="4"/>
  <c r="G102" i="4" s="1"/>
  <c r="G103" i="4" s="1"/>
  <c r="G104" i="4" s="1"/>
  <c r="H179" i="4"/>
  <c r="H102" i="4" s="1"/>
  <c r="H103" i="4" s="1"/>
  <c r="H104" i="4" s="1"/>
  <c r="G178" i="4"/>
  <c r="I53" i="4"/>
  <c r="I169" i="4"/>
  <c r="G21" i="2"/>
  <c r="G23" i="2"/>
  <c r="G19" i="2"/>
  <c r="K31" i="4"/>
  <c r="I16" i="2" s="1"/>
  <c r="I17" i="2" s="1"/>
  <c r="I18" i="2"/>
  <c r="I68" i="4"/>
  <c r="I73" i="4" s="1"/>
  <c r="I80" i="4" s="1"/>
  <c r="I175" i="4"/>
  <c r="J31" i="4"/>
  <c r="H16" i="2" s="1"/>
  <c r="H17" i="2" s="1"/>
  <c r="H18" i="2"/>
  <c r="F32" i="2"/>
  <c r="H178" i="4"/>
  <c r="I42" i="2"/>
  <c r="I44" i="2" s="1"/>
  <c r="G196" i="4"/>
  <c r="G84" i="4" s="1"/>
  <c r="G86" i="4" s="1"/>
  <c r="G88" i="4" s="1"/>
  <c r="G114" i="4"/>
  <c r="K199" i="4"/>
  <c r="H194" i="4"/>
  <c r="H113" i="4" s="1"/>
  <c r="K34" i="4"/>
  <c r="J32" i="4"/>
  <c r="I28" i="4"/>
  <c r="J26" i="4"/>
  <c r="J27" i="4" s="1"/>
  <c r="K26" i="4"/>
  <c r="K27" i="4" s="1"/>
  <c r="H19" i="2" l="1"/>
  <c r="H21" i="2"/>
  <c r="H23" i="2"/>
  <c r="I23" i="2"/>
  <c r="I19" i="2"/>
  <c r="I21" i="2"/>
  <c r="K68" i="4"/>
  <c r="K73" i="4" s="1"/>
  <c r="K80" i="4" s="1"/>
  <c r="K175" i="4"/>
  <c r="J68" i="4"/>
  <c r="J73" i="4" s="1"/>
  <c r="J80" i="4" s="1"/>
  <c r="J175" i="4"/>
  <c r="H116" i="4"/>
  <c r="K53" i="4"/>
  <c r="K169" i="4"/>
  <c r="K177" i="4" s="1"/>
  <c r="J53" i="4"/>
  <c r="J169" i="4"/>
  <c r="J177" i="4" s="1"/>
  <c r="J34" i="4"/>
  <c r="I177" i="4"/>
  <c r="I193" i="4"/>
  <c r="I195" i="4" s="1"/>
  <c r="I112" i="4" s="1"/>
  <c r="I96" i="4"/>
  <c r="I99" i="4" s="1"/>
  <c r="K32" i="4"/>
  <c r="G116" i="4"/>
  <c r="G118" i="4" s="1"/>
  <c r="F33" i="2"/>
  <c r="F26" i="2"/>
  <c r="E26" i="2"/>
  <c r="E30" i="2" s="1"/>
  <c r="E33" i="2"/>
  <c r="H114" i="4"/>
  <c r="G49" i="4"/>
  <c r="G120" i="4" s="1"/>
  <c r="H192" i="4"/>
  <c r="H196" i="4"/>
  <c r="I194" i="4"/>
  <c r="I113" i="4" s="1"/>
  <c r="K28" i="4"/>
  <c r="J28" i="4"/>
  <c r="K193" i="4" l="1"/>
  <c r="K194" i="4" s="1"/>
  <c r="K113" i="4" s="1"/>
  <c r="K96" i="4"/>
  <c r="K99" i="4" s="1"/>
  <c r="H32" i="2"/>
  <c r="J178" i="4"/>
  <c r="K179" i="4"/>
  <c r="K102" i="4" s="1"/>
  <c r="K103" i="4" s="1"/>
  <c r="K104" i="4" s="1"/>
  <c r="I114" i="4"/>
  <c r="I192" i="4"/>
  <c r="H84" i="4"/>
  <c r="H86" i="4" s="1"/>
  <c r="H88" i="4" s="1"/>
  <c r="F38" i="2"/>
  <c r="F30" i="2"/>
  <c r="I178" i="4"/>
  <c r="G32" i="2"/>
  <c r="J179" i="4"/>
  <c r="J102" i="4" s="1"/>
  <c r="J103" i="4" s="1"/>
  <c r="J104" i="4" s="1"/>
  <c r="I179" i="4"/>
  <c r="I102" i="4" s="1"/>
  <c r="I103" i="4" s="1"/>
  <c r="I104" i="4" s="1"/>
  <c r="I116" i="4" s="1"/>
  <c r="I32" i="2"/>
  <c r="I33" i="2" s="1"/>
  <c r="K178" i="4"/>
  <c r="J193" i="4"/>
  <c r="J195" i="4" s="1"/>
  <c r="J112" i="4" s="1"/>
  <c r="J96" i="4"/>
  <c r="J99" i="4" s="1"/>
  <c r="G55" i="4"/>
  <c r="H117" i="4"/>
  <c r="H118" i="4" s="1"/>
  <c r="K195" i="4"/>
  <c r="K112" i="4" s="1"/>
  <c r="K114" i="4" s="1"/>
  <c r="I196" i="4"/>
  <c r="B3" i="2"/>
  <c r="J194" i="4" l="1"/>
  <c r="J113" i="4" s="1"/>
  <c r="G33" i="2"/>
  <c r="H26" i="2"/>
  <c r="G26" i="2"/>
  <c r="H33" i="2"/>
  <c r="I26" i="2"/>
  <c r="J192" i="4"/>
  <c r="J196" i="4" s="1"/>
  <c r="I84" i="4"/>
  <c r="I86" i="4" s="1"/>
  <c r="I88" i="4" s="1"/>
  <c r="J114" i="4"/>
  <c r="J116" i="4" s="1"/>
  <c r="K116" i="4"/>
  <c r="H49" i="4"/>
  <c r="F14" i="4"/>
  <c r="F13" i="4"/>
  <c r="C2" i="4"/>
  <c r="K192" i="4" l="1"/>
  <c r="K196" i="4" s="1"/>
  <c r="K84" i="4" s="1"/>
  <c r="K86" i="4" s="1"/>
  <c r="K88" i="4" s="1"/>
  <c r="J84" i="4"/>
  <c r="J86" i="4" s="1"/>
  <c r="J88" i="4" s="1"/>
  <c r="H30" i="2"/>
  <c r="H38" i="2" s="1"/>
  <c r="I30" i="2"/>
  <c r="I38" i="2" s="1"/>
  <c r="C43" i="2" s="1"/>
  <c r="G30" i="2"/>
  <c r="G38" i="2" s="1"/>
  <c r="H55" i="4"/>
  <c r="H63" i="4" s="1"/>
  <c r="H90" i="4" s="1"/>
  <c r="I117" i="4"/>
  <c r="I118" i="4" s="1"/>
  <c r="H120" i="4"/>
  <c r="F162" i="4"/>
  <c r="F161" i="4"/>
  <c r="F142" i="4"/>
  <c r="F141" i="4"/>
  <c r="G14" i="4"/>
  <c r="G13" i="4"/>
  <c r="E13" i="4"/>
  <c r="E14" i="4"/>
  <c r="F188" i="4"/>
  <c r="F189" i="4"/>
  <c r="F44" i="4"/>
  <c r="F45" i="4"/>
  <c r="F123" i="4"/>
  <c r="F124" i="4"/>
  <c r="I49" i="4" l="1"/>
  <c r="G162" i="4"/>
  <c r="G161" i="4"/>
  <c r="E162" i="4"/>
  <c r="E161" i="4"/>
  <c r="E142" i="4"/>
  <c r="G142" i="4"/>
  <c r="E141" i="4"/>
  <c r="G141" i="4"/>
  <c r="G45" i="4"/>
  <c r="G124" i="4"/>
  <c r="H13" i="4"/>
  <c r="H14" i="4"/>
  <c r="G94" i="4"/>
  <c r="G189" i="4"/>
  <c r="G93" i="4"/>
  <c r="G44" i="4"/>
  <c r="G123" i="4"/>
  <c r="G188" i="4"/>
  <c r="E124" i="4"/>
  <c r="E45" i="4"/>
  <c r="E189" i="4"/>
  <c r="D14" i="4"/>
  <c r="E123" i="4"/>
  <c r="E44" i="4"/>
  <c r="E188" i="4"/>
  <c r="D13" i="4"/>
  <c r="J117" i="4" l="1"/>
  <c r="J118" i="4" s="1"/>
  <c r="I55" i="4"/>
  <c r="I63" i="4" s="1"/>
  <c r="I90" i="4" s="1"/>
  <c r="I120" i="4"/>
  <c r="H162" i="4"/>
  <c r="D161" i="4"/>
  <c r="H161" i="4"/>
  <c r="D162" i="4"/>
  <c r="H142" i="4"/>
  <c r="D142" i="4"/>
  <c r="H141" i="4"/>
  <c r="D141" i="4"/>
  <c r="I14" i="4"/>
  <c r="H94" i="4"/>
  <c r="H124" i="4"/>
  <c r="H45" i="4"/>
  <c r="H189" i="4"/>
  <c r="H93" i="4"/>
  <c r="H123" i="4"/>
  <c r="I13" i="4"/>
  <c r="H44" i="4"/>
  <c r="H188" i="4"/>
  <c r="D123" i="4"/>
  <c r="D44" i="4"/>
  <c r="D188" i="4"/>
  <c r="D124" i="4"/>
  <c r="D45" i="4"/>
  <c r="D189" i="4"/>
  <c r="O90" i="2"/>
  <c r="P90" i="2" s="1"/>
  <c r="Q90" i="2" s="1"/>
  <c r="G90" i="2"/>
  <c r="F90" i="2" s="1"/>
  <c r="E90" i="2" s="1"/>
  <c r="J49" i="4" l="1"/>
  <c r="I161" i="4"/>
  <c r="I162" i="4"/>
  <c r="J14" i="4"/>
  <c r="I142" i="4"/>
  <c r="I141" i="4"/>
  <c r="I124" i="4"/>
  <c r="I45" i="4"/>
  <c r="I189" i="4"/>
  <c r="I94" i="4"/>
  <c r="I123" i="4"/>
  <c r="J13" i="4"/>
  <c r="I93" i="4"/>
  <c r="I44" i="4"/>
  <c r="I188" i="4"/>
  <c r="H90" i="2"/>
  <c r="I90" i="2" s="1"/>
  <c r="N90" i="2"/>
  <c r="M90" i="2" s="1"/>
  <c r="K117" i="4" l="1"/>
  <c r="K118" i="4" s="1"/>
  <c r="J55" i="4"/>
  <c r="J63" i="4" s="1"/>
  <c r="J90" i="4" s="1"/>
  <c r="J120" i="4"/>
  <c r="J162" i="4"/>
  <c r="J161" i="4"/>
  <c r="J142" i="4"/>
  <c r="K14" i="4"/>
  <c r="J189" i="4"/>
  <c r="J124" i="4"/>
  <c r="J45" i="4"/>
  <c r="J94" i="4"/>
  <c r="J141" i="4"/>
  <c r="J123" i="4"/>
  <c r="J188" i="4"/>
  <c r="J44" i="4"/>
  <c r="K13" i="4"/>
  <c r="J93" i="4"/>
  <c r="Q130" i="2"/>
  <c r="O130" i="2"/>
  <c r="Q129" i="2"/>
  <c r="O129" i="2"/>
  <c r="Q128" i="2"/>
  <c r="O128" i="2"/>
  <c r="D130" i="2"/>
  <c r="E129" i="2"/>
  <c r="C129" i="2"/>
  <c r="E128" i="2"/>
  <c r="C128" i="2"/>
  <c r="K49" i="4" l="1"/>
  <c r="K55" i="4" s="1"/>
  <c r="K63" i="4" s="1"/>
  <c r="K90" i="4" s="1"/>
  <c r="K162" i="4"/>
  <c r="K161" i="4"/>
  <c r="K142" i="4"/>
  <c r="K94" i="4"/>
  <c r="K124" i="4"/>
  <c r="K45" i="4"/>
  <c r="K189" i="4"/>
  <c r="K141" i="4"/>
  <c r="K188" i="4"/>
  <c r="K44" i="4"/>
  <c r="K123" i="4"/>
  <c r="K93" i="4"/>
  <c r="P129" i="2"/>
  <c r="D128" i="2"/>
  <c r="P128" i="2"/>
  <c r="P130" i="2"/>
  <c r="D129" i="2"/>
  <c r="K120" i="4" l="1"/>
  <c r="B3" i="3"/>
  <c r="B35" i="2"/>
  <c r="C12" i="2" l="1"/>
  <c r="D37" i="2"/>
  <c r="D12" i="2"/>
  <c r="E12" i="2" s="1"/>
  <c r="E37" i="2" s="1"/>
  <c r="D5" i="2"/>
  <c r="D8" i="2" s="1"/>
  <c r="C18" i="2" l="1"/>
  <c r="C16" i="2"/>
  <c r="C14" i="2"/>
  <c r="C38" i="2"/>
  <c r="E38" i="2" s="1"/>
  <c r="F12" i="2"/>
  <c r="F37" i="2" s="1"/>
  <c r="G12" i="2" l="1"/>
  <c r="G37" i="2" s="1"/>
  <c r="H12" i="2" l="1"/>
  <c r="H37" i="2" s="1"/>
  <c r="I12" i="2" l="1"/>
  <c r="I37" i="2" s="1"/>
  <c r="B43" i="2" l="1"/>
  <c r="E44" i="2"/>
  <c r="B44" i="2"/>
  <c r="G99" i="2" l="1"/>
  <c r="F99" i="2" s="1"/>
  <c r="E99" i="2" s="1"/>
  <c r="O99" i="2"/>
  <c r="P99" i="2" s="1"/>
  <c r="Q99" i="2" s="1"/>
  <c r="N99" i="2" l="1"/>
  <c r="M99" i="2" s="1"/>
  <c r="H99" i="2"/>
  <c r="I99" i="2" s="1"/>
  <c r="H4" i="2" l="1"/>
  <c r="L93" i="2"/>
  <c r="D102" i="2"/>
  <c r="D93" i="2"/>
  <c r="L102" i="2"/>
  <c r="I51" i="2" l="1"/>
  <c r="C44" i="2"/>
  <c r="I45" i="2"/>
  <c r="I39" i="2"/>
  <c r="F39" i="2"/>
  <c r="G39" i="2"/>
  <c r="H39" i="2"/>
  <c r="E39" i="2"/>
  <c r="B129" i="2"/>
  <c r="D103" i="2"/>
  <c r="D104" i="2" s="1"/>
  <c r="D101" i="2"/>
  <c r="D100" i="2" s="1"/>
  <c r="B128" i="2"/>
  <c r="G128" i="2"/>
  <c r="L94" i="2"/>
  <c r="L95" i="2" s="1"/>
  <c r="L92" i="2"/>
  <c r="L91" i="2" s="1"/>
  <c r="D94" i="2"/>
  <c r="D95" i="2" s="1"/>
  <c r="D92" i="2"/>
  <c r="D91" i="2" s="1"/>
  <c r="G129" i="2"/>
  <c r="L101" i="2"/>
  <c r="L100" i="2" s="1"/>
  <c r="L103" i="2"/>
  <c r="L104" i="2" s="1"/>
  <c r="C51" i="2" l="1"/>
  <c r="C45" i="2"/>
  <c r="C46" i="2"/>
  <c r="G130" i="2"/>
  <c r="C47" i="2" l="1"/>
  <c r="I46" i="2"/>
  <c r="I47" i="2" s="1"/>
  <c r="I49" i="2" l="1"/>
  <c r="I50" i="2" s="1"/>
  <c r="D69" i="2"/>
  <c r="D71" i="2" s="1"/>
  <c r="C49" i="2"/>
  <c r="C50" i="2" s="1"/>
  <c r="C69" i="2"/>
  <c r="C71" i="2" s="1"/>
  <c r="C73" i="2" s="1"/>
  <c r="D73" i="2" l="1"/>
  <c r="D99" i="2" s="1"/>
  <c r="H7" i="2"/>
  <c r="H8" i="2" s="1"/>
  <c r="D84" i="2"/>
  <c r="D82" i="2"/>
  <c r="D78" i="2"/>
  <c r="L99" i="2" s="1"/>
  <c r="D77" i="2"/>
  <c r="D79" i="2"/>
  <c r="D83" i="2"/>
  <c r="C84" i="2"/>
  <c r="C78" i="2"/>
  <c r="L90" i="2" s="1"/>
  <c r="C83" i="2"/>
  <c r="C79" i="2"/>
  <c r="C77" i="2"/>
  <c r="C82" i="2"/>
  <c r="D90" i="2"/>
  <c r="G63" i="4" l="1"/>
  <c r="G90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Wall Street Prep</author>
  </authors>
  <commentList>
    <comment ref="I51" authorId="0" shapeId="0" xr:uid="{C5C9EC99-64D2-455A-82D0-6590D8BF49CA}">
      <text>
        <r>
          <rPr>
            <b/>
            <sz val="9"/>
            <color indexed="81"/>
            <rFont val="Tahoma"/>
            <family val="2"/>
          </rPr>
          <t>Wall Street Prep:</t>
        </r>
        <r>
          <rPr>
            <sz val="9"/>
            <color indexed="81"/>
            <rFont val="Tahoma"/>
            <family val="2"/>
          </rPr>
          <t xml:space="preserve">
Implied g = [r -FCF(t)/TV]/(1+FCF(t)/TV)</t>
        </r>
      </text>
    </comment>
  </commentList>
</comments>
</file>

<file path=xl/sharedStrings.xml><?xml version="1.0" encoding="utf-8"?>
<sst xmlns="http://schemas.openxmlformats.org/spreadsheetml/2006/main" count="316" uniqueCount="237">
  <si>
    <t>Company Name</t>
  </si>
  <si>
    <t>Ticker</t>
  </si>
  <si>
    <t>Last Historical Year</t>
  </si>
  <si>
    <t>ASSETS</t>
  </si>
  <si>
    <t>Current Assets</t>
  </si>
  <si>
    <t>Total Current Assets</t>
  </si>
  <si>
    <t>Non-Current Assets</t>
  </si>
  <si>
    <t>Total Non-Current Assets</t>
  </si>
  <si>
    <t>Total Assets</t>
  </si>
  <si>
    <t>LIABILITIES AND EQUITY</t>
  </si>
  <si>
    <t>Current Liabilities</t>
  </si>
  <si>
    <t>Total Current Liabilities</t>
  </si>
  <si>
    <t>Non-Current Liabilities</t>
  </si>
  <si>
    <t>Total Non-Current Liabilities</t>
  </si>
  <si>
    <t>Total Liabilities</t>
  </si>
  <si>
    <t>Equity</t>
  </si>
  <si>
    <t>Total Equity</t>
  </si>
  <si>
    <t>Total Liabilites &amp; Equity</t>
  </si>
  <si>
    <t>Balance Check</t>
  </si>
  <si>
    <t>Cash Generated from Operations</t>
  </si>
  <si>
    <t>CASH FLOWS FROM INVESTING ACTIVITIES</t>
  </si>
  <si>
    <t>CASH FLOWS FROM FINANCING ACTIVITIES</t>
  </si>
  <si>
    <t>Reconciliation Check vs BS Cash</t>
  </si>
  <si>
    <t>Depreciation &amp; amortization</t>
  </si>
  <si>
    <t>EBITDA</t>
  </si>
  <si>
    <t>Revenue growth</t>
  </si>
  <si>
    <t>Tax rate</t>
  </si>
  <si>
    <t>Growth Rates &amp; Margins</t>
  </si>
  <si>
    <t>Latest Closing Share Price</t>
  </si>
  <si>
    <t>Latest Closing Share Price Date</t>
  </si>
  <si>
    <t>Shares outstanding</t>
  </si>
  <si>
    <t>PROPERTY, PLANT &amp; EQUIPMENT</t>
  </si>
  <si>
    <t>Beginning of period</t>
  </si>
  <si>
    <t>Plus: Capital expenditures</t>
  </si>
  <si>
    <t>Less: Depreciation</t>
  </si>
  <si>
    <t>End of period</t>
  </si>
  <si>
    <t>IMPUTING TOTAL DEPRECIATION &amp; AMORTIZATION</t>
  </si>
  <si>
    <t>D&amp;A not related to PP&amp;E</t>
  </si>
  <si>
    <t>as % of revenue</t>
  </si>
  <si>
    <t xml:space="preserve">Depreciation &amp; Amortization - Total </t>
  </si>
  <si>
    <t>% growth</t>
  </si>
  <si>
    <t>INCOME STATEMENT</t>
  </si>
  <si>
    <t xml:space="preserve">Fiscal year  </t>
  </si>
  <si>
    <t>Fiscal year end date</t>
  </si>
  <si>
    <t>BALANCE SHEET</t>
  </si>
  <si>
    <t>CASH FLOW STATEMENT</t>
  </si>
  <si>
    <t>Discounted Cash Flow Valuation</t>
  </si>
  <si>
    <t>Most recent fiscal year end</t>
  </si>
  <si>
    <t>Discount rate (WACC)</t>
  </si>
  <si>
    <t>Link from WACC</t>
  </si>
  <si>
    <t>End of first fiscal year</t>
  </si>
  <si>
    <t>Share price (Public Co)</t>
  </si>
  <si>
    <t>Most recent quarter end date</t>
  </si>
  <si>
    <t>Share price date</t>
  </si>
  <si>
    <t xml:space="preserve">Valuation date </t>
  </si>
  <si>
    <t>Portion of First Year Cash Flows</t>
  </si>
  <si>
    <t>Unlevered Free Cash Flows</t>
  </si>
  <si>
    <t>LTM</t>
  </si>
  <si>
    <t>Actual</t>
  </si>
  <si>
    <t>Forecasts</t>
  </si>
  <si>
    <t>Fiscal year ended</t>
  </si>
  <si>
    <t>Revenue</t>
  </si>
  <si>
    <t>% margin</t>
  </si>
  <si>
    <t>EBIT</t>
  </si>
  <si>
    <t>Tax on EBIT</t>
  </si>
  <si>
    <t>NOPAT (aka EBIAT)</t>
  </si>
  <si>
    <t>Changes in net working capital</t>
  </si>
  <si>
    <t>Capital expenditures</t>
  </si>
  <si>
    <t>Unlevered free cash flows (UFCF)</t>
  </si>
  <si>
    <t>Net working capital (WC Assets - WC liabilities)</t>
  </si>
  <si>
    <t>Val date</t>
  </si>
  <si>
    <t xml:space="preserve">Yr 1 - Stub </t>
  </si>
  <si>
    <t>Year 2</t>
  </si>
  <si>
    <t>Year 3</t>
  </si>
  <si>
    <t>Year 4</t>
  </si>
  <si>
    <t>Year 5</t>
  </si>
  <si>
    <t>Date for discounting cash flows</t>
  </si>
  <si>
    <t>Unlevered free cash flows (UFCF) stub adjusted</t>
  </si>
  <si>
    <t>Present value of of unlevered free cash flows</t>
  </si>
  <si>
    <t>Terminal value - growth in perpetuity approach</t>
  </si>
  <si>
    <t>Terminal value - EBITDA multiple approach</t>
  </si>
  <si>
    <t>Long term growth rate</t>
  </si>
  <si>
    <t>Terminal year EBITDA</t>
  </si>
  <si>
    <t>EBITDA multiple</t>
  </si>
  <si>
    <t>Present value of terminal value</t>
  </si>
  <si>
    <t>Present value of stage 1 cash flows</t>
  </si>
  <si>
    <t>Total enterprise value (TEV)</t>
  </si>
  <si>
    <t>Enterprise value (stage 1 + 2)</t>
  </si>
  <si>
    <t>Terminal value as % of TEV</t>
  </si>
  <si>
    <t>Stage 1 cash flows as % of TEV</t>
  </si>
  <si>
    <t>Cash flows as % of TEV</t>
  </si>
  <si>
    <t>Implied TV exit EBITDA multiple</t>
  </si>
  <si>
    <t>Implied terminal growth rate</t>
  </si>
  <si>
    <t>Net debt</t>
  </si>
  <si>
    <t>Source doc</t>
  </si>
  <si>
    <t>Source date</t>
  </si>
  <si>
    <t>Date</t>
  </si>
  <si>
    <t>Shares</t>
  </si>
  <si>
    <t>Gross debt and equivalents</t>
  </si>
  <si>
    <t>Basic shares</t>
  </si>
  <si>
    <t>Debt</t>
  </si>
  <si>
    <t>Restricted stock / RSUs</t>
  </si>
  <si>
    <t>Convertible debt</t>
  </si>
  <si>
    <t>Options / warrants</t>
  </si>
  <si>
    <t>Preferred stock</t>
  </si>
  <si>
    <t>Noncontrolling (minority) interests</t>
  </si>
  <si>
    <t>Convertible preferred stock</t>
  </si>
  <si>
    <t>Nonoperating assets</t>
  </si>
  <si>
    <t>Net diluted shares outstanding</t>
  </si>
  <si>
    <t xml:space="preserve">Cash </t>
  </si>
  <si>
    <t xml:space="preserve">Equity investments </t>
  </si>
  <si>
    <t>Valuation</t>
  </si>
  <si>
    <t>Perpetuity</t>
  </si>
  <si>
    <t>Enterprise value</t>
  </si>
  <si>
    <t xml:space="preserve">Equity value </t>
  </si>
  <si>
    <t>Equity value per share</t>
  </si>
  <si>
    <t>Last twelve months (LTM)</t>
  </si>
  <si>
    <t>EV / Revenue</t>
  </si>
  <si>
    <t xml:space="preserve">EV / EBITDA </t>
  </si>
  <si>
    <t>EV / EBIT</t>
  </si>
  <si>
    <t>Year 1</t>
  </si>
  <si>
    <t>Outputs</t>
  </si>
  <si>
    <t>LTM EBITDA multiple</t>
  </si>
  <si>
    <t>Long term growth rate (g):</t>
  </si>
  <si>
    <t>WACC:</t>
  </si>
  <si>
    <t xml:space="preserve">Data </t>
  </si>
  <si>
    <t>Tables</t>
  </si>
  <si>
    <t>Exit EBITDA Multiple</t>
  </si>
  <si>
    <t>Equity value range</t>
  </si>
  <si>
    <t>Football field</t>
  </si>
  <si>
    <t>Low</t>
  </si>
  <si>
    <t>Diff.</t>
  </si>
  <si>
    <t>High</t>
  </si>
  <si>
    <t>52 Week Market High/Low</t>
  </si>
  <si>
    <t>WACC Buildup</t>
  </si>
  <si>
    <t>Cost of capital assumptions</t>
  </si>
  <si>
    <t>Cost of debt</t>
  </si>
  <si>
    <t>Cost of debt (after tax)</t>
  </si>
  <si>
    <t xml:space="preserve">Risk free rate </t>
  </si>
  <si>
    <t xml:space="preserve">Beta </t>
  </si>
  <si>
    <t>Market risk premium</t>
  </si>
  <si>
    <t>Cost of equity</t>
  </si>
  <si>
    <t>Capital weights (capital structure)</t>
  </si>
  <si>
    <t xml:space="preserve">Target </t>
  </si>
  <si>
    <t xml:space="preserve">Current </t>
  </si>
  <si>
    <t>(override)</t>
  </si>
  <si>
    <t>% of total</t>
  </si>
  <si>
    <t>Cost of capital (WACC)</t>
  </si>
  <si>
    <t>CapEx % of revenue</t>
  </si>
  <si>
    <t>EBITDA margin %</t>
  </si>
  <si>
    <t>Implied Share Price</t>
  </si>
  <si>
    <t>Upside / (Downside)</t>
  </si>
  <si>
    <t>Changes in Working Capital</t>
  </si>
  <si>
    <t>Net change in cash and cash equivalents</t>
  </si>
  <si>
    <t>Cash and cash equivalents at 1 January</t>
  </si>
  <si>
    <t>Cash and cash equivalents at 31 December</t>
  </si>
  <si>
    <t>WORKING CAPITAL SCHEDULE</t>
  </si>
  <si>
    <t>Operating Working Capital Assets</t>
  </si>
  <si>
    <t>Total Operating WC Assets</t>
  </si>
  <si>
    <t>Net Working Capital</t>
  </si>
  <si>
    <t>NWC as % of revenue</t>
  </si>
  <si>
    <t>Change in NWC (− = cash used)</t>
  </si>
  <si>
    <t>Operating Working Capital Liabilities</t>
  </si>
  <si>
    <t>Total Operating WC Liabilities</t>
  </si>
  <si>
    <t>EQUITY &amp; NCI ROLL-FORWARD</t>
  </si>
  <si>
    <t>Retained Earnings</t>
  </si>
  <si>
    <t>End of period (= BS)</t>
  </si>
  <si>
    <t>Debt securities (optional cash asset)</t>
  </si>
  <si>
    <t>Operating cash flow before working capital</t>
  </si>
  <si>
    <t>Net cash flow from financing activities</t>
  </si>
  <si>
    <t>Net cash flows used in investing activities</t>
  </si>
  <si>
    <t>Net cash flows from operating activities</t>
  </si>
  <si>
    <t>PP&amp;E depreciation as % of revenue</t>
  </si>
  <si>
    <t>Midyear adjustment?</t>
  </si>
  <si>
    <t>WC DRIVERS (DAYS)</t>
  </si>
  <si>
    <t>DIO (days, off COGS)</t>
  </si>
  <si>
    <t>DSO (days, off revenue)</t>
  </si>
  <si>
    <t>DPO (days, off COGS)</t>
  </si>
  <si>
    <t>Paid to purchase property, plant and equipment</t>
  </si>
  <si>
    <t>Dividend payout ratio % of Net Income</t>
  </si>
  <si>
    <t>Net income</t>
  </si>
  <si>
    <t>Total</t>
  </si>
  <si>
    <t>Check vs IS (row 16)</t>
  </si>
  <si>
    <t>REVENUE BUILD BY SEGMENT (EGP)</t>
  </si>
  <si>
    <t>Net change in working capital</t>
  </si>
  <si>
    <t>Inventories</t>
  </si>
  <si>
    <t>Services</t>
  </si>
  <si>
    <t>x</t>
  </si>
  <si>
    <t>Apple Inc.</t>
  </si>
  <si>
    <t>AAPL</t>
  </si>
  <si>
    <t>Net sales</t>
  </si>
  <si>
    <t>Cost of sales</t>
  </si>
  <si>
    <t>Gross margin</t>
  </si>
  <si>
    <t>Research and development</t>
  </si>
  <si>
    <t>Selling, general and administrative</t>
  </si>
  <si>
    <t>Other income/(expense), net</t>
  </si>
  <si>
    <t>Provision for income taxes</t>
  </si>
  <si>
    <t>Income before provision for income taxes</t>
  </si>
  <si>
    <t>Interest and dividend income</t>
  </si>
  <si>
    <t>Interest expense</t>
  </si>
  <si>
    <t>Other income/(expense), net (Other)</t>
  </si>
  <si>
    <t>Operating profit (EBIT)</t>
  </si>
  <si>
    <t>Stock based compensation</t>
  </si>
  <si>
    <t>Adjusted EBITDA</t>
  </si>
  <si>
    <t>All amounts are shown in USD, except per-share data, ratios, and shares outstanding</t>
  </si>
  <si>
    <t>Gross profit margin</t>
  </si>
  <si>
    <t>R&amp;D % of sales</t>
  </si>
  <si>
    <t>SG&amp;A % of sales</t>
  </si>
  <si>
    <t>Cash and cash equivalents</t>
  </si>
  <si>
    <t>Marketable securities</t>
  </si>
  <si>
    <t>Accounts receivable, net</t>
  </si>
  <si>
    <t>Vendor non-trade receivables</t>
  </si>
  <si>
    <t>Other current assets</t>
  </si>
  <si>
    <t>Property, plant and equipment, net</t>
  </si>
  <si>
    <t>Other non-current assets</t>
  </si>
  <si>
    <t>Accounts payable</t>
  </si>
  <si>
    <t>Other current liabilities</t>
  </si>
  <si>
    <t>Deferred revenue</t>
  </si>
  <si>
    <t>Commercial paper</t>
  </si>
  <si>
    <t>Term debt</t>
  </si>
  <si>
    <t>Other non-current liabilities</t>
  </si>
  <si>
    <t>Accumulated deficit</t>
  </si>
  <si>
    <t>Accumulated other comprehensive loss</t>
  </si>
  <si>
    <t>Common stock and additional paid-in capital</t>
  </si>
  <si>
    <t>iPhone</t>
  </si>
  <si>
    <t>Mac</t>
  </si>
  <si>
    <t>iPad</t>
  </si>
  <si>
    <t>Wearables, Home and Accessories</t>
  </si>
  <si>
    <t>DSO "Vendor" (days, off revenue)</t>
  </si>
  <si>
    <t>Plus: Net income</t>
  </si>
  <si>
    <t>Less: Dividends</t>
  </si>
  <si>
    <t>Less: Repurchases</t>
  </si>
  <si>
    <t>Depreciation and amortization</t>
  </si>
  <si>
    <t>Long term debt</t>
  </si>
  <si>
    <t>Share repurchases</t>
  </si>
  <si>
    <t>Common dividends</t>
  </si>
  <si>
    <t>Repurchases % of 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</si>
</sst>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43" formatCode="_-* #,##0.00_-;\-* #,##0.00_-;_-* &quot;-&quot;??_-;_-@_-"/>
    <numFmt numFmtId="164" formatCode="&quot;$&quot;#,##0.00_);\(&quot;$&quot;#,##0.00\)"/>
    <numFmt numFmtId="165" formatCode="_(* #,##0_);_(* \(#,##0\);_(* &quot;-&quot;_);_(@_)"/>
    <numFmt numFmtId="166" formatCode="&quot;FY&quot;yy"/>
    <numFmt numFmtId="167" formatCode="0.0%"/>
    <numFmt numFmtId="168" formatCode="_(* #,##0.00_);_(* \(#,##0.00\);_(* \-??_);_(@_)"/>
    <numFmt numFmtId="169" formatCode="_(* #,##0_);_(* \(#,##0\);_(* \-??_);_(@_)"/>
    <numFmt numFmtId="170" formatCode="_(* #,##0_);_(* \(#,##0\);_(* \-_);_(@_)"/>
    <numFmt numFmtId="171" formatCode="_(* #,##0_);_(* \(#,##0\);_(* &quot;-&quot;??_);_(@_)"/>
    <numFmt numFmtId="172" formatCode="#,##0.000_);\(#,##0.000\)"/>
    <numFmt numFmtId="173" formatCode="m/d/yy;@"/>
    <numFmt numFmtId="174" formatCode="0\A;[Red]0\A"/>
    <numFmt numFmtId="175" formatCode="0\P_);\(0\P\)"/>
    <numFmt numFmtId="176" formatCode="0.0%_);\(0.0%\);@_)"/>
    <numFmt numFmtId="177" formatCode="_(#,##0.0%_);\(#,##0.0%\);_(&quot;–&quot;_)_%;_(@_)_%"/>
    <numFmt numFmtId="178" formatCode="0000\A"/>
    <numFmt numFmtId="179" formatCode="0000\P"/>
    <numFmt numFmtId="180" formatCode="#,##0_);\(#,##0\);@_)"/>
    <numFmt numFmtId="181" formatCode="0.0\x_);\(0.0\x\);@_)"/>
    <numFmt numFmtId="182" formatCode="0.000%_);\(0.000%\);@_)"/>
    <numFmt numFmtId="183" formatCode="#,##0.000_);\(#,##0.000\);@_)"/>
    <numFmt numFmtId="184" formatCode="_([$$]#,##0_)_%;\([$$]#,##0\)_%;_(&quot;–&quot;_)_%;_(@_)_%"/>
    <numFmt numFmtId="185" formatCode="&quot;$&quot;#,##0.00_);\(&quot;$&quot;#,##0.00\);@_)"/>
    <numFmt numFmtId="186" formatCode="_(0.0\x_)_';_(\(0.0\x\)_';_(&quot;–&quot;_)_%;_(@_)_%"/>
    <numFmt numFmtId="187" formatCode="_(0.0_)_'_x;_(\(0.0\)_';_(&quot;–&quot;_)_%;_(@_)_%"/>
    <numFmt numFmtId="188" formatCode="#,##0.00_);\(#,##0.00\);\-_);@_)"/>
    <numFmt numFmtId="189" formatCode="#,##0.0_);\(#,##0.0\);\-_);@_)"/>
    <numFmt numFmtId="190" formatCode="_(#,##0.00%_);\(#,##0.00%\);_(&quot;–&quot;_)_%;_(@_)_%"/>
    <numFmt numFmtId="191" formatCode="_(* #,##0.0_);_(* \(#,##0.0\);_(* \-??_);_(@_)"/>
    <numFmt numFmtId="192" formatCode="d/m/yy;@"/>
    <numFmt numFmtId="193" formatCode="[$-409]mmmmm/yy;@"/>
    <numFmt numFmtId="194" formatCode="_-[$$-409]* #,##0.00_ ;_-[$$-409]* \-#,##0.00\ ;_-[$$-409]* &quot;-&quot;??_ ;_-@_ "/>
  </numFmts>
  <fonts count="4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</font>
    <font>
      <i/>
      <sz val="11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10"/>
      <name val="Times New Roman"/>
      <family val="1"/>
    </font>
    <font>
      <sz val="11"/>
      <color rgb="FF008000"/>
      <name val="Calibri"/>
      <family val="2"/>
      <scheme val="minor"/>
    </font>
    <font>
      <u/>
      <sz val="11"/>
      <color theme="1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 val="singleAccounting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</font>
    <font>
      <sz val="11"/>
      <color theme="4" tint="-0.249977111117893"/>
      <name val="Calibri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sz val="11"/>
      <color rgb="FF0000FF"/>
      <name val="Calibri"/>
      <family val="2"/>
    </font>
    <font>
      <b/>
      <i/>
      <sz val="11"/>
      <color theme="1"/>
      <name val="Calibri"/>
      <family val="2"/>
    </font>
    <font>
      <i/>
      <sz val="11"/>
      <name val="Calibri"/>
      <family val="2"/>
    </font>
    <font>
      <sz val="11"/>
      <color theme="4" tint="-0.249977111117893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F2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8" fontId="5" fillId="0" borderId="0"/>
    <xf numFmtId="9" fontId="5" fillId="0" borderId="0"/>
    <xf numFmtId="0" fontId="4" fillId="0" borderId="0"/>
    <xf numFmtId="37" fontId="20" fillId="0" borderId="0"/>
    <xf numFmtId="0" fontId="22" fillId="0" borderId="0" applyNumberFormat="0" applyFill="0" applyBorder="0" applyAlignment="0" applyProtection="0"/>
    <xf numFmtId="193" fontId="34" fillId="0" borderId="0"/>
  </cellStyleXfs>
  <cellXfs count="274">
    <xf numFmtId="0" fontId="0" fillId="0" borderId="0" xfId="0"/>
    <xf numFmtId="167" fontId="5" fillId="0" borderId="0" xfId="2" applyNumberFormat="1"/>
    <xf numFmtId="0" fontId="6" fillId="0" borderId="4" xfId="0" applyFont="1" applyBorder="1"/>
    <xf numFmtId="0" fontId="7" fillId="0" borderId="0" xfId="0" applyFont="1"/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9" fillId="0" borderId="4" xfId="0" applyFont="1" applyBorder="1"/>
    <xf numFmtId="0" fontId="9" fillId="0" borderId="5" xfId="0" applyFont="1" applyBorder="1"/>
    <xf numFmtId="170" fontId="13" fillId="0" borderId="0" xfId="1" applyNumberFormat="1" applyFont="1"/>
    <xf numFmtId="0" fontId="14" fillId="0" borderId="1" xfId="0" applyFont="1" applyBorder="1"/>
    <xf numFmtId="169" fontId="14" fillId="0" borderId="1" xfId="1" applyNumberFormat="1" applyFont="1" applyBorder="1"/>
    <xf numFmtId="0" fontId="14" fillId="0" borderId="0" xfId="0" applyFont="1"/>
    <xf numFmtId="169" fontId="14" fillId="0" borderId="0" xfId="1" applyNumberFormat="1" applyFont="1"/>
    <xf numFmtId="167" fontId="10" fillId="0" borderId="0" xfId="2" applyNumberFormat="1" applyFont="1"/>
    <xf numFmtId="0" fontId="14" fillId="0" borderId="3" xfId="0" applyFont="1" applyBorder="1"/>
    <xf numFmtId="0" fontId="9" fillId="0" borderId="0" xfId="0" applyFont="1" applyAlignment="1">
      <alignment horizontal="left" indent="1"/>
    </xf>
    <xf numFmtId="169" fontId="9" fillId="0" borderId="0" xfId="0" applyNumberFormat="1" applyFont="1"/>
    <xf numFmtId="169" fontId="9" fillId="0" borderId="0" xfId="1" applyNumberFormat="1" applyFont="1"/>
    <xf numFmtId="0" fontId="16" fillId="0" borderId="2" xfId="0" applyFont="1" applyBorder="1"/>
    <xf numFmtId="169" fontId="14" fillId="0" borderId="2" xfId="1" applyNumberFormat="1" applyFont="1" applyBorder="1"/>
    <xf numFmtId="167" fontId="9" fillId="0" borderId="0" xfId="2" applyNumberFormat="1" applyFont="1"/>
    <xf numFmtId="1" fontId="9" fillId="0" borderId="0" xfId="2" applyNumberFormat="1" applyFont="1"/>
    <xf numFmtId="0" fontId="12" fillId="0" borderId="0" xfId="0" applyFont="1" applyAlignment="1">
      <alignment horizontal="left" indent="1"/>
    </xf>
    <xf numFmtId="169" fontId="14" fillId="0" borderId="0" xfId="0" applyNumberFormat="1" applyFont="1"/>
    <xf numFmtId="0" fontId="14" fillId="0" borderId="1" xfId="0" applyFont="1" applyBorder="1" applyAlignment="1">
      <alignment horizontal="left"/>
    </xf>
    <xf numFmtId="170" fontId="9" fillId="0" borderId="0" xfId="0" applyNumberFormat="1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indent="2"/>
    </xf>
    <xf numFmtId="170" fontId="15" fillId="0" borderId="3" xfId="1" applyNumberFormat="1" applyFont="1" applyBorder="1"/>
    <xf numFmtId="0" fontId="17" fillId="0" borderId="0" xfId="0" applyFont="1"/>
    <xf numFmtId="0" fontId="11" fillId="0" borderId="0" xfId="0" applyFont="1"/>
    <xf numFmtId="0" fontId="17" fillId="0" borderId="0" xfId="0" applyFont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0" fontId="12" fillId="0" borderId="0" xfId="0" applyFont="1"/>
    <xf numFmtId="170" fontId="12" fillId="0" borderId="0" xfId="0" applyNumberFormat="1" applyFont="1" applyAlignment="1">
      <alignment horizontal="center" vertical="center"/>
    </xf>
    <xf numFmtId="10" fontId="9" fillId="0" borderId="0" xfId="2" applyNumberFormat="1" applyFont="1"/>
    <xf numFmtId="0" fontId="14" fillId="0" borderId="3" xfId="0" applyFont="1" applyBorder="1" applyAlignment="1">
      <alignment horizontal="left"/>
    </xf>
    <xf numFmtId="0" fontId="6" fillId="0" borderId="6" xfId="0" applyFont="1" applyBorder="1"/>
    <xf numFmtId="0" fontId="0" fillId="0" borderId="6" xfId="0" applyBorder="1"/>
    <xf numFmtId="174" fontId="6" fillId="0" borderId="0" xfId="0" applyNumberFormat="1" applyFont="1"/>
    <xf numFmtId="175" fontId="6" fillId="0" borderId="0" xfId="0" applyNumberFormat="1" applyFont="1"/>
    <xf numFmtId="0" fontId="18" fillId="0" borderId="6" xfId="0" applyFont="1" applyBorder="1"/>
    <xf numFmtId="173" fontId="18" fillId="0" borderId="2" xfId="0" applyNumberFormat="1" applyFont="1" applyBorder="1"/>
    <xf numFmtId="0" fontId="15" fillId="0" borderId="0" xfId="0" applyFont="1"/>
    <xf numFmtId="173" fontId="18" fillId="0" borderId="6" xfId="0" applyNumberFormat="1" applyFont="1" applyBorder="1"/>
    <xf numFmtId="166" fontId="15" fillId="0" borderId="0" xfId="0" applyNumberFormat="1" applyFont="1" applyAlignment="1">
      <alignment horizontal="center" vertical="center"/>
    </xf>
    <xf numFmtId="0" fontId="0" fillId="0" borderId="3" xfId="0" applyBorder="1"/>
    <xf numFmtId="174" fontId="6" fillId="0" borderId="3" xfId="0" applyNumberFormat="1" applyFont="1" applyBorder="1"/>
    <xf numFmtId="175" fontId="6" fillId="0" borderId="3" xfId="0" applyNumberFormat="1" applyFont="1" applyBorder="1"/>
    <xf numFmtId="0" fontId="4" fillId="0" borderId="0" xfId="3"/>
    <xf numFmtId="0" fontId="6" fillId="0" borderId="4" xfId="3" applyFont="1" applyBorder="1"/>
    <xf numFmtId="0" fontId="4" fillId="0" borderId="4" xfId="3" applyBorder="1"/>
    <xf numFmtId="0" fontId="19" fillId="0" borderId="5" xfId="3" applyFont="1" applyBorder="1"/>
    <xf numFmtId="14" fontId="8" fillId="0" borderId="0" xfId="4" applyNumberFormat="1" applyFont="1" applyAlignment="1">
      <alignment horizontal="right"/>
    </xf>
    <xf numFmtId="176" fontId="21" fillId="0" borderId="0" xfId="3" applyNumberFormat="1" applyFont="1"/>
    <xf numFmtId="14" fontId="7" fillId="0" borderId="0" xfId="4" applyNumberFormat="1" applyFont="1" applyAlignment="1">
      <alignment horizontal="right"/>
    </xf>
    <xf numFmtId="14" fontId="8" fillId="0" borderId="0" xfId="3" applyNumberFormat="1" applyFont="1" applyAlignment="1">
      <alignment horizontal="right"/>
    </xf>
    <xf numFmtId="0" fontId="22" fillId="0" borderId="0" xfId="5" applyBorder="1"/>
    <xf numFmtId="177" fontId="7" fillId="0" borderId="0" xfId="3" applyNumberFormat="1" applyFont="1"/>
    <xf numFmtId="164" fontId="21" fillId="0" borderId="0" xfId="3" applyNumberFormat="1" applyFont="1" applyAlignment="1">
      <alignment horizontal="right"/>
    </xf>
    <xf numFmtId="0" fontId="6" fillId="0" borderId="7" xfId="3" applyFont="1" applyBorder="1"/>
    <xf numFmtId="0" fontId="4" fillId="0" borderId="7" xfId="3" applyBorder="1"/>
    <xf numFmtId="164" fontId="21" fillId="0" borderId="7" xfId="3" applyNumberFormat="1" applyFont="1" applyBorder="1" applyAlignment="1">
      <alignment horizontal="right"/>
    </xf>
    <xf numFmtId="0" fontId="23" fillId="0" borderId="0" xfId="3" applyFont="1" applyAlignment="1">
      <alignment horizontal="centerContinuous"/>
    </xf>
    <xf numFmtId="0" fontId="24" fillId="0" borderId="8" xfId="3" applyFont="1" applyBorder="1" applyAlignment="1">
      <alignment horizontal="centerContinuous"/>
    </xf>
    <xf numFmtId="0" fontId="18" fillId="0" borderId="0" xfId="3" applyFont="1"/>
    <xf numFmtId="14" fontId="4" fillId="0" borderId="0" xfId="3" applyNumberFormat="1" applyAlignment="1">
      <alignment horizontal="center"/>
    </xf>
    <xf numFmtId="180" fontId="7" fillId="0" borderId="0" xfId="3" applyNumberFormat="1" applyFont="1"/>
    <xf numFmtId="180" fontId="21" fillId="0" borderId="0" xfId="3" applyNumberFormat="1" applyFont="1"/>
    <xf numFmtId="0" fontId="4" fillId="0" borderId="0" xfId="3" applyAlignment="1">
      <alignment horizontal="left" indent="1"/>
    </xf>
    <xf numFmtId="0" fontId="6" fillId="0" borderId="0" xfId="3" applyFont="1"/>
    <xf numFmtId="180" fontId="25" fillId="0" borderId="0" xfId="3" applyNumberFormat="1" applyFont="1"/>
    <xf numFmtId="180" fontId="4" fillId="0" borderId="0" xfId="3" applyNumberFormat="1"/>
    <xf numFmtId="37" fontId="7" fillId="0" borderId="0" xfId="3" applyNumberFormat="1" applyFont="1"/>
    <xf numFmtId="180" fontId="21" fillId="0" borderId="7" xfId="3" applyNumberFormat="1" applyFont="1" applyBorder="1"/>
    <xf numFmtId="180" fontId="24" fillId="0" borderId="7" xfId="3" applyNumberFormat="1" applyFont="1" applyBorder="1" applyAlignment="1">
      <alignment horizontal="center"/>
    </xf>
    <xf numFmtId="180" fontId="24" fillId="0" borderId="0" xfId="3" applyNumberFormat="1" applyFont="1"/>
    <xf numFmtId="14" fontId="4" fillId="0" borderId="0" xfId="3" applyNumberFormat="1"/>
    <xf numFmtId="177" fontId="4" fillId="0" borderId="0" xfId="3" applyNumberFormat="1" applyAlignment="1">
      <alignment horizontal="center"/>
    </xf>
    <xf numFmtId="180" fontId="7" fillId="0" borderId="7" xfId="3" applyNumberFormat="1" applyFont="1" applyBorder="1"/>
    <xf numFmtId="0" fontId="25" fillId="0" borderId="0" xfId="3" applyFont="1"/>
    <xf numFmtId="177" fontId="8" fillId="0" borderId="0" xfId="3" applyNumberFormat="1" applyFont="1"/>
    <xf numFmtId="179" fontId="4" fillId="0" borderId="0" xfId="3" applyNumberFormat="1"/>
    <xf numFmtId="181" fontId="8" fillId="0" borderId="0" xfId="3" applyNumberFormat="1" applyFont="1"/>
    <xf numFmtId="180" fontId="6" fillId="0" borderId="0" xfId="3" applyNumberFormat="1" applyFont="1"/>
    <xf numFmtId="0" fontId="18" fillId="0" borderId="0" xfId="3" applyFont="1" applyAlignment="1">
      <alignment horizontal="left"/>
    </xf>
    <xf numFmtId="177" fontId="18" fillId="0" borderId="0" xfId="3" applyNumberFormat="1" applyFont="1"/>
    <xf numFmtId="182" fontId="18" fillId="0" borderId="0" xfId="3" applyNumberFormat="1" applyFont="1"/>
    <xf numFmtId="177" fontId="4" fillId="0" borderId="0" xfId="3" applyNumberFormat="1"/>
    <xf numFmtId="181" fontId="18" fillId="0" borderId="0" xfId="3" applyNumberFormat="1" applyFont="1"/>
    <xf numFmtId="176" fontId="4" fillId="0" borderId="0" xfId="3" quotePrefix="1" applyNumberFormat="1"/>
    <xf numFmtId="0" fontId="4" fillId="0" borderId="0" xfId="3" applyAlignment="1">
      <alignment horizontal="left"/>
    </xf>
    <xf numFmtId="0" fontId="26" fillId="0" borderId="0" xfId="3" applyFont="1"/>
    <xf numFmtId="0" fontId="26" fillId="0" borderId="0" xfId="3" applyFont="1" applyAlignment="1">
      <alignment horizontal="right"/>
    </xf>
    <xf numFmtId="0" fontId="26" fillId="0" borderId="0" xfId="3" applyFont="1" applyAlignment="1">
      <alignment horizontal="left" vertical="center"/>
    </xf>
    <xf numFmtId="14" fontId="7" fillId="0" borderId="0" xfId="3" applyNumberFormat="1" applyFont="1"/>
    <xf numFmtId="183" fontId="8" fillId="0" borderId="0" xfId="3" applyNumberFormat="1" applyFont="1"/>
    <xf numFmtId="172" fontId="8" fillId="0" borderId="0" xfId="3" applyNumberFormat="1" applyFont="1"/>
    <xf numFmtId="37" fontId="21" fillId="0" borderId="0" xfId="3" applyNumberFormat="1" applyFont="1"/>
    <xf numFmtId="0" fontId="7" fillId="0" borderId="0" xfId="3" applyFont="1" applyAlignment="1">
      <alignment horizontal="left" indent="1"/>
    </xf>
    <xf numFmtId="0" fontId="6" fillId="0" borderId="0" xfId="3" applyFont="1" applyAlignment="1">
      <alignment horizontal="left"/>
    </xf>
    <xf numFmtId="184" fontId="8" fillId="0" borderId="0" xfId="3" applyNumberFormat="1" applyFont="1"/>
    <xf numFmtId="0" fontId="4" fillId="0" borderId="0" xfId="3" applyAlignment="1">
      <alignment horizontal="left" vertical="center" indent="1"/>
    </xf>
    <xf numFmtId="172" fontId="4" fillId="0" borderId="0" xfId="3" applyNumberFormat="1"/>
    <xf numFmtId="183" fontId="27" fillId="0" borderId="0" xfId="3" applyNumberFormat="1" applyFont="1"/>
    <xf numFmtId="0" fontId="6" fillId="0" borderId="0" xfId="3" applyFont="1" applyAlignment="1">
      <alignment vertical="center"/>
    </xf>
    <xf numFmtId="0" fontId="23" fillId="0" borderId="0" xfId="3" applyFont="1" applyAlignment="1">
      <alignment horizontal="right"/>
    </xf>
    <xf numFmtId="180" fontId="4" fillId="0" borderId="0" xfId="3" applyNumberFormat="1" applyAlignment="1">
      <alignment horizontal="right"/>
    </xf>
    <xf numFmtId="37" fontId="18" fillId="0" borderId="7" xfId="3" applyNumberFormat="1" applyFont="1" applyBorder="1" applyAlignment="1">
      <alignment horizontal="right"/>
    </xf>
    <xf numFmtId="37" fontId="4" fillId="0" borderId="0" xfId="3" applyNumberFormat="1" applyAlignment="1">
      <alignment horizontal="right"/>
    </xf>
    <xf numFmtId="187" fontId="4" fillId="0" borderId="0" xfId="3" applyNumberFormat="1" applyAlignment="1">
      <alignment horizontal="right"/>
    </xf>
    <xf numFmtId="0" fontId="7" fillId="2" borderId="0" xfId="3" applyFont="1" applyFill="1"/>
    <xf numFmtId="0" fontId="28" fillId="0" borderId="0" xfId="3" applyFont="1" applyAlignment="1">
      <alignment horizontal="centerContinuous"/>
    </xf>
    <xf numFmtId="0" fontId="23" fillId="0" borderId="9" xfId="3" applyFont="1" applyBorder="1" applyAlignment="1">
      <alignment horizontal="centerContinuous"/>
    </xf>
    <xf numFmtId="0" fontId="4" fillId="0" borderId="0" xfId="3" applyAlignment="1">
      <alignment horizontal="centerContinuous"/>
    </xf>
    <xf numFmtId="0" fontId="4" fillId="0" borderId="9" xfId="3" applyBorder="1" applyAlignment="1">
      <alignment horizontal="centerContinuous"/>
    </xf>
    <xf numFmtId="0" fontId="4" fillId="0" borderId="0" xfId="3" applyAlignment="1">
      <alignment horizontal="right"/>
    </xf>
    <xf numFmtId="167" fontId="8" fillId="3" borderId="11" xfId="3" applyNumberFormat="1" applyFont="1" applyFill="1" applyBorder="1"/>
    <xf numFmtId="181" fontId="4" fillId="0" borderId="12" xfId="3" applyNumberFormat="1" applyBorder="1" applyAlignment="1">
      <alignment horizontal="right"/>
    </xf>
    <xf numFmtId="188" fontId="4" fillId="0" borderId="0" xfId="3" applyNumberFormat="1"/>
    <xf numFmtId="188" fontId="4" fillId="0" borderId="9" xfId="3" applyNumberFormat="1" applyBorder="1"/>
    <xf numFmtId="181" fontId="4" fillId="0" borderId="0" xfId="3" applyNumberFormat="1" applyAlignment="1">
      <alignment horizontal="right"/>
    </xf>
    <xf numFmtId="167" fontId="8" fillId="3" borderId="14" xfId="3" applyNumberFormat="1" applyFont="1" applyFill="1" applyBorder="1" applyAlignment="1">
      <alignment horizontal="right"/>
    </xf>
    <xf numFmtId="0" fontId="25" fillId="2" borderId="0" xfId="3" applyFont="1" applyFill="1" applyAlignment="1">
      <alignment horizontal="center"/>
    </xf>
    <xf numFmtId="189" fontId="4" fillId="0" borderId="0" xfId="3" applyNumberFormat="1"/>
    <xf numFmtId="181" fontId="8" fillId="3" borderId="11" xfId="3" applyNumberFormat="1" applyFont="1" applyFill="1" applyBorder="1"/>
    <xf numFmtId="0" fontId="4" fillId="0" borderId="9" xfId="3" applyBorder="1"/>
    <xf numFmtId="0" fontId="6" fillId="4" borderId="0" xfId="3" applyFont="1" applyFill="1"/>
    <xf numFmtId="0" fontId="6" fillId="4" borderId="9" xfId="3" applyFont="1" applyFill="1" applyBorder="1"/>
    <xf numFmtId="190" fontId="4" fillId="0" borderId="0" xfId="3" applyNumberFormat="1"/>
    <xf numFmtId="0" fontId="4" fillId="0" borderId="10" xfId="3" applyBorder="1"/>
    <xf numFmtId="0" fontId="4" fillId="0" borderId="11" xfId="3" applyBorder="1" applyAlignment="1">
      <alignment horizontal="right"/>
    </xf>
    <xf numFmtId="0" fontId="4" fillId="0" borderId="13" xfId="3" applyBorder="1" applyAlignment="1">
      <alignment horizontal="right"/>
    </xf>
    <xf numFmtId="0" fontId="4" fillId="0" borderId="11" xfId="3" applyBorder="1"/>
    <xf numFmtId="0" fontId="4" fillId="0" borderId="15" xfId="3" applyBorder="1"/>
    <xf numFmtId="177" fontId="7" fillId="0" borderId="0" xfId="0" applyNumberFormat="1" applyFont="1"/>
    <xf numFmtId="0" fontId="25" fillId="0" borderId="7" xfId="3" applyFont="1" applyBorder="1"/>
    <xf numFmtId="0" fontId="7" fillId="0" borderId="7" xfId="3" applyFont="1" applyBorder="1"/>
    <xf numFmtId="0" fontId="25" fillId="0" borderId="7" xfId="3" applyFont="1" applyBorder="1" applyAlignment="1">
      <alignment horizontal="right"/>
    </xf>
    <xf numFmtId="0" fontId="26" fillId="0" borderId="0" xfId="3" applyFont="1" applyAlignment="1">
      <alignment horizontal="left"/>
    </xf>
    <xf numFmtId="0" fontId="6" fillId="0" borderId="6" xfId="3" applyFont="1" applyBorder="1"/>
    <xf numFmtId="0" fontId="6" fillId="0" borderId="10" xfId="3" applyFont="1" applyBorder="1"/>
    <xf numFmtId="190" fontId="7" fillId="0" borderId="0" xfId="3" applyNumberFormat="1" applyFont="1"/>
    <xf numFmtId="10" fontId="8" fillId="0" borderId="7" xfId="3" applyNumberFormat="1" applyFont="1" applyBorder="1"/>
    <xf numFmtId="10" fontId="7" fillId="0" borderId="0" xfId="3" applyNumberFormat="1" applyFont="1"/>
    <xf numFmtId="167" fontId="7" fillId="0" borderId="0" xfId="3" applyNumberFormat="1" applyFont="1"/>
    <xf numFmtId="0" fontId="4" fillId="0" borderId="6" xfId="3" applyBorder="1"/>
    <xf numFmtId="167" fontId="24" fillId="0" borderId="0" xfId="3" applyNumberFormat="1" applyFont="1" applyAlignment="1">
      <alignment horizontal="right"/>
    </xf>
    <xf numFmtId="9" fontId="8" fillId="0" borderId="0" xfId="3" applyNumberFormat="1" applyFont="1"/>
    <xf numFmtId="176" fontId="4" fillId="0" borderId="0" xfId="3" applyNumberFormat="1"/>
    <xf numFmtId="9" fontId="7" fillId="0" borderId="0" xfId="3" applyNumberFormat="1" applyFont="1"/>
    <xf numFmtId="0" fontId="6" fillId="0" borderId="11" xfId="3" applyFont="1" applyBorder="1"/>
    <xf numFmtId="176" fontId="6" fillId="0" borderId="13" xfId="3" applyNumberFormat="1" applyFont="1" applyBorder="1"/>
    <xf numFmtId="180" fontId="7" fillId="0" borderId="0" xfId="0" applyNumberFormat="1" applyFont="1"/>
    <xf numFmtId="14" fontId="0" fillId="0" borderId="0" xfId="0" applyNumberFormat="1"/>
    <xf numFmtId="39" fontId="8" fillId="0" borderId="0" xfId="3" applyNumberFormat="1" applyFont="1"/>
    <xf numFmtId="170" fontId="15" fillId="0" borderId="0" xfId="1" applyNumberFormat="1" applyFont="1"/>
    <xf numFmtId="170" fontId="14" fillId="0" borderId="0" xfId="0" applyNumberFormat="1" applyFont="1"/>
    <xf numFmtId="185" fontId="0" fillId="0" borderId="6" xfId="0" applyNumberFormat="1" applyBorder="1" applyAlignment="1">
      <alignment horizontal="right"/>
    </xf>
    <xf numFmtId="185" fontId="0" fillId="0" borderId="12" xfId="0" applyNumberFormat="1" applyBorder="1"/>
    <xf numFmtId="181" fontId="29" fillId="3" borderId="11" xfId="3" applyNumberFormat="1" applyFont="1" applyFill="1" applyBorder="1"/>
    <xf numFmtId="0" fontId="0" fillId="0" borderId="16" xfId="0" quotePrefix="1" applyBorder="1"/>
    <xf numFmtId="39" fontId="0" fillId="0" borderId="0" xfId="0" applyNumberFormat="1"/>
    <xf numFmtId="39" fontId="0" fillId="0" borderId="17" xfId="0" applyNumberFormat="1" applyBorder="1"/>
    <xf numFmtId="0" fontId="0" fillId="0" borderId="16" xfId="0" applyBorder="1"/>
    <xf numFmtId="0" fontId="0" fillId="0" borderId="18" xfId="0" applyBorder="1"/>
    <xf numFmtId="39" fontId="0" fillId="0" borderId="6" xfId="0" applyNumberFormat="1" applyBorder="1"/>
    <xf numFmtId="39" fontId="7" fillId="0" borderId="6" xfId="0" applyNumberFormat="1" applyFont="1" applyBorder="1"/>
    <xf numFmtId="39" fontId="0" fillId="0" borderId="12" xfId="0" applyNumberFormat="1" applyBorder="1"/>
    <xf numFmtId="0" fontId="0" fillId="0" borderId="9" xfId="0" applyBorder="1"/>
    <xf numFmtId="39" fontId="7" fillId="0" borderId="0" xfId="0" applyNumberFormat="1" applyFont="1"/>
    <xf numFmtId="39" fontId="7" fillId="0" borderId="17" xfId="0" applyNumberFormat="1" applyFont="1" applyBorder="1"/>
    <xf numFmtId="0" fontId="0" fillId="0" borderId="19" xfId="0" applyBorder="1"/>
    <xf numFmtId="39" fontId="7" fillId="0" borderId="12" xfId="0" applyNumberFormat="1" applyFont="1" applyBorder="1"/>
    <xf numFmtId="178" fontId="6" fillId="0" borderId="20" xfId="3" applyNumberFormat="1" applyFont="1" applyBorder="1"/>
    <xf numFmtId="180" fontId="21" fillId="0" borderId="21" xfId="3" applyNumberFormat="1" applyFont="1" applyBorder="1"/>
    <xf numFmtId="9" fontId="5" fillId="0" borderId="21" xfId="2" applyBorder="1"/>
    <xf numFmtId="180" fontId="7" fillId="0" borderId="21" xfId="3" applyNumberFormat="1" applyFont="1" applyBorder="1"/>
    <xf numFmtId="176" fontId="21" fillId="0" borderId="21" xfId="3" applyNumberFormat="1" applyFont="1" applyBorder="1"/>
    <xf numFmtId="180" fontId="25" fillId="0" borderId="22" xfId="3" applyNumberFormat="1" applyFont="1" applyBorder="1"/>
    <xf numFmtId="179" fontId="6" fillId="0" borderId="23" xfId="3" applyNumberFormat="1" applyFont="1" applyBorder="1"/>
    <xf numFmtId="179" fontId="6" fillId="0" borderId="20" xfId="3" applyNumberFormat="1" applyFont="1" applyBorder="1"/>
    <xf numFmtId="14" fontId="19" fillId="0" borderId="5" xfId="3" applyNumberFormat="1" applyFont="1" applyBorder="1"/>
    <xf numFmtId="169" fontId="5" fillId="0" borderId="0" xfId="1" applyNumberFormat="1"/>
    <xf numFmtId="170" fontId="9" fillId="0" borderId="0" xfId="0" applyNumberFormat="1" applyFont="1" applyAlignment="1">
      <alignment horizontal="center" vertical="center"/>
    </xf>
    <xf numFmtId="170" fontId="0" fillId="0" borderId="0" xfId="0" applyNumberFormat="1"/>
    <xf numFmtId="169" fontId="31" fillId="0" borderId="0" xfId="1" applyNumberFormat="1" applyFont="1"/>
    <xf numFmtId="180" fontId="8" fillId="0" borderId="0" xfId="3" applyNumberFormat="1" applyFont="1"/>
    <xf numFmtId="3" fontId="6" fillId="0" borderId="0" xfId="3" applyNumberFormat="1" applyFont="1"/>
    <xf numFmtId="14" fontId="8" fillId="0" borderId="0" xfId="3" applyNumberFormat="1" applyFont="1" applyAlignment="1">
      <alignment horizontal="left" vertical="center"/>
    </xf>
    <xf numFmtId="0" fontId="8" fillId="0" borderId="0" xfId="3" applyFont="1" applyAlignment="1">
      <alignment horizontal="left" vertical="center"/>
    </xf>
    <xf numFmtId="167" fontId="7" fillId="3" borderId="14" xfId="0" applyNumberFormat="1" applyFont="1" applyFill="1" applyBorder="1" applyAlignment="1">
      <alignment horizontal="right"/>
    </xf>
    <xf numFmtId="167" fontId="7" fillId="3" borderId="24" xfId="0" applyNumberFormat="1" applyFont="1" applyFill="1" applyBorder="1" applyAlignment="1">
      <alignment horizontal="right"/>
    </xf>
    <xf numFmtId="167" fontId="7" fillId="3" borderId="10" xfId="0" applyNumberFormat="1" applyFont="1" applyFill="1" applyBorder="1"/>
    <xf numFmtId="167" fontId="7" fillId="3" borderId="11" xfId="0" applyNumberFormat="1" applyFont="1" applyFill="1" applyBorder="1"/>
    <xf numFmtId="191" fontId="5" fillId="0" borderId="0" xfId="1" applyNumberFormat="1"/>
    <xf numFmtId="0" fontId="14" fillId="0" borderId="0" xfId="0" applyFont="1" applyAlignment="1">
      <alignment horizontal="left"/>
    </xf>
    <xf numFmtId="171" fontId="13" fillId="0" borderId="0" xfId="0" applyNumberFormat="1" applyFont="1"/>
    <xf numFmtId="165" fontId="14" fillId="0" borderId="0" xfId="0" applyNumberFormat="1" applyFont="1" applyAlignment="1">
      <alignment horizontal="center" vertical="center"/>
    </xf>
    <xf numFmtId="165" fontId="12" fillId="0" borderId="0" xfId="1" applyNumberFormat="1" applyFont="1"/>
    <xf numFmtId="165" fontId="9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15" fillId="0" borderId="0" xfId="1" applyNumberFormat="1" applyFont="1"/>
    <xf numFmtId="165" fontId="14" fillId="0" borderId="0" xfId="1" applyNumberFormat="1" applyFont="1"/>
    <xf numFmtId="165" fontId="12" fillId="0" borderId="0" xfId="0" applyNumberFormat="1" applyFont="1"/>
    <xf numFmtId="165" fontId="15" fillId="0" borderId="0" xfId="0" applyNumberFormat="1" applyFont="1" applyAlignment="1">
      <alignment horizontal="center" vertical="center"/>
    </xf>
    <xf numFmtId="9" fontId="5" fillId="0" borderId="0" xfId="2"/>
    <xf numFmtId="167" fontId="12" fillId="0" borderId="3" xfId="2" applyNumberFormat="1" applyFont="1" applyBorder="1"/>
    <xf numFmtId="167" fontId="31" fillId="0" borderId="0" xfId="2" applyNumberFormat="1" applyFont="1"/>
    <xf numFmtId="170" fontId="14" fillId="0" borderId="0" xfId="0" applyNumberFormat="1" applyFont="1" applyAlignment="1">
      <alignment horizontal="center" vertical="center"/>
    </xf>
    <xf numFmtId="0" fontId="3" fillId="0" borderId="0" xfId="3" applyFont="1"/>
    <xf numFmtId="37" fontId="3" fillId="0" borderId="0" xfId="3" applyNumberFormat="1" applyFont="1" applyAlignment="1">
      <alignment horizontal="right"/>
    </xf>
    <xf numFmtId="169" fontId="14" fillId="0" borderId="0" xfId="0" applyNumberFormat="1" applyFont="1" applyAlignment="1">
      <alignment horizontal="center" vertical="center"/>
    </xf>
    <xf numFmtId="169" fontId="15" fillId="0" borderId="0" xfId="0" applyNumberFormat="1" applyFont="1" applyAlignment="1">
      <alignment horizontal="center" vertical="center"/>
    </xf>
    <xf numFmtId="169" fontId="15" fillId="0" borderId="0" xfId="1" applyNumberFormat="1" applyFont="1"/>
    <xf numFmtId="176" fontId="0" fillId="0" borderId="0" xfId="0" quotePrefix="1" applyNumberFormat="1"/>
    <xf numFmtId="167" fontId="7" fillId="3" borderId="25" xfId="0" applyNumberFormat="1" applyFont="1" applyFill="1" applyBorder="1"/>
    <xf numFmtId="181" fontId="7" fillId="0" borderId="0" xfId="3" applyNumberFormat="1" applyFont="1"/>
    <xf numFmtId="181" fontId="29" fillId="3" borderId="25" xfId="3" applyNumberFormat="1" applyFont="1" applyFill="1" applyBorder="1"/>
    <xf numFmtId="0" fontId="6" fillId="0" borderId="0" xfId="0" applyFont="1"/>
    <xf numFmtId="165" fontId="18" fillId="0" borderId="0" xfId="0" applyNumberFormat="1" applyFont="1"/>
    <xf numFmtId="169" fontId="12" fillId="0" borderId="0" xfId="1" applyNumberFormat="1" applyFont="1"/>
    <xf numFmtId="171" fontId="9" fillId="0" borderId="0" xfId="0" applyNumberFormat="1" applyFont="1"/>
    <xf numFmtId="167" fontId="9" fillId="0" borderId="0" xfId="2" applyNumberFormat="1" applyFont="1" applyAlignment="1">
      <alignment horizontal="left"/>
    </xf>
    <xf numFmtId="0" fontId="9" fillId="0" borderId="0" xfId="0" applyFont="1" applyAlignment="1">
      <alignment horizontal="left"/>
    </xf>
    <xf numFmtId="171" fontId="14" fillId="0" borderId="0" xfId="1" applyNumberFormat="1" applyFont="1"/>
    <xf numFmtId="0" fontId="16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192" fontId="18" fillId="0" borderId="2" xfId="0" applyNumberFormat="1" applyFont="1" applyBorder="1"/>
    <xf numFmtId="192" fontId="2" fillId="0" borderId="2" xfId="0" applyNumberFormat="1" applyFont="1" applyBorder="1" applyAlignment="1">
      <alignment horizontal="center"/>
    </xf>
    <xf numFmtId="170" fontId="14" fillId="0" borderId="3" xfId="0" applyNumberFormat="1" applyFont="1" applyBorder="1" applyAlignment="1">
      <alignment horizontal="center" vertical="center"/>
    </xf>
    <xf numFmtId="14" fontId="19" fillId="0" borderId="0" xfId="0" applyNumberFormat="1" applyFont="1" applyAlignment="1">
      <alignment horizontal="left"/>
    </xf>
    <xf numFmtId="170" fontId="12" fillId="0" borderId="0" xfId="1" applyNumberFormat="1" applyFont="1"/>
    <xf numFmtId="170" fontId="13" fillId="0" borderId="0" xfId="0" applyNumberFormat="1" applyFont="1"/>
    <xf numFmtId="186" fontId="0" fillId="0" borderId="0" xfId="0" applyNumberFormat="1" applyAlignment="1">
      <alignment horizontal="right"/>
    </xf>
    <xf numFmtId="187" fontId="0" fillId="0" borderId="0" xfId="0" applyNumberFormat="1" applyAlignment="1">
      <alignment horizontal="right"/>
    </xf>
    <xf numFmtId="169" fontId="13" fillId="0" borderId="0" xfId="1" applyNumberFormat="1" applyFont="1"/>
    <xf numFmtId="1" fontId="9" fillId="0" borderId="0" xfId="0" applyNumberFormat="1" applyFont="1"/>
    <xf numFmtId="1" fontId="9" fillId="0" borderId="0" xfId="0" applyNumberFormat="1" applyFont="1" applyAlignment="1">
      <alignment horizontal="right" vertical="center"/>
    </xf>
    <xf numFmtId="0" fontId="35" fillId="0" borderId="0" xfId="0" applyFont="1" applyAlignment="1">
      <alignment horizontal="center"/>
    </xf>
    <xf numFmtId="167" fontId="13" fillId="0" borderId="0" xfId="2" applyNumberFormat="1" applyFont="1"/>
    <xf numFmtId="169" fontId="36" fillId="0" borderId="0" xfId="1" applyNumberFormat="1" applyFont="1" applyAlignment="1">
      <alignment horizontal="center" vertical="center"/>
    </xf>
    <xf numFmtId="0" fontId="9" fillId="0" borderId="6" xfId="0" applyFont="1" applyBorder="1"/>
    <xf numFmtId="192" fontId="1" fillId="0" borderId="2" xfId="0" applyNumberFormat="1" applyFont="1" applyBorder="1"/>
    <xf numFmtId="173" fontId="1" fillId="0" borderId="6" xfId="0" applyNumberFormat="1" applyFont="1" applyBorder="1"/>
    <xf numFmtId="0" fontId="12" fillId="0" borderId="0" xfId="0" applyFont="1" applyAlignment="1">
      <alignment horizontal="center" vertical="center"/>
    </xf>
    <xf numFmtId="173" fontId="1" fillId="0" borderId="2" xfId="0" applyNumberFormat="1" applyFont="1" applyBorder="1"/>
    <xf numFmtId="165" fontId="1" fillId="0" borderId="0" xfId="0" applyNumberFormat="1" applyFont="1"/>
    <xf numFmtId="165" fontId="12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65" fontId="15" fillId="0" borderId="3" xfId="1" applyNumberFormat="1" applyFont="1" applyBorder="1"/>
    <xf numFmtId="0" fontId="14" fillId="0" borderId="0" xfId="0" applyFont="1" applyAlignment="1">
      <alignment horizontal="left" indent="1"/>
    </xf>
    <xf numFmtId="43" fontId="12" fillId="0" borderId="0" xfId="0" applyNumberFormat="1" applyFont="1"/>
    <xf numFmtId="1" fontId="13" fillId="0" borderId="0" xfId="0" applyNumberFormat="1" applyFont="1" applyAlignment="1">
      <alignment horizontal="right" vertical="center"/>
    </xf>
    <xf numFmtId="10" fontId="5" fillId="0" borderId="0" xfId="2" applyNumberFormat="1"/>
    <xf numFmtId="10" fontId="31" fillId="0" borderId="0" xfId="2" applyNumberFormat="1" applyFont="1"/>
    <xf numFmtId="190" fontId="39" fillId="0" borderId="7" xfId="3" applyNumberFormat="1" applyFont="1" applyBorder="1"/>
    <xf numFmtId="9" fontId="4" fillId="0" borderId="0" xfId="3" applyNumberFormat="1"/>
    <xf numFmtId="169" fontId="9" fillId="0" borderId="0" xfId="0" applyNumberFormat="1" applyFont="1" applyAlignment="1">
      <alignment horizontal="center" vertical="center"/>
    </xf>
    <xf numFmtId="165" fontId="13" fillId="0" borderId="0" xfId="1" applyNumberFormat="1" applyFont="1"/>
    <xf numFmtId="169" fontId="0" fillId="0" borderId="0" xfId="0" applyNumberFormat="1"/>
    <xf numFmtId="169" fontId="40" fillId="0" borderId="0" xfId="1" applyNumberFormat="1" applyFont="1"/>
    <xf numFmtId="10" fontId="8" fillId="0" borderId="0" xfId="3" applyNumberFormat="1" applyFont="1" applyAlignment="1">
      <alignment vertical="center"/>
    </xf>
    <xf numFmtId="181" fontId="8" fillId="0" borderId="0" xfId="3" applyNumberFormat="1" applyFont="1" applyAlignment="1">
      <alignment vertical="center"/>
    </xf>
    <xf numFmtId="190" fontId="21" fillId="0" borderId="7" xfId="3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94" fontId="8" fillId="0" borderId="0" xfId="0" applyNumberFormat="1" applyFont="1" applyAlignment="1">
      <alignment horizontal="center"/>
    </xf>
    <xf numFmtId="194" fontId="29" fillId="0" borderId="0" xfId="0" applyNumberFormat="1" applyFont="1" applyAlignment="1">
      <alignment horizontal="center"/>
    </xf>
    <xf numFmtId="0" fontId="41" fillId="0" borderId="0" xfId="0" applyFont="1" applyAlignment="1">
      <alignment horizontal="left"/>
    </xf>
    <xf numFmtId="171" fontId="5" fillId="0" borderId="0" xfId="1" applyNumberFormat="1"/>
  </cellXfs>
  <cellStyles count="7">
    <cellStyle name="Comma" xfId="1" builtinId="3"/>
    <cellStyle name="Hyperlink" xfId="5" builtinId="8"/>
    <cellStyle name="Normal" xfId="0" builtinId="0"/>
    <cellStyle name="Normal 15" xfId="6" xr:uid="{6DDD7A4B-57F6-404C-BA97-B891B271587B}"/>
    <cellStyle name="Normal 2" xfId="3" xr:uid="{937EC6E3-AE83-4BBC-ACEF-6FAAD38BC45D}"/>
    <cellStyle name="Normal_DCF_Model" xfId="4" xr:uid="{EB47B55B-6DFA-4D8F-B164-61C0BEC4F72F}"/>
    <cellStyle name="Percent" xfId="2" builtinId="5"/>
  </cellStyles>
  <dxfs count="2">
    <dxf>
      <font>
        <b/>
        <i val="0"/>
      </font>
      <fill>
        <patternFill patternType="solid">
          <bgColor theme="2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F4F"/>
      <rgbColor rgb="FF222A3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DCF Equity Valuation Range </a:t>
            </a:r>
          </a:p>
        </c:rich>
      </c:tx>
      <c:layout>
        <c:manualLayout>
          <c:xMode val="edge"/>
          <c:yMode val="edge"/>
          <c:x val="0.31291626892699836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DCF!$B$128:$B$130</c:f>
              <c:strCache>
                <c:ptCount val="3"/>
                <c:pt idx="0">
                  <c:v>DCF Value at 9.0x-11.0x Exit EBITDA Range at 10.3% WACC</c:v>
                </c:pt>
                <c:pt idx="1">
                  <c:v>DCF Value at 2.0%-4.0% Perpetuity Range at 10.3%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DCF!$C$128:$C$130</c:f>
              <c:numCache>
                <c:formatCode>#,##0.00_);\(#,##0.00\)</c:formatCode>
                <c:ptCount val="3"/>
                <c:pt idx="0">
                  <c:v>113.69090344377655</c:v>
                </c:pt>
                <c:pt idx="1">
                  <c:v>118.47663914210328</c:v>
                </c:pt>
                <c:pt idx="2">
                  <c:v>195.07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83-4E91-8D66-944AAAC33F38}"/>
            </c:ext>
          </c:extLst>
        </c:ser>
        <c:ser>
          <c:idx val="1"/>
          <c:order val="1"/>
          <c:invertIfNegative val="0"/>
          <c:cat>
            <c:strRef>
              <c:f>DCF!$B$128:$B$130</c:f>
              <c:strCache>
                <c:ptCount val="3"/>
                <c:pt idx="0">
                  <c:v>DCF Value at 9.0x-11.0x Exit EBITDA Range at 10.3% WACC</c:v>
                </c:pt>
                <c:pt idx="1">
                  <c:v>DCF Value at 2.0%-4.0% Perpetuity Range at 10.3%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DCF!$D$128:$D$130</c:f>
              <c:numCache>
                <c:formatCode>#,##0.00_);\(#,##0.00\)</c:formatCode>
                <c:ptCount val="3"/>
                <c:pt idx="0">
                  <c:v>8.8738703626273576</c:v>
                </c:pt>
                <c:pt idx="1">
                  <c:v>12.605634891545677</c:v>
                </c:pt>
                <c:pt idx="2">
                  <c:v>122.32999999999998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83-4E91-8D66-944AAAC33F38}"/>
            </c:ext>
          </c:extLst>
        </c:ser>
        <c:ser>
          <c:idx val="2"/>
          <c:order val="2"/>
          <c:spPr>
            <a:noFill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DCF!$B$128:$B$130</c:f>
              <c:strCache>
                <c:ptCount val="3"/>
                <c:pt idx="0">
                  <c:v>DCF Value at 9.0x-11.0x Exit EBITDA Range at 10.3% WACC</c:v>
                </c:pt>
                <c:pt idx="1">
                  <c:v>DCF Value at 2.0%-4.0% Perpetuity Range at 10.3%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DCF!$E$128:$E$130</c:f>
              <c:numCache>
                <c:formatCode>#,##0.00_);\(#,##0.00\)</c:formatCode>
                <c:ptCount val="3"/>
                <c:pt idx="0">
                  <c:v>122.56477380640391</c:v>
                </c:pt>
                <c:pt idx="1">
                  <c:v>131.08227403364896</c:v>
                </c:pt>
                <c:pt idx="2">
                  <c:v>317.39999999999998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83-4E91-8D66-944AAAC33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639680"/>
        <c:axId val="99641216"/>
      </c:barChart>
      <c:catAx>
        <c:axId val="9963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641216"/>
        <c:crosses val="autoZero"/>
        <c:auto val="1"/>
        <c:lblAlgn val="ctr"/>
        <c:lblOffset val="100"/>
        <c:noMultiLvlLbl val="0"/>
      </c:catAx>
      <c:valAx>
        <c:axId val="99641216"/>
        <c:scaling>
          <c:orientation val="minMax"/>
          <c:max val="400"/>
          <c:min val="100"/>
        </c:scaling>
        <c:delete val="0"/>
        <c:axPos val="l"/>
        <c:numFmt formatCode="#,##0.00_);\(#,##0.00\)" sourceLinked="1"/>
        <c:majorTickMark val="out"/>
        <c:minorTickMark val="none"/>
        <c:tickLblPos val="nextTo"/>
        <c:crossAx val="99639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LTM EBITDA Multiple Range</a:t>
            </a:r>
          </a:p>
        </c:rich>
      </c:tx>
      <c:layout>
        <c:manualLayout>
          <c:xMode val="edge"/>
          <c:yMode val="edge"/>
          <c:x val="0.31291626892699836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numFmt formatCode="#,##0.0\x;\-#,##0.0\x" sourceLinked="0"/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DCF!$G$128:$G$130</c:f>
              <c:strCache>
                <c:ptCount val="3"/>
                <c:pt idx="0">
                  <c:v>LTM EBITDA Purchase Multiple at 2.0%-4.0% Perpetuity Growth at 10.3% WACC</c:v>
                </c:pt>
                <c:pt idx="1">
                  <c:v>LTM EBITDA Purchase Multiple at 11.1x-12.0x Exit EBITDA Multiple at 10.3% WACC</c:v>
                </c:pt>
                <c:pt idx="2">
                  <c:v>LTM EBITDA Purchase Multiple at 8.3%-12.3% WACC at 10.0x Exit EBITDA</c:v>
                </c:pt>
              </c:strCache>
            </c:strRef>
          </c:cat>
          <c:val>
            <c:numRef>
              <c:f>DCF!$O$128:$O$130</c:f>
              <c:numCache>
                <c:formatCode>#,##0.00_);\(#,##0.00\)</c:formatCode>
                <c:ptCount val="3"/>
                <c:pt idx="0">
                  <c:v>11.583708412305125</c:v>
                </c:pt>
                <c:pt idx="1">
                  <c:v>11.106688787443924</c:v>
                </c:pt>
                <c:pt idx="2">
                  <c:v>10.055501116630918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D5-4FE9-8BD7-0E0161403D7A}"/>
            </c:ext>
          </c:extLst>
        </c:ser>
        <c:ser>
          <c:idx val="1"/>
          <c:order val="1"/>
          <c:spPr>
            <a:solidFill>
              <a:schemeClr val="tx2"/>
            </a:solidFill>
          </c:spPr>
          <c:invertIfNegative val="0"/>
          <c:cat>
            <c:strRef>
              <c:f>DCF!$G$128:$G$130</c:f>
              <c:strCache>
                <c:ptCount val="3"/>
                <c:pt idx="0">
                  <c:v>LTM EBITDA Purchase Multiple at 2.0%-4.0% Perpetuity Growth at 10.3% WACC</c:v>
                </c:pt>
                <c:pt idx="1">
                  <c:v>LTM EBITDA Purchase Multiple at 11.1x-12.0x Exit EBITDA Multiple at 10.3% WACC</c:v>
                </c:pt>
                <c:pt idx="2">
                  <c:v>LTM EBITDA Purchase Multiple at 8.3%-12.3% WACC at 10.0x Exit EBITDA</c:v>
                </c:pt>
              </c:strCache>
            </c:strRef>
          </c:cat>
          <c:val>
            <c:numRef>
              <c:f>DCF!$P$128:$P$130</c:f>
              <c:numCache>
                <c:formatCode>#,##0.00_);\(#,##0.00\)</c:formatCode>
                <c:ptCount val="3"/>
                <c:pt idx="0">
                  <c:v>1.256470395806609</c:v>
                </c:pt>
                <c:pt idx="1">
                  <c:v>0.88450565979384521</c:v>
                </c:pt>
                <c:pt idx="2">
                  <c:v>1.2707950845610139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D5-4FE9-8BD7-0E0161403D7A}"/>
            </c:ext>
          </c:extLst>
        </c:ser>
        <c:ser>
          <c:idx val="2"/>
          <c:order val="2"/>
          <c:spPr>
            <a:noFill/>
          </c:spPr>
          <c:invertIfNegative val="0"/>
          <c:dLbls>
            <c:numFmt formatCode="#,##0.0\x;\-#,##0.0\x" sourceLinked="0"/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DCF!$G$128:$G$130</c:f>
              <c:strCache>
                <c:ptCount val="3"/>
                <c:pt idx="0">
                  <c:v>LTM EBITDA Purchase Multiple at 2.0%-4.0% Perpetuity Growth at 10.3% WACC</c:v>
                </c:pt>
                <c:pt idx="1">
                  <c:v>LTM EBITDA Purchase Multiple at 11.1x-12.0x Exit EBITDA Multiple at 10.3% WACC</c:v>
                </c:pt>
                <c:pt idx="2">
                  <c:v>LTM EBITDA Purchase Multiple at 8.3%-12.3% WACC at 10.0x Exit EBITDA</c:v>
                </c:pt>
              </c:strCache>
            </c:strRef>
          </c:cat>
          <c:val>
            <c:numRef>
              <c:f>DCF!$Q$128:$Q$130</c:f>
              <c:numCache>
                <c:formatCode>#,##0.00_);\(#,##0.00\)</c:formatCode>
                <c:ptCount val="3"/>
                <c:pt idx="0">
                  <c:v>12.840178808111734</c:v>
                </c:pt>
                <c:pt idx="1">
                  <c:v>11.991194447237769</c:v>
                </c:pt>
                <c:pt idx="2">
                  <c:v>11.326296201191932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D5-4FE9-8BD7-0E0161403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639680"/>
        <c:axId val="99641216"/>
      </c:barChart>
      <c:catAx>
        <c:axId val="9963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641216"/>
        <c:crosses val="autoZero"/>
        <c:auto val="1"/>
        <c:lblAlgn val="ctr"/>
        <c:lblOffset val="100"/>
        <c:noMultiLvlLbl val="0"/>
      </c:catAx>
      <c:valAx>
        <c:axId val="99641216"/>
        <c:scaling>
          <c:orientation val="minMax"/>
          <c:max val="20"/>
          <c:min val="10"/>
        </c:scaling>
        <c:delete val="0"/>
        <c:axPos val="l"/>
        <c:numFmt formatCode="#,##0.0\x;\-#,##0.0\x" sourceLinked="0"/>
        <c:majorTickMark val="out"/>
        <c:minorTickMark val="none"/>
        <c:tickLblPos val="nextTo"/>
        <c:crossAx val="99639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53578</xdr:colOff>
      <xdr:row>106</xdr:row>
      <xdr:rowOff>149424</xdr:rowOff>
    </xdr:from>
    <xdr:to>
      <xdr:col>4</xdr:col>
      <xdr:colOff>654844</xdr:colOff>
      <xdr:row>125</xdr:row>
      <xdr:rowOff>53578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529BCA-2888-434E-AC7E-5B03FCA5B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47228</xdr:colOff>
      <xdr:row>106</xdr:row>
      <xdr:rowOff>149424</xdr:rowOff>
    </xdr:from>
    <xdr:to>
      <xdr:col>16</xdr:col>
      <xdr:colOff>1121</xdr:colOff>
      <xdr:row>125</xdr:row>
      <xdr:rowOff>47228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A38233F-A324-4062-8E99-2AF6A530E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973C-64E9-46C3-8015-F083BA56F634}">
  <dimension ref="A1:L199"/>
  <sheetViews>
    <sheetView showGridLines="0" tabSelected="1" zoomScaleNormal="100" workbookViewId="0">
      <selection activeCell="D6" sqref="D6"/>
    </sheetView>
  </sheetViews>
  <sheetFormatPr defaultColWidth="9.140625" defaultRowHeight="15" x14ac:dyDescent="0.25"/>
  <cols>
    <col min="1" max="2" width="1.7109375" style="6" customWidth="1"/>
    <col min="3" max="3" width="66.42578125" style="6" bestFit="1" customWidth="1"/>
    <col min="4" max="4" width="17.140625" style="28" customWidth="1"/>
    <col min="5" max="11" width="17.140625" style="6" customWidth="1"/>
    <col min="12" max="12" width="2.7109375" style="6" customWidth="1"/>
    <col min="13" max="16384" width="9.140625" style="6"/>
  </cols>
  <sheetData>
    <row r="1" spans="1:11" ht="15" customHeight="1" thickBot="1" x14ac:dyDescent="0.3"/>
    <row r="2" spans="1:11" ht="15.75" thickBot="1" x14ac:dyDescent="0.3">
      <c r="C2" s="2" t="str">
        <f>Company_Name&amp;" - Financial Statement Model"</f>
        <v>Apple Inc. - Financial Statement Model</v>
      </c>
      <c r="D2" s="8"/>
      <c r="E2" s="8"/>
      <c r="F2" s="8"/>
      <c r="G2" s="8"/>
      <c r="H2" s="8"/>
      <c r="I2" s="8"/>
      <c r="J2" s="8"/>
      <c r="K2" s="8"/>
    </row>
    <row r="3" spans="1:11" x14ac:dyDescent="0.25">
      <c r="C3" s="233" t="s">
        <v>204</v>
      </c>
      <c r="D3" s="9"/>
      <c r="E3" s="9"/>
      <c r="F3" s="9"/>
      <c r="G3" s="9"/>
      <c r="H3" s="9"/>
    </row>
    <row r="4" spans="1:11" ht="15" customHeight="1" x14ac:dyDescent="0.25"/>
    <row r="5" spans="1:11" x14ac:dyDescent="0.25">
      <c r="C5" s="3" t="s">
        <v>0</v>
      </c>
      <c r="D5" s="269" t="s">
        <v>188</v>
      </c>
    </row>
    <row r="6" spans="1:11" x14ac:dyDescent="0.25">
      <c r="C6" s="3" t="s">
        <v>1</v>
      </c>
      <c r="D6" s="4" t="s">
        <v>189</v>
      </c>
    </row>
    <row r="7" spans="1:11" x14ac:dyDescent="0.25">
      <c r="C7" s="6" t="s">
        <v>28</v>
      </c>
      <c r="D7" s="270">
        <v>298.01</v>
      </c>
    </row>
    <row r="8" spans="1:11" x14ac:dyDescent="0.25">
      <c r="C8" s="6" t="s">
        <v>29</v>
      </c>
      <c r="D8" s="5">
        <v>46190</v>
      </c>
    </row>
    <row r="9" spans="1:11" x14ac:dyDescent="0.25">
      <c r="C9" s="3" t="s">
        <v>2</v>
      </c>
      <c r="D9" s="5">
        <v>45927</v>
      </c>
    </row>
    <row r="10" spans="1:11" ht="15" customHeight="1" x14ac:dyDescent="0.25">
      <c r="C10" s="6" t="s">
        <v>30</v>
      </c>
      <c r="D10" s="243">
        <v>14773260</v>
      </c>
    </row>
    <row r="11" spans="1:11" ht="15" customHeight="1" x14ac:dyDescent="0.25"/>
    <row r="12" spans="1:11" customFormat="1" x14ac:dyDescent="0.25">
      <c r="A12" t="s">
        <v>187</v>
      </c>
      <c r="C12" s="39" t="s">
        <v>41</v>
      </c>
      <c r="D12" s="244"/>
      <c r="E12" s="40"/>
      <c r="F12" s="40"/>
      <c r="G12" s="40"/>
      <c r="H12" s="40"/>
      <c r="I12" s="40"/>
      <c r="J12" s="40"/>
      <c r="K12" s="40"/>
    </row>
    <row r="13" spans="1:11" customFormat="1" x14ac:dyDescent="0.25">
      <c r="C13" t="s">
        <v>42</v>
      </c>
      <c r="D13" s="41">
        <f>E13-1</f>
        <v>2023</v>
      </c>
      <c r="E13" s="41">
        <f>F13-1</f>
        <v>2024</v>
      </c>
      <c r="F13" s="41">
        <f>YEAR(D9)</f>
        <v>2025</v>
      </c>
      <c r="G13" s="42">
        <f>F13+1</f>
        <v>2026</v>
      </c>
      <c r="H13" s="42">
        <f>G13+1</f>
        <v>2027</v>
      </c>
      <c r="I13" s="42">
        <f>H13+1</f>
        <v>2028</v>
      </c>
      <c r="J13" s="42">
        <f>I13+1</f>
        <v>2029</v>
      </c>
      <c r="K13" s="42">
        <f>J13+1</f>
        <v>2030</v>
      </c>
    </row>
    <row r="14" spans="1:11" customFormat="1" x14ac:dyDescent="0.25">
      <c r="C14" s="43" t="s">
        <v>43</v>
      </c>
      <c r="D14" s="245">
        <f>EOMONTH(E14,-12)</f>
        <v>45199</v>
      </c>
      <c r="E14" s="230">
        <f>EOMONTH(F14,-12)</f>
        <v>45565</v>
      </c>
      <c r="F14" s="230">
        <f>D9</f>
        <v>45927</v>
      </c>
      <c r="G14" s="230">
        <f>EOMONTH(F14,12)</f>
        <v>46295</v>
      </c>
      <c r="H14" s="230">
        <f>EOMONTH(G14,12)</f>
        <v>46660</v>
      </c>
      <c r="I14" s="230">
        <f>EOMONTH(H14,12)</f>
        <v>47026</v>
      </c>
      <c r="J14" s="230">
        <f>EOMONTH(I14,12)</f>
        <v>47391</v>
      </c>
      <c r="K14" s="230">
        <f>EOMONTH(J14,12)</f>
        <v>47756</v>
      </c>
    </row>
    <row r="15" spans="1:11" ht="15" customHeight="1" x14ac:dyDescent="0.25"/>
    <row r="16" spans="1:11" ht="15" customHeight="1" x14ac:dyDescent="0.25">
      <c r="C16" s="268" t="s">
        <v>190</v>
      </c>
      <c r="D16" s="10">
        <v>383285</v>
      </c>
      <c r="E16" s="10">
        <v>391035</v>
      </c>
      <c r="F16" s="10">
        <v>416161</v>
      </c>
      <c r="G16" s="234">
        <f>G149</f>
        <v>445837.46500000003</v>
      </c>
      <c r="H16" s="234">
        <f t="shared" ref="H16:K16" si="0">H149</f>
        <v>476430.09649999999</v>
      </c>
      <c r="I16" s="234">
        <f t="shared" si="0"/>
        <v>505261.4144135</v>
      </c>
      <c r="J16" s="234">
        <f t="shared" si="0"/>
        <v>534303.037320195</v>
      </c>
      <c r="K16" s="234">
        <f t="shared" si="0"/>
        <v>563337.21184358536</v>
      </c>
    </row>
    <row r="17" spans="3:11" ht="15" customHeight="1" x14ac:dyDescent="0.25">
      <c r="C17" s="6" t="s">
        <v>191</v>
      </c>
      <c r="D17" s="10">
        <v>-214137</v>
      </c>
      <c r="E17" s="10">
        <v>-210352</v>
      </c>
      <c r="F17" s="10">
        <v>-220960</v>
      </c>
      <c r="G17" s="234">
        <f>G18-G16</f>
        <v>-241877.7574407958</v>
      </c>
      <c r="H17" s="234">
        <f t="shared" ref="H17:K17" si="1">H18-H16</f>
        <v>-258475.01021189845</v>
      </c>
      <c r="I17" s="234">
        <f t="shared" si="1"/>
        <v>-274116.70717197791</v>
      </c>
      <c r="J17" s="234">
        <f t="shared" si="1"/>
        <v>-289872.49974789482</v>
      </c>
      <c r="K17" s="234">
        <f t="shared" si="1"/>
        <v>-305624.25139322225</v>
      </c>
    </row>
    <row r="18" spans="3:11" s="13" customFormat="1" ht="15" customHeight="1" x14ac:dyDescent="0.25">
      <c r="C18" s="13" t="s">
        <v>192</v>
      </c>
      <c r="D18" s="14">
        <f>SUM(D16:D17)</f>
        <v>169148</v>
      </c>
      <c r="E18" s="14">
        <f t="shared" ref="E18:F18" si="2">SUM(E16:E17)</f>
        <v>180683</v>
      </c>
      <c r="F18" s="14">
        <f t="shared" si="2"/>
        <v>195201</v>
      </c>
      <c r="G18" s="14">
        <f>G16*G38</f>
        <v>203959.70755920422</v>
      </c>
      <c r="H18" s="14">
        <f>H16*H38</f>
        <v>217955.08628810153</v>
      </c>
      <c r="I18" s="14">
        <f>I16*I38</f>
        <v>231144.70724152209</v>
      </c>
      <c r="J18" s="14">
        <f>J16*J38</f>
        <v>244430.53757230015</v>
      </c>
      <c r="K18" s="14">
        <f>K16*K38</f>
        <v>257712.96045036311</v>
      </c>
    </row>
    <row r="19" spans="3:11" s="15" customFormat="1" ht="15" customHeight="1" x14ac:dyDescent="0.25">
      <c r="C19" s="225" t="s">
        <v>193</v>
      </c>
      <c r="D19" s="238">
        <v>-29915</v>
      </c>
      <c r="E19" s="188">
        <v>-31370</v>
      </c>
      <c r="F19" s="188">
        <v>-34550</v>
      </c>
      <c r="G19" s="223">
        <f t="shared" ref="G19:K20" si="3">G$16*G39</f>
        <v>-35859.112029377786</v>
      </c>
      <c r="H19" s="223">
        <f t="shared" si="3"/>
        <v>-38319.70515210239</v>
      </c>
      <c r="I19" s="223">
        <f t="shared" si="3"/>
        <v>-40638.634224191032</v>
      </c>
      <c r="J19" s="223">
        <f t="shared" si="3"/>
        <v>-42974.478317791647</v>
      </c>
      <c r="K19" s="223">
        <f t="shared" si="3"/>
        <v>-45309.723331161622</v>
      </c>
    </row>
    <row r="20" spans="3:11" s="15" customFormat="1" ht="15" customHeight="1" x14ac:dyDescent="0.25">
      <c r="C20" s="225" t="s">
        <v>194</v>
      </c>
      <c r="D20" s="238">
        <v>-24932</v>
      </c>
      <c r="E20" s="188">
        <v>-26097</v>
      </c>
      <c r="F20" s="188">
        <v>-27601</v>
      </c>
      <c r="G20" s="223">
        <f t="shared" si="3"/>
        <v>-29441.525352777702</v>
      </c>
      <c r="H20" s="223">
        <f t="shared" si="3"/>
        <v>-31461.754262690949</v>
      </c>
      <c r="I20" s="223">
        <f t="shared" si="3"/>
        <v>-33365.67226855953</v>
      </c>
      <c r="J20" s="223">
        <f t="shared" si="3"/>
        <v>-35283.478070486184</v>
      </c>
      <c r="K20" s="223">
        <f t="shared" si="3"/>
        <v>-37200.792007589625</v>
      </c>
    </row>
    <row r="21" spans="3:11" ht="15" customHeight="1" x14ac:dyDescent="0.25">
      <c r="C21" s="198" t="s">
        <v>201</v>
      </c>
      <c r="D21" s="216">
        <f>SUM(D18:D20)</f>
        <v>114301</v>
      </c>
      <c r="E21" s="216">
        <f t="shared" ref="E21:K21" si="4">SUM(E18:E20)</f>
        <v>123216</v>
      </c>
      <c r="F21" s="216">
        <f t="shared" si="4"/>
        <v>133050</v>
      </c>
      <c r="G21" s="216">
        <f t="shared" si="4"/>
        <v>138659.07017704874</v>
      </c>
      <c r="H21" s="216">
        <f t="shared" si="4"/>
        <v>148173.62687330818</v>
      </c>
      <c r="I21" s="216">
        <f t="shared" si="4"/>
        <v>157140.40074877156</v>
      </c>
      <c r="J21" s="216">
        <f t="shared" si="4"/>
        <v>166172.5811840223</v>
      </c>
      <c r="K21" s="216">
        <f t="shared" si="4"/>
        <v>175202.44511161186</v>
      </c>
    </row>
    <row r="22" spans="3:11" ht="15" customHeight="1" x14ac:dyDescent="0.25">
      <c r="C22" s="226" t="s">
        <v>195</v>
      </c>
      <c r="D22" s="238">
        <v>0</v>
      </c>
      <c r="E22" s="238">
        <v>269</v>
      </c>
      <c r="F22" s="238">
        <v>-321</v>
      </c>
      <c r="G22" s="223">
        <f>F22</f>
        <v>-321</v>
      </c>
      <c r="H22" s="223">
        <f t="shared" ref="H22:K22" si="5">G22</f>
        <v>-321</v>
      </c>
      <c r="I22" s="223">
        <f t="shared" si="5"/>
        <v>-321</v>
      </c>
      <c r="J22" s="223">
        <f t="shared" si="5"/>
        <v>-321</v>
      </c>
      <c r="K22" s="223">
        <f t="shared" si="5"/>
        <v>-321</v>
      </c>
    </row>
    <row r="23" spans="3:11" ht="15" customHeight="1" x14ac:dyDescent="0.25">
      <c r="C23" s="226" t="s">
        <v>198</v>
      </c>
      <c r="D23" s="238">
        <v>3750</v>
      </c>
      <c r="E23" s="188">
        <v>0</v>
      </c>
      <c r="F23" s="188">
        <v>0</v>
      </c>
      <c r="G23" s="223">
        <v>0</v>
      </c>
      <c r="H23" s="223">
        <v>0</v>
      </c>
      <c r="I23" s="223">
        <v>0</v>
      </c>
      <c r="J23" s="223">
        <v>0</v>
      </c>
      <c r="K23" s="223">
        <v>0</v>
      </c>
    </row>
    <row r="24" spans="3:11" ht="15" customHeight="1" x14ac:dyDescent="0.25">
      <c r="C24" s="226" t="s">
        <v>199</v>
      </c>
      <c r="D24" s="238">
        <v>-3933</v>
      </c>
      <c r="E24" s="188">
        <v>0</v>
      </c>
      <c r="F24" s="188">
        <v>0</v>
      </c>
      <c r="G24" s="223">
        <v>0</v>
      </c>
      <c r="H24" s="223">
        <v>0</v>
      </c>
      <c r="I24" s="223">
        <v>0</v>
      </c>
      <c r="J24" s="223">
        <v>0</v>
      </c>
      <c r="K24" s="223">
        <v>0</v>
      </c>
    </row>
    <row r="25" spans="3:11" ht="15" customHeight="1" x14ac:dyDescent="0.25">
      <c r="C25" s="226" t="s">
        <v>200</v>
      </c>
      <c r="D25" s="238">
        <v>-382</v>
      </c>
      <c r="E25" s="188">
        <v>0</v>
      </c>
      <c r="F25" s="188">
        <v>0</v>
      </c>
      <c r="G25" s="223">
        <v>0</v>
      </c>
      <c r="H25" s="223">
        <v>0</v>
      </c>
      <c r="I25" s="223">
        <v>0</v>
      </c>
      <c r="J25" s="223">
        <v>0</v>
      </c>
      <c r="K25" s="223">
        <v>0</v>
      </c>
    </row>
    <row r="26" spans="3:11" s="13" customFormat="1" ht="15" customHeight="1" x14ac:dyDescent="0.25">
      <c r="C26" s="13" t="s">
        <v>197</v>
      </c>
      <c r="D26" s="216">
        <f t="shared" ref="D26:F26" si="6">SUM(D21:D25)</f>
        <v>113736</v>
      </c>
      <c r="E26" s="216">
        <f t="shared" si="6"/>
        <v>123485</v>
      </c>
      <c r="F26" s="216">
        <f t="shared" si="6"/>
        <v>132729</v>
      </c>
      <c r="G26" s="216">
        <f t="shared" ref="G26" si="7">SUM(G21:G25)</f>
        <v>138338.07017704874</v>
      </c>
      <c r="H26" s="216">
        <f t="shared" ref="H26" si="8">SUM(H21:H25)</f>
        <v>147852.62687330818</v>
      </c>
      <c r="I26" s="216">
        <f t="shared" ref="I26" si="9">SUM(I21:I25)</f>
        <v>156819.40074877156</v>
      </c>
      <c r="J26" s="216">
        <f t="shared" ref="J26" si="10">SUM(J21:J25)</f>
        <v>165851.5811840223</v>
      </c>
      <c r="K26" s="216">
        <f t="shared" ref="K26" si="11">SUM(K21:K25)</f>
        <v>174881.44511161186</v>
      </c>
    </row>
    <row r="27" spans="3:11" ht="15" customHeight="1" x14ac:dyDescent="0.25">
      <c r="C27" s="6" t="s">
        <v>196</v>
      </c>
      <c r="D27" s="238">
        <v>-16741</v>
      </c>
      <c r="E27" s="238">
        <v>-29749</v>
      </c>
      <c r="F27" s="238">
        <v>-20719</v>
      </c>
      <c r="G27" s="264">
        <f>G26*G41</f>
        <v>-25094.692732541851</v>
      </c>
      <c r="H27" s="264">
        <f>H26*H41</f>
        <v>-26820.644789509261</v>
      </c>
      <c r="I27" s="264">
        <f>I26*I41</f>
        <v>-28447.228382289995</v>
      </c>
      <c r="J27" s="264">
        <f>J26*J41</f>
        <v>-30085.676803880728</v>
      </c>
      <c r="K27" s="264">
        <f>K26*K41</f>
        <v>-31723.705008188568</v>
      </c>
    </row>
    <row r="28" spans="3:11" ht="15" customHeight="1" x14ac:dyDescent="0.25">
      <c r="C28" s="13" t="s">
        <v>180</v>
      </c>
      <c r="D28" s="216">
        <f>SUM(D26:D27)</f>
        <v>96995</v>
      </c>
      <c r="E28" s="216">
        <f t="shared" ref="E28:K28" si="12">SUM(E26:E27)</f>
        <v>93736</v>
      </c>
      <c r="F28" s="216">
        <f t="shared" si="12"/>
        <v>112010</v>
      </c>
      <c r="G28" s="216">
        <f t="shared" si="12"/>
        <v>113243.37744450688</v>
      </c>
      <c r="H28" s="216">
        <f t="shared" si="12"/>
        <v>121031.98208379892</v>
      </c>
      <c r="I28" s="216">
        <f t="shared" si="12"/>
        <v>128372.17236648157</v>
      </c>
      <c r="J28" s="216">
        <f t="shared" si="12"/>
        <v>135765.90438014158</v>
      </c>
      <c r="K28" s="216">
        <f t="shared" si="12"/>
        <v>143157.7401034233</v>
      </c>
    </row>
    <row r="29" spans="3:11" ht="15" customHeight="1" x14ac:dyDescent="0.25">
      <c r="D29" s="14"/>
      <c r="E29" s="14"/>
      <c r="F29" s="14"/>
      <c r="G29" s="224"/>
      <c r="H29" s="227"/>
      <c r="I29" s="227"/>
      <c r="J29" s="227"/>
      <c r="K29" s="227"/>
    </row>
    <row r="30" spans="3:11" ht="15" customHeight="1" x14ac:dyDescent="0.25">
      <c r="C30" s="6" t="s">
        <v>23</v>
      </c>
      <c r="D30" s="238">
        <v>11519</v>
      </c>
      <c r="E30" s="238">
        <v>11445</v>
      </c>
      <c r="F30" s="238">
        <v>11698</v>
      </c>
      <c r="G30" s="185">
        <f>G138</f>
        <v>12993.360435342473</v>
      </c>
      <c r="H30" s="185">
        <f t="shared" ref="H30:K30" si="13">H138</f>
        <v>13884.9433976337</v>
      </c>
      <c r="I30" s="185">
        <f t="shared" si="13"/>
        <v>14725.195137078816</v>
      </c>
      <c r="J30" s="185">
        <f t="shared" si="13"/>
        <v>15571.57594550636</v>
      </c>
      <c r="K30" s="185">
        <f t="shared" si="13"/>
        <v>16417.739680366663</v>
      </c>
    </row>
    <row r="31" spans="3:11" s="13" customFormat="1" ht="15" customHeight="1" x14ac:dyDescent="0.25">
      <c r="C31" s="228" t="s">
        <v>24</v>
      </c>
      <c r="D31" s="14">
        <f>D30+D21</f>
        <v>125820</v>
      </c>
      <c r="E31" s="14">
        <f t="shared" ref="E31:K31" si="14">E30+E21</f>
        <v>134661</v>
      </c>
      <c r="F31" s="14">
        <f t="shared" si="14"/>
        <v>144748</v>
      </c>
      <c r="G31" s="14">
        <f t="shared" si="14"/>
        <v>151652.43061239121</v>
      </c>
      <c r="H31" s="14">
        <f t="shared" si="14"/>
        <v>162058.57027094188</v>
      </c>
      <c r="I31" s="14">
        <f t="shared" si="14"/>
        <v>171865.59588585037</v>
      </c>
      <c r="J31" s="14">
        <f t="shared" si="14"/>
        <v>181744.15712952867</v>
      </c>
      <c r="K31" s="14">
        <f t="shared" si="14"/>
        <v>191620.18479197851</v>
      </c>
    </row>
    <row r="32" spans="3:11" ht="15" customHeight="1" x14ac:dyDescent="0.25">
      <c r="C32" s="229" t="s">
        <v>149</v>
      </c>
      <c r="D32" s="15">
        <f>D31/D16</f>
        <v>0.32826747720364741</v>
      </c>
      <c r="E32" s="15">
        <f t="shared" ref="E32:K32" si="15">E31/E16</f>
        <v>0.34437070850435381</v>
      </c>
      <c r="F32" s="15">
        <f t="shared" si="15"/>
        <v>0.34781731108873731</v>
      </c>
      <c r="G32" s="15">
        <f t="shared" si="15"/>
        <v>0.34015183226557955</v>
      </c>
      <c r="H32" s="15">
        <f t="shared" si="15"/>
        <v>0.34015183226557955</v>
      </c>
      <c r="I32" s="15">
        <f t="shared" si="15"/>
        <v>0.34015183226557966</v>
      </c>
      <c r="J32" s="15">
        <f t="shared" si="15"/>
        <v>0.34015183226557955</v>
      </c>
      <c r="K32" s="15">
        <f t="shared" si="15"/>
        <v>0.34015183226557955</v>
      </c>
    </row>
    <row r="33" spans="1:11" ht="15" customHeight="1" x14ac:dyDescent="0.25">
      <c r="C33" s="272" t="s">
        <v>202</v>
      </c>
      <c r="D33" s="185">
        <v>10833</v>
      </c>
      <c r="E33" s="185">
        <v>11688</v>
      </c>
      <c r="F33" s="185">
        <v>12863</v>
      </c>
      <c r="G33" s="185">
        <f>F33*(1+G37)</f>
        <v>13780.261274590845</v>
      </c>
      <c r="H33" s="185">
        <f t="shared" ref="H33:K33" si="16">G33*(1+H37)</f>
        <v>14725.840074585318</v>
      </c>
      <c r="I33" s="185">
        <f t="shared" si="16"/>
        <v>15616.978942286401</v>
      </c>
      <c r="J33" s="185">
        <f t="shared" si="16"/>
        <v>16514.618066204352</v>
      </c>
      <c r="K33" s="185">
        <f t="shared" si="16"/>
        <v>17412.026970196726</v>
      </c>
    </row>
    <row r="34" spans="1:11" ht="15" customHeight="1" x14ac:dyDescent="0.25">
      <c r="C34" s="228" t="s">
        <v>203</v>
      </c>
      <c r="D34" s="14">
        <f>D31+D33</f>
        <v>136653</v>
      </c>
      <c r="E34" s="14">
        <f t="shared" ref="E34:K34" si="17">E31+E33</f>
        <v>146349</v>
      </c>
      <c r="F34" s="14">
        <f t="shared" si="17"/>
        <v>157611</v>
      </c>
      <c r="G34" s="14">
        <f t="shared" si="17"/>
        <v>165432.69188698207</v>
      </c>
      <c r="H34" s="14">
        <f t="shared" si="17"/>
        <v>176784.4103455272</v>
      </c>
      <c r="I34" s="14">
        <f t="shared" si="17"/>
        <v>187482.57482813677</v>
      </c>
      <c r="J34" s="14">
        <f t="shared" si="17"/>
        <v>198258.77519573303</v>
      </c>
      <c r="K34" s="14">
        <f t="shared" si="17"/>
        <v>209032.21176217523</v>
      </c>
    </row>
    <row r="35" spans="1:11" ht="15" customHeight="1" x14ac:dyDescent="0.25">
      <c r="C35" s="17"/>
      <c r="D35" s="14"/>
      <c r="E35" s="14"/>
      <c r="F35" s="14"/>
      <c r="G35" s="197"/>
      <c r="H35" s="14"/>
      <c r="I35" s="14"/>
      <c r="J35" s="14"/>
      <c r="K35" s="14"/>
    </row>
    <row r="36" spans="1:11" ht="15" customHeight="1" x14ac:dyDescent="0.25">
      <c r="C36" s="20" t="s">
        <v>27</v>
      </c>
      <c r="D36" s="21"/>
      <c r="E36" s="21"/>
      <c r="F36" s="14"/>
      <c r="H36" s="21"/>
      <c r="I36" s="21"/>
      <c r="J36" s="21"/>
      <c r="K36" s="21"/>
    </row>
    <row r="37" spans="1:11" ht="15" customHeight="1" x14ac:dyDescent="0.25">
      <c r="C37" s="17" t="s">
        <v>25</v>
      </c>
      <c r="D37" s="209"/>
      <c r="E37" s="209">
        <f t="shared" ref="E37:K37" si="18">E16/D16-1</f>
        <v>2.021994077514111E-2</v>
      </c>
      <c r="F37" s="209">
        <f t="shared" si="18"/>
        <v>6.425511782832749E-2</v>
      </c>
      <c r="G37" s="209">
        <f t="shared" si="18"/>
        <v>7.1310057886250888E-2</v>
      </c>
      <c r="H37" s="209">
        <f t="shared" si="18"/>
        <v>6.8618350635920589E-2</v>
      </c>
      <c r="I37" s="209">
        <f t="shared" si="18"/>
        <v>6.0515316150897336E-2</v>
      </c>
      <c r="J37" s="209">
        <f t="shared" si="18"/>
        <v>5.747841034013268E-2</v>
      </c>
      <c r="K37" s="209">
        <f t="shared" si="18"/>
        <v>5.4340276014547273E-2</v>
      </c>
    </row>
    <row r="38" spans="1:11" ht="15" customHeight="1" x14ac:dyDescent="0.25">
      <c r="C38" s="17" t="s">
        <v>205</v>
      </c>
      <c r="D38" s="22">
        <f>D18/D16</f>
        <v>0.44131129577207562</v>
      </c>
      <c r="E38" s="22">
        <f>E18/E16</f>
        <v>0.46206349815233932</v>
      </c>
      <c r="F38" s="22">
        <f>F18/F16</f>
        <v>0.46905164107160452</v>
      </c>
      <c r="G38" s="242">
        <f>AVERAGE(D38:F38)</f>
        <v>0.45747547833200652</v>
      </c>
      <c r="H38" s="242">
        <f>G38</f>
        <v>0.45747547833200652</v>
      </c>
      <c r="I38" s="242">
        <f t="shared" ref="I38:K38" si="19">H38</f>
        <v>0.45747547833200652</v>
      </c>
      <c r="J38" s="242">
        <f t="shared" si="19"/>
        <v>0.45747547833200652</v>
      </c>
      <c r="K38" s="242">
        <f t="shared" si="19"/>
        <v>0.45747547833200652</v>
      </c>
    </row>
    <row r="39" spans="1:11" ht="15" customHeight="1" x14ac:dyDescent="0.25">
      <c r="C39" s="17" t="s">
        <v>206</v>
      </c>
      <c r="D39" s="22">
        <f>D19/D16</f>
        <v>-7.8048971392045086E-2</v>
      </c>
      <c r="E39" s="22">
        <f>E19/E16</f>
        <v>-8.0222997941360744E-2</v>
      </c>
      <c r="F39" s="22">
        <f>F19/F16</f>
        <v>-8.3020753987038676E-2</v>
      </c>
      <c r="G39" s="242">
        <f t="shared" ref="G39:G41" si="20">AVERAGE(D39:F39)</f>
        <v>-8.0430907773481497E-2</v>
      </c>
      <c r="H39" s="242">
        <f t="shared" ref="H39:K39" si="21">G39</f>
        <v>-8.0430907773481497E-2</v>
      </c>
      <c r="I39" s="242">
        <f t="shared" si="21"/>
        <v>-8.0430907773481497E-2</v>
      </c>
      <c r="J39" s="242">
        <f t="shared" si="21"/>
        <v>-8.0430907773481497E-2</v>
      </c>
      <c r="K39" s="242">
        <f t="shared" si="21"/>
        <v>-8.0430907773481497E-2</v>
      </c>
    </row>
    <row r="40" spans="1:11" ht="15" customHeight="1" x14ac:dyDescent="0.25">
      <c r="C40" s="17" t="s">
        <v>207</v>
      </c>
      <c r="D40" s="22">
        <f>D20/D16</f>
        <v>-6.5048201729783317E-2</v>
      </c>
      <c r="E40" s="22">
        <f>E20/E16</f>
        <v>-6.6738271510222866E-2</v>
      </c>
      <c r="F40" s="22">
        <f>F20/F16</f>
        <v>-6.6322889458647019E-2</v>
      </c>
      <c r="G40" s="242">
        <f t="shared" si="20"/>
        <v>-6.6036454232884401E-2</v>
      </c>
      <c r="H40" s="242">
        <f t="shared" ref="H40:K40" si="22">G40</f>
        <v>-6.6036454232884401E-2</v>
      </c>
      <c r="I40" s="242">
        <f t="shared" si="22"/>
        <v>-6.6036454232884401E-2</v>
      </c>
      <c r="J40" s="242">
        <f t="shared" si="22"/>
        <v>-6.6036454232884401E-2</v>
      </c>
      <c r="K40" s="242">
        <f t="shared" si="22"/>
        <v>-6.6036454232884401E-2</v>
      </c>
    </row>
    <row r="41" spans="1:11" ht="15" customHeight="1" x14ac:dyDescent="0.25">
      <c r="C41" s="17" t="s">
        <v>26</v>
      </c>
      <c r="D41" s="22">
        <f>D27/D26</f>
        <v>-0.14719174228036858</v>
      </c>
      <c r="E41" s="22">
        <f>E27/E26</f>
        <v>-0.24091185164189982</v>
      </c>
      <c r="F41" s="22">
        <f>F27/F26</f>
        <v>-0.15610002335586043</v>
      </c>
      <c r="G41" s="242">
        <f t="shared" si="20"/>
        <v>-0.18140120575937627</v>
      </c>
      <c r="H41" s="242">
        <f t="shared" ref="H41:K41" si="23">G41</f>
        <v>-0.18140120575937627</v>
      </c>
      <c r="I41" s="242">
        <f t="shared" si="23"/>
        <v>-0.18140120575937627</v>
      </c>
      <c r="J41" s="242">
        <f t="shared" si="23"/>
        <v>-0.18140120575937627</v>
      </c>
      <c r="K41" s="242">
        <f t="shared" si="23"/>
        <v>-0.18140120575937627</v>
      </c>
    </row>
    <row r="42" spans="1:11" ht="15" customHeight="1" x14ac:dyDescent="0.25">
      <c r="C42" s="17"/>
      <c r="D42" s="23"/>
      <c r="E42" s="23"/>
      <c r="F42" s="23"/>
      <c r="G42" s="23"/>
      <c r="H42" s="23"/>
      <c r="I42" s="23"/>
      <c r="J42" s="23"/>
      <c r="K42" s="23"/>
    </row>
    <row r="43" spans="1:11" customFormat="1" x14ac:dyDescent="0.25">
      <c r="A43" t="s">
        <v>187</v>
      </c>
      <c r="C43" s="39" t="s">
        <v>44</v>
      </c>
      <c r="D43" s="246"/>
      <c r="E43" s="46"/>
      <c r="F43" s="46"/>
      <c r="G43" s="40"/>
      <c r="H43" s="40"/>
      <c r="I43" s="40"/>
      <c r="J43" s="40"/>
      <c r="K43" s="40"/>
    </row>
    <row r="44" spans="1:11" customFormat="1" x14ac:dyDescent="0.25">
      <c r="C44" t="s">
        <v>42</v>
      </c>
      <c r="D44" s="41">
        <f>D$13</f>
        <v>2023</v>
      </c>
      <c r="E44" s="41">
        <f t="shared" ref="E44:K44" si="24">E$13</f>
        <v>2024</v>
      </c>
      <c r="F44" s="41">
        <f t="shared" si="24"/>
        <v>2025</v>
      </c>
      <c r="G44" s="42">
        <f t="shared" si="24"/>
        <v>2026</v>
      </c>
      <c r="H44" s="42">
        <f t="shared" si="24"/>
        <v>2027</v>
      </c>
      <c r="I44" s="42">
        <f t="shared" si="24"/>
        <v>2028</v>
      </c>
      <c r="J44" s="42">
        <f t="shared" si="24"/>
        <v>2029</v>
      </c>
      <c r="K44" s="42">
        <f t="shared" si="24"/>
        <v>2030</v>
      </c>
    </row>
    <row r="45" spans="1:11" customFormat="1" x14ac:dyDescent="0.25">
      <c r="C45" s="43" t="s">
        <v>43</v>
      </c>
      <c r="D45" s="245">
        <f>D$14</f>
        <v>45199</v>
      </c>
      <c r="E45" s="230">
        <f t="shared" ref="E45:K45" si="25">E$14</f>
        <v>45565</v>
      </c>
      <c r="F45" s="230">
        <f t="shared" si="25"/>
        <v>45927</v>
      </c>
      <c r="G45" s="230">
        <f t="shared" si="25"/>
        <v>46295</v>
      </c>
      <c r="H45" s="230">
        <f t="shared" si="25"/>
        <v>46660</v>
      </c>
      <c r="I45" s="230">
        <f t="shared" si="25"/>
        <v>47026</v>
      </c>
      <c r="J45" s="230">
        <f t="shared" si="25"/>
        <v>47391</v>
      </c>
      <c r="K45" s="230">
        <f t="shared" si="25"/>
        <v>47756</v>
      </c>
    </row>
    <row r="46" spans="1:11" s="35" customFormat="1" ht="15" customHeight="1" x14ac:dyDescent="0.25">
      <c r="C46" s="45" t="s">
        <v>3</v>
      </c>
    </row>
    <row r="47" spans="1:11" ht="15" customHeight="1" x14ac:dyDescent="0.25"/>
    <row r="48" spans="1:11" ht="15" customHeight="1" x14ac:dyDescent="0.25">
      <c r="B48" s="6" t="s">
        <v>187</v>
      </c>
      <c r="C48" s="13" t="s">
        <v>4</v>
      </c>
    </row>
    <row r="49" spans="2:11" ht="15" customHeight="1" x14ac:dyDescent="0.25">
      <c r="C49" s="17" t="s">
        <v>208</v>
      </c>
      <c r="D49" s="10">
        <v>29965</v>
      </c>
      <c r="E49" s="10">
        <v>29943</v>
      </c>
      <c r="F49" s="10">
        <v>35934</v>
      </c>
      <c r="G49" s="185">
        <f>G118</f>
        <v>38739.982272594032</v>
      </c>
      <c r="H49" s="185">
        <f t="shared" ref="H49:K49" si="26">H118</f>
        <v>38792.582116191217</v>
      </c>
      <c r="I49" s="185">
        <f t="shared" si="26"/>
        <v>38371.34130200799</v>
      </c>
      <c r="J49" s="185">
        <f t="shared" si="26"/>
        <v>37733.442315586581</v>
      </c>
      <c r="K49" s="185">
        <f t="shared" si="26"/>
        <v>36850.348184168397</v>
      </c>
    </row>
    <row r="50" spans="2:11" ht="15" customHeight="1" x14ac:dyDescent="0.25">
      <c r="C50" s="17" t="s">
        <v>209</v>
      </c>
      <c r="D50" s="10">
        <v>31590</v>
      </c>
      <c r="E50" s="10">
        <v>35228</v>
      </c>
      <c r="F50" s="10">
        <v>18763</v>
      </c>
      <c r="G50" s="19">
        <f>F50</f>
        <v>18763</v>
      </c>
      <c r="H50" s="19">
        <f t="shared" ref="H50:K50" si="27">G50</f>
        <v>18763</v>
      </c>
      <c r="I50" s="19">
        <f t="shared" si="27"/>
        <v>18763</v>
      </c>
      <c r="J50" s="19">
        <f t="shared" si="27"/>
        <v>18763</v>
      </c>
      <c r="K50" s="19">
        <f t="shared" si="27"/>
        <v>18763</v>
      </c>
    </row>
    <row r="51" spans="2:11" ht="15" customHeight="1" x14ac:dyDescent="0.25">
      <c r="C51" s="17" t="s">
        <v>210</v>
      </c>
      <c r="D51" s="10">
        <v>29508</v>
      </c>
      <c r="E51" s="10">
        <v>33410</v>
      </c>
      <c r="F51" s="10">
        <v>39777</v>
      </c>
      <c r="G51" s="19">
        <f>G165</f>
        <v>38343.183766037298</v>
      </c>
      <c r="H51" s="19">
        <f t="shared" ref="H51:K51" si="28">H165</f>
        <v>40974.229794192783</v>
      </c>
      <c r="I51" s="19">
        <f t="shared" si="28"/>
        <v>43453.798264227873</v>
      </c>
      <c r="J51" s="19">
        <f t="shared" si="28"/>
        <v>45951.453511696513</v>
      </c>
      <c r="K51" s="19">
        <f t="shared" si="28"/>
        <v>48448.468178791736</v>
      </c>
    </row>
    <row r="52" spans="2:11" ht="15" customHeight="1" x14ac:dyDescent="0.25">
      <c r="C52" s="17" t="s">
        <v>211</v>
      </c>
      <c r="D52" s="10">
        <v>31477</v>
      </c>
      <c r="E52" s="10">
        <v>32833</v>
      </c>
      <c r="F52" s="10">
        <v>33180</v>
      </c>
      <c r="G52" s="19">
        <f>G166</f>
        <v>36531.532172799554</v>
      </c>
      <c r="H52" s="19">
        <f t="shared" ref="H52:K52" si="29">H166</f>
        <v>39038.265656700125</v>
      </c>
      <c r="I52" s="19">
        <f t="shared" si="29"/>
        <v>41400.678644898049</v>
      </c>
      <c r="J52" s="19">
        <f t="shared" si="29"/>
        <v>43780.323840409466</v>
      </c>
      <c r="K52" s="19">
        <f t="shared" si="29"/>
        <v>46159.358721903584</v>
      </c>
    </row>
    <row r="53" spans="2:11" ht="15" customHeight="1" x14ac:dyDescent="0.25">
      <c r="C53" s="17" t="s">
        <v>185</v>
      </c>
      <c r="D53" s="10">
        <v>6331</v>
      </c>
      <c r="E53" s="10">
        <v>7286</v>
      </c>
      <c r="F53" s="10">
        <v>5718</v>
      </c>
      <c r="G53" s="19">
        <f>G167</f>
        <v>7262.8111331907367</v>
      </c>
      <c r="H53" s="19">
        <f t="shared" ref="H53:K53" si="30">H167</f>
        <v>7761.1732541304855</v>
      </c>
      <c r="I53" s="19">
        <f t="shared" si="30"/>
        <v>8230.8431073060801</v>
      </c>
      <c r="J53" s="19">
        <f t="shared" si="30"/>
        <v>8703.9388848730705</v>
      </c>
      <c r="K53" s="19">
        <f t="shared" si="30"/>
        <v>9176.9133262908254</v>
      </c>
    </row>
    <row r="54" spans="2:11" ht="15" customHeight="1" x14ac:dyDescent="0.25">
      <c r="C54" s="17" t="s">
        <v>212</v>
      </c>
      <c r="D54" s="10">
        <v>14695</v>
      </c>
      <c r="E54" s="10">
        <v>14287</v>
      </c>
      <c r="F54" s="10">
        <v>14585</v>
      </c>
      <c r="G54" s="19">
        <f>G168</f>
        <v>15625.057194270968</v>
      </c>
      <c r="H54" s="19">
        <f t="shared" ref="H54:K54" si="31">H168</f>
        <v>16697.222847533765</v>
      </c>
      <c r="I54" s="19">
        <f t="shared" si="31"/>
        <v>17707.660566994258</v>
      </c>
      <c r="J54" s="19">
        <f t="shared" si="31"/>
        <v>18725.46874722774</v>
      </c>
      <c r="K54" s="19">
        <f t="shared" si="31"/>
        <v>19743.015887453876</v>
      </c>
    </row>
    <row r="55" spans="2:11" ht="15" customHeight="1" x14ac:dyDescent="0.25">
      <c r="C55" s="11" t="s">
        <v>5</v>
      </c>
      <c r="D55" s="12">
        <f t="shared" ref="D55" si="32">SUM(D49:D54)</f>
        <v>143566</v>
      </c>
      <c r="E55" s="12">
        <f t="shared" ref="E55" si="33">SUM(E49:E54)</f>
        <v>152987</v>
      </c>
      <c r="F55" s="12">
        <f t="shared" ref="F55" si="34">SUM(F49:F54)</f>
        <v>147957</v>
      </c>
      <c r="G55" s="12">
        <f t="shared" ref="G55" si="35">SUM(G49:G54)</f>
        <v>155265.5665388926</v>
      </c>
      <c r="H55" s="12">
        <f t="shared" ref="H55" si="36">SUM(H49:H54)</f>
        <v>162026.47366874837</v>
      </c>
      <c r="I55" s="12">
        <f t="shared" ref="I55" si="37">SUM(I49:I54)</f>
        <v>167927.32188543424</v>
      </c>
      <c r="J55" s="12">
        <f t="shared" ref="J55" si="38">SUM(J49:J54)</f>
        <v>173657.62729979336</v>
      </c>
      <c r="K55" s="12">
        <f t="shared" ref="K55" si="39">SUM(K49:K54)</f>
        <v>179141.10429860844</v>
      </c>
    </row>
    <row r="56" spans="2:11" ht="15" customHeight="1" x14ac:dyDescent="0.25">
      <c r="E56" s="18"/>
      <c r="F56" s="18"/>
      <c r="G56" s="18"/>
      <c r="H56" s="18"/>
      <c r="I56" s="18"/>
      <c r="J56" s="18"/>
      <c r="K56" s="18"/>
    </row>
    <row r="57" spans="2:11" ht="15" customHeight="1" x14ac:dyDescent="0.25">
      <c r="B57" s="6" t="s">
        <v>187</v>
      </c>
      <c r="C57" s="13" t="s">
        <v>6</v>
      </c>
      <c r="E57" s="18"/>
      <c r="F57" s="18"/>
      <c r="G57" s="18"/>
      <c r="H57" s="18"/>
      <c r="I57" s="18"/>
      <c r="J57" s="18"/>
      <c r="K57" s="18"/>
    </row>
    <row r="58" spans="2:11" ht="15" customHeight="1" x14ac:dyDescent="0.25">
      <c r="C58" s="24" t="s">
        <v>209</v>
      </c>
      <c r="D58" s="10">
        <v>100544</v>
      </c>
      <c r="E58" s="10">
        <v>91479</v>
      </c>
      <c r="F58" s="10">
        <v>77723</v>
      </c>
      <c r="G58" s="19">
        <f>F58</f>
        <v>77723</v>
      </c>
      <c r="H58" s="19">
        <f t="shared" ref="H58:K58" si="40">G58</f>
        <v>77723</v>
      </c>
      <c r="I58" s="19">
        <f t="shared" si="40"/>
        <v>77723</v>
      </c>
      <c r="J58" s="19">
        <f t="shared" si="40"/>
        <v>77723</v>
      </c>
      <c r="K58" s="19">
        <f t="shared" si="40"/>
        <v>77723</v>
      </c>
    </row>
    <row r="59" spans="2:11" ht="15" customHeight="1" x14ac:dyDescent="0.25">
      <c r="C59" s="17" t="s">
        <v>213</v>
      </c>
      <c r="D59" s="10">
        <v>43715</v>
      </c>
      <c r="E59" s="10">
        <v>45680</v>
      </c>
      <c r="F59" s="10">
        <v>49834</v>
      </c>
      <c r="G59" s="19">
        <f>G129</f>
        <v>52945.100520286614</v>
      </c>
      <c r="H59" s="19">
        <f t="shared" ref="H59:K59" si="41">H129</f>
        <v>56269.679626937839</v>
      </c>
      <c r="I59" s="19">
        <f t="shared" si="41"/>
        <v>59795.446689296732</v>
      </c>
      <c r="J59" s="19">
        <f t="shared" si="41"/>
        <v>63523.869237629617</v>
      </c>
      <c r="K59" s="19">
        <f t="shared" si="41"/>
        <v>67454.895296337781</v>
      </c>
    </row>
    <row r="60" spans="2:11" ht="15" customHeight="1" x14ac:dyDescent="0.25">
      <c r="C60" s="17" t="s">
        <v>214</v>
      </c>
      <c r="D60" s="10">
        <v>64758</v>
      </c>
      <c r="E60" s="10">
        <v>74834</v>
      </c>
      <c r="F60" s="10">
        <v>83727</v>
      </c>
      <c r="G60" s="19">
        <f>F60-G136</f>
        <v>80002.604707636492</v>
      </c>
      <c r="H60" s="19">
        <f t="shared" ref="H60:K60" si="42">G60-H136</f>
        <v>76022.647553194809</v>
      </c>
      <c r="I60" s="19">
        <f t="shared" si="42"/>
        <v>71801.842033285066</v>
      </c>
      <c r="J60" s="19">
        <f t="shared" si="42"/>
        <v>67338.431321736047</v>
      </c>
      <c r="K60" s="19">
        <f t="shared" si="42"/>
        <v>62632.477640155172</v>
      </c>
    </row>
    <row r="61" spans="2:11" ht="15" customHeight="1" x14ac:dyDescent="0.25">
      <c r="C61" s="11" t="s">
        <v>7</v>
      </c>
      <c r="D61" s="12">
        <f>SUM(D58:D60)</f>
        <v>209017</v>
      </c>
      <c r="E61" s="12">
        <f>SUM(E58:E60)</f>
        <v>211993</v>
      </c>
      <c r="F61" s="12">
        <f>SUM(F58:F60)</f>
        <v>211284</v>
      </c>
      <c r="G61" s="12">
        <f>SUM(G58:G60)</f>
        <v>210670.70522792311</v>
      </c>
      <c r="H61" s="12">
        <f t="shared" ref="H61:K61" si="43">SUM(H58:H60)</f>
        <v>210015.32718013265</v>
      </c>
      <c r="I61" s="12">
        <f t="shared" si="43"/>
        <v>209320.28872258181</v>
      </c>
      <c r="J61" s="12">
        <f t="shared" si="43"/>
        <v>208585.30055936566</v>
      </c>
      <c r="K61" s="12">
        <f t="shared" si="43"/>
        <v>207810.37293649296</v>
      </c>
    </row>
    <row r="62" spans="2:11" ht="15" customHeight="1" x14ac:dyDescent="0.25">
      <c r="E62" s="19"/>
      <c r="F62" s="19"/>
      <c r="G62" s="19"/>
      <c r="H62" s="19"/>
      <c r="I62" s="19"/>
      <c r="J62" s="19"/>
      <c r="K62" s="19"/>
    </row>
    <row r="63" spans="2:11" ht="15" customHeight="1" x14ac:dyDescent="0.25">
      <c r="C63" s="13" t="s">
        <v>8</v>
      </c>
      <c r="D63" s="14">
        <f>D55+D61</f>
        <v>352583</v>
      </c>
      <c r="E63" s="14">
        <f>E55+E61</f>
        <v>364980</v>
      </c>
      <c r="F63" s="14">
        <f>F55+F61</f>
        <v>359241</v>
      </c>
      <c r="G63" s="14">
        <f>G55+G61</f>
        <v>365936.27176681568</v>
      </c>
      <c r="H63" s="14">
        <f t="shared" ref="H63:K63" si="44">H55+H61</f>
        <v>372041.80084888102</v>
      </c>
      <c r="I63" s="14">
        <f t="shared" si="44"/>
        <v>377247.61060801602</v>
      </c>
      <c r="J63" s="14">
        <f t="shared" si="44"/>
        <v>382242.92785915901</v>
      </c>
      <c r="K63" s="14">
        <f t="shared" si="44"/>
        <v>386951.4772351014</v>
      </c>
    </row>
    <row r="64" spans="2:11" ht="15" customHeight="1" x14ac:dyDescent="0.25">
      <c r="E64" s="18"/>
      <c r="F64" s="18"/>
      <c r="G64" s="18"/>
      <c r="H64" s="18"/>
      <c r="I64" s="18"/>
      <c r="J64" s="18"/>
      <c r="K64" s="18"/>
    </row>
    <row r="65" spans="2:12" s="35" customFormat="1" ht="15" customHeight="1" x14ac:dyDescent="0.25">
      <c r="C65" s="45" t="s">
        <v>9</v>
      </c>
      <c r="D65" s="247"/>
      <c r="E65" s="47"/>
      <c r="F65" s="47"/>
      <c r="G65" s="215"/>
      <c r="H65" s="215"/>
      <c r="I65" s="215"/>
      <c r="J65" s="215"/>
      <c r="K65" s="215"/>
    </row>
    <row r="66" spans="2:12" ht="15" customHeight="1" x14ac:dyDescent="0.25">
      <c r="E66" s="18"/>
      <c r="F66" s="18"/>
      <c r="G66" s="18"/>
      <c r="H66" s="18"/>
      <c r="I66" s="18"/>
      <c r="J66" s="18"/>
      <c r="K66" s="18"/>
    </row>
    <row r="67" spans="2:12" ht="15" customHeight="1" x14ac:dyDescent="0.25">
      <c r="B67" s="6" t="s">
        <v>187</v>
      </c>
      <c r="C67" s="13" t="s">
        <v>10</v>
      </c>
      <c r="E67" s="18"/>
      <c r="F67" s="18"/>
      <c r="G67" s="18"/>
      <c r="H67" s="18"/>
      <c r="I67" s="18"/>
      <c r="J67" s="18"/>
      <c r="K67" s="18"/>
    </row>
    <row r="68" spans="2:12" ht="15" customHeight="1" x14ac:dyDescent="0.25">
      <c r="C68" s="17" t="s">
        <v>215</v>
      </c>
      <c r="D68" s="10">
        <v>62611</v>
      </c>
      <c r="E68" s="10">
        <v>68960</v>
      </c>
      <c r="F68" s="10">
        <v>69860</v>
      </c>
      <c r="G68" s="19">
        <f>G172</f>
        <v>75496.889202797058</v>
      </c>
      <c r="H68" s="19">
        <f t="shared" ref="H68:K68" si="45">H172</f>
        <v>80677.361218035832</v>
      </c>
      <c r="I68" s="19">
        <f t="shared" si="45"/>
        <v>85559.577238365411</v>
      </c>
      <c r="J68" s="19">
        <f t="shared" si="45"/>
        <v>90477.405727400444</v>
      </c>
      <c r="K68" s="19">
        <f t="shared" si="45"/>
        <v>95393.972927707582</v>
      </c>
    </row>
    <row r="69" spans="2:12" ht="15" customHeight="1" x14ac:dyDescent="0.25">
      <c r="C69" s="17" t="s">
        <v>216</v>
      </c>
      <c r="D69" s="10">
        <v>58829</v>
      </c>
      <c r="E69" s="10">
        <v>78304</v>
      </c>
      <c r="F69" s="10">
        <v>66387</v>
      </c>
      <c r="G69" s="19">
        <f>G173</f>
        <v>71121.060812894531</v>
      </c>
      <c r="H69" s="19">
        <f t="shared" ref="H69:K69" si="46">H173</f>
        <v>76001.270701352361</v>
      </c>
      <c r="I69" s="19">
        <f t="shared" si="46"/>
        <v>80600.511625714629</v>
      </c>
      <c r="J69" s="19">
        <f t="shared" si="46"/>
        <v>85233.300906562086</v>
      </c>
      <c r="K69" s="19">
        <f t="shared" si="46"/>
        <v>89864.902003455631</v>
      </c>
    </row>
    <row r="70" spans="2:12" ht="15" customHeight="1" x14ac:dyDescent="0.25">
      <c r="C70" s="17" t="s">
        <v>217</v>
      </c>
      <c r="D70" s="10">
        <v>8061</v>
      </c>
      <c r="E70" s="10">
        <v>8249</v>
      </c>
      <c r="F70" s="10">
        <v>9055</v>
      </c>
      <c r="G70" s="19">
        <f>G174</f>
        <v>9700.7125741600012</v>
      </c>
      <c r="H70" s="19">
        <f t="shared" ref="H70:K70" si="47">H174</f>
        <v>10366.359470991996</v>
      </c>
      <c r="I70" s="19">
        <f t="shared" si="47"/>
        <v>10993.682991712925</v>
      </c>
      <c r="J70" s="19">
        <f t="shared" si="47"/>
        <v>11625.582413859938</v>
      </c>
      <c r="K70" s="19">
        <f t="shared" si="47"/>
        <v>12257.319771058954</v>
      </c>
    </row>
    <row r="71" spans="2:12" ht="15" customHeight="1" x14ac:dyDescent="0.25">
      <c r="C71" s="17" t="s">
        <v>218</v>
      </c>
      <c r="D71" s="10">
        <v>5985</v>
      </c>
      <c r="E71" s="10">
        <v>9967</v>
      </c>
      <c r="F71" s="10">
        <v>7979</v>
      </c>
      <c r="G71" s="19">
        <f>F71</f>
        <v>7979</v>
      </c>
      <c r="H71" s="19">
        <f t="shared" ref="H71:K71" si="48">G71</f>
        <v>7979</v>
      </c>
      <c r="I71" s="19">
        <f t="shared" si="48"/>
        <v>7979</v>
      </c>
      <c r="J71" s="19">
        <f t="shared" si="48"/>
        <v>7979</v>
      </c>
      <c r="K71" s="19">
        <f t="shared" si="48"/>
        <v>7979</v>
      </c>
    </row>
    <row r="72" spans="2:12" ht="15" customHeight="1" x14ac:dyDescent="0.25">
      <c r="C72" s="17" t="s">
        <v>219</v>
      </c>
      <c r="D72" s="10">
        <v>9822</v>
      </c>
      <c r="E72" s="10">
        <v>10912</v>
      </c>
      <c r="F72" s="10">
        <v>12350</v>
      </c>
      <c r="G72" s="19">
        <f>F72</f>
        <v>12350</v>
      </c>
      <c r="H72" s="19">
        <f t="shared" ref="H72:K72" si="49">G72</f>
        <v>12350</v>
      </c>
      <c r="I72" s="19">
        <f t="shared" si="49"/>
        <v>12350</v>
      </c>
      <c r="J72" s="19">
        <f t="shared" si="49"/>
        <v>12350</v>
      </c>
      <c r="K72" s="19">
        <f t="shared" si="49"/>
        <v>12350</v>
      </c>
    </row>
    <row r="73" spans="2:12" ht="15" customHeight="1" x14ac:dyDescent="0.25">
      <c r="C73" s="11" t="s">
        <v>11</v>
      </c>
      <c r="D73" s="12">
        <f>SUM(D68:D72)</f>
        <v>145308</v>
      </c>
      <c r="E73" s="12">
        <f>SUM(E68:E72)</f>
        <v>176392</v>
      </c>
      <c r="F73" s="12">
        <f>SUM(F68:F72)</f>
        <v>165631</v>
      </c>
      <c r="G73" s="12">
        <f>SUM(G68:G72)</f>
        <v>176647.66258985156</v>
      </c>
      <c r="H73" s="12">
        <f t="shared" ref="H73:K73" si="50">SUM(H68:H72)</f>
        <v>187373.99139038019</v>
      </c>
      <c r="I73" s="12">
        <f t="shared" si="50"/>
        <v>197482.77185579296</v>
      </c>
      <c r="J73" s="12">
        <f t="shared" si="50"/>
        <v>207665.28904782244</v>
      </c>
      <c r="K73" s="12">
        <f t="shared" si="50"/>
        <v>217845.19470222216</v>
      </c>
      <c r="L73" s="18"/>
    </row>
    <row r="74" spans="2:12" ht="15" customHeight="1" x14ac:dyDescent="0.25">
      <c r="D74" s="257"/>
      <c r="E74" s="257"/>
      <c r="F74" s="257"/>
      <c r="G74" s="258"/>
      <c r="H74" s="258"/>
      <c r="I74" s="258"/>
      <c r="J74" s="258"/>
      <c r="K74" s="258"/>
    </row>
    <row r="75" spans="2:12" ht="15" customHeight="1" x14ac:dyDescent="0.25">
      <c r="B75" s="6" t="s">
        <v>187</v>
      </c>
      <c r="C75" s="13" t="s">
        <v>12</v>
      </c>
      <c r="E75" s="18"/>
      <c r="F75" s="18"/>
      <c r="G75" s="18"/>
      <c r="H75" s="18"/>
      <c r="I75" s="18"/>
      <c r="J75" s="18"/>
      <c r="K75" s="18"/>
    </row>
    <row r="76" spans="2:12" ht="15" customHeight="1" x14ac:dyDescent="0.25">
      <c r="C76" s="17" t="s">
        <v>219</v>
      </c>
      <c r="D76" s="10">
        <v>95281</v>
      </c>
      <c r="E76" s="10">
        <v>85750</v>
      </c>
      <c r="F76" s="10">
        <v>78328</v>
      </c>
      <c r="G76" s="19">
        <f>F76</f>
        <v>78328</v>
      </c>
      <c r="H76" s="19">
        <f t="shared" ref="H76:K76" si="51">G76</f>
        <v>78328</v>
      </c>
      <c r="I76" s="19">
        <f t="shared" si="51"/>
        <v>78328</v>
      </c>
      <c r="J76" s="19">
        <f t="shared" si="51"/>
        <v>78328</v>
      </c>
      <c r="K76" s="19">
        <f t="shared" si="51"/>
        <v>78328</v>
      </c>
    </row>
    <row r="77" spans="2:12" ht="15" customHeight="1" x14ac:dyDescent="0.25">
      <c r="C77" s="17" t="s">
        <v>220</v>
      </c>
      <c r="D77" s="10">
        <v>49848</v>
      </c>
      <c r="E77" s="10">
        <v>45888</v>
      </c>
      <c r="F77" s="10">
        <v>41549</v>
      </c>
      <c r="G77" s="19">
        <f>F77</f>
        <v>41549</v>
      </c>
      <c r="H77" s="19">
        <f t="shared" ref="H77:K77" si="52">G77</f>
        <v>41549</v>
      </c>
      <c r="I77" s="19">
        <f t="shared" si="52"/>
        <v>41549</v>
      </c>
      <c r="J77" s="19">
        <f t="shared" si="52"/>
        <v>41549</v>
      </c>
      <c r="K77" s="19">
        <f t="shared" si="52"/>
        <v>41549</v>
      </c>
    </row>
    <row r="78" spans="2:12" ht="15" customHeight="1" x14ac:dyDescent="0.25">
      <c r="C78" s="11" t="s">
        <v>13</v>
      </c>
      <c r="D78" s="12">
        <f>SUM(D76:D77)</f>
        <v>145129</v>
      </c>
      <c r="E78" s="12">
        <f>SUM(E76:E77)</f>
        <v>131638</v>
      </c>
      <c r="F78" s="12">
        <f>SUM(F76:F77)</f>
        <v>119877</v>
      </c>
      <c r="G78" s="12">
        <f>SUM(G76:G77)</f>
        <v>119877</v>
      </c>
      <c r="H78" s="12">
        <f t="shared" ref="H78:K78" si="53">SUM(H76:H77)</f>
        <v>119877</v>
      </c>
      <c r="I78" s="12">
        <f t="shared" si="53"/>
        <v>119877</v>
      </c>
      <c r="J78" s="12">
        <f t="shared" si="53"/>
        <v>119877</v>
      </c>
      <c r="K78" s="12">
        <f t="shared" si="53"/>
        <v>119877</v>
      </c>
    </row>
    <row r="79" spans="2:12" ht="15" customHeight="1" x14ac:dyDescent="0.25">
      <c r="D79" s="1"/>
      <c r="E79" s="1"/>
      <c r="F79" s="1"/>
      <c r="G79" s="210"/>
      <c r="H79" s="210"/>
      <c r="I79" s="210"/>
      <c r="J79" s="210"/>
      <c r="K79" s="210"/>
    </row>
    <row r="80" spans="2:12" ht="15" customHeight="1" x14ac:dyDescent="0.25">
      <c r="C80" s="13" t="s">
        <v>14</v>
      </c>
      <c r="D80" s="25">
        <f>D73+D78</f>
        <v>290437</v>
      </c>
      <c r="E80" s="25">
        <f>E73+E78</f>
        <v>308030</v>
      </c>
      <c r="F80" s="25">
        <f>F73+F78</f>
        <v>285508</v>
      </c>
      <c r="G80" s="25">
        <f>G73+G78</f>
        <v>296524.66258985153</v>
      </c>
      <c r="H80" s="25">
        <f t="shared" ref="H80:K80" si="54">H73+H78</f>
        <v>307250.99139038019</v>
      </c>
      <c r="I80" s="25">
        <f t="shared" si="54"/>
        <v>317359.77185579296</v>
      </c>
      <c r="J80" s="25">
        <f t="shared" si="54"/>
        <v>327542.28904782247</v>
      </c>
      <c r="K80" s="25">
        <f t="shared" si="54"/>
        <v>337722.19470222213</v>
      </c>
    </row>
    <row r="81" spans="1:11" ht="15" customHeight="1" x14ac:dyDescent="0.25">
      <c r="E81" s="18"/>
      <c r="F81" s="18"/>
      <c r="G81" s="18"/>
      <c r="H81" s="18"/>
      <c r="I81" s="18"/>
      <c r="J81" s="18"/>
      <c r="K81" s="18"/>
    </row>
    <row r="82" spans="1:11" ht="15" customHeight="1" x14ac:dyDescent="0.25">
      <c r="B82" s="6" t="s">
        <v>187</v>
      </c>
      <c r="C82" s="13" t="s">
        <v>15</v>
      </c>
      <c r="E82" s="18"/>
      <c r="F82" s="18"/>
      <c r="G82" s="18"/>
      <c r="H82" s="18"/>
      <c r="I82" s="18"/>
      <c r="J82" s="18"/>
      <c r="K82" s="18"/>
    </row>
    <row r="83" spans="1:11" ht="15" customHeight="1" x14ac:dyDescent="0.25">
      <c r="C83" s="17" t="s">
        <v>223</v>
      </c>
      <c r="D83" s="10">
        <v>73812</v>
      </c>
      <c r="E83" s="10">
        <v>83276</v>
      </c>
      <c r="F83" s="10">
        <v>93568</v>
      </c>
      <c r="G83" s="19">
        <f>F83+G33</f>
        <v>107348.26127459084</v>
      </c>
      <c r="H83" s="19">
        <f t="shared" ref="H83:K83" si="55">G83+H33</f>
        <v>122074.10134917616</v>
      </c>
      <c r="I83" s="19">
        <f t="shared" si="55"/>
        <v>137691.08029146257</v>
      </c>
      <c r="J83" s="19">
        <f t="shared" si="55"/>
        <v>154205.69835766693</v>
      </c>
      <c r="K83" s="19">
        <f t="shared" si="55"/>
        <v>171617.72532786365</v>
      </c>
    </row>
    <row r="84" spans="1:11" ht="15" customHeight="1" x14ac:dyDescent="0.25">
      <c r="C84" s="17" t="s">
        <v>221</v>
      </c>
      <c r="D84" s="10">
        <v>-214</v>
      </c>
      <c r="E84" s="10">
        <v>-19154</v>
      </c>
      <c r="F84" s="10">
        <v>-14264</v>
      </c>
      <c r="G84" s="19">
        <f>G196</f>
        <v>-32365.652097626749</v>
      </c>
      <c r="H84" s="19">
        <f t="shared" ref="H84:K84" si="56">H196</f>
        <v>-51712.291890675377</v>
      </c>
      <c r="I84" s="19">
        <f t="shared" si="56"/>
        <v>-72232.241539239505</v>
      </c>
      <c r="J84" s="19">
        <f t="shared" si="56"/>
        <v>-93934.059546330347</v>
      </c>
      <c r="K84" s="19">
        <f t="shared" si="56"/>
        <v>-116817.44279498441</v>
      </c>
    </row>
    <row r="85" spans="1:11" ht="15" customHeight="1" x14ac:dyDescent="0.25">
      <c r="C85" s="17" t="s">
        <v>222</v>
      </c>
      <c r="D85" s="10">
        <v>-11452</v>
      </c>
      <c r="E85" s="10">
        <v>-7172</v>
      </c>
      <c r="F85" s="10">
        <v>-5571</v>
      </c>
      <c r="G85" s="19">
        <f>F85</f>
        <v>-5571</v>
      </c>
      <c r="H85" s="19">
        <f t="shared" ref="H85:K85" si="57">G85</f>
        <v>-5571</v>
      </c>
      <c r="I85" s="19">
        <f t="shared" si="57"/>
        <v>-5571</v>
      </c>
      <c r="J85" s="19">
        <f t="shared" si="57"/>
        <v>-5571</v>
      </c>
      <c r="K85" s="19">
        <f t="shared" si="57"/>
        <v>-5571</v>
      </c>
    </row>
    <row r="86" spans="1:11" ht="15" customHeight="1" x14ac:dyDescent="0.25">
      <c r="C86" s="26" t="s">
        <v>16</v>
      </c>
      <c r="D86" s="12">
        <f>SUM(D83:D85)</f>
        <v>62146</v>
      </c>
      <c r="E86" s="12">
        <f t="shared" ref="E86:G86" si="58">SUM(E83:E85)</f>
        <v>56950</v>
      </c>
      <c r="F86" s="12">
        <f t="shared" si="58"/>
        <v>73733</v>
      </c>
      <c r="G86" s="12">
        <f t="shared" si="58"/>
        <v>69411.609176964092</v>
      </c>
      <c r="H86" s="12">
        <f t="shared" ref="H86" si="59">SUM(H83:H85)</f>
        <v>64790.809458500778</v>
      </c>
      <c r="I86" s="12">
        <f t="shared" ref="I86" si="60">SUM(I83:I85)</f>
        <v>59887.838752223062</v>
      </c>
      <c r="J86" s="12">
        <f t="shared" ref="J86" si="61">SUM(J83:J85)</f>
        <v>54700.638811336583</v>
      </c>
      <c r="K86" s="12">
        <f t="shared" ref="K86" si="62">SUM(K83:K85)</f>
        <v>49229.282532879239</v>
      </c>
    </row>
    <row r="87" spans="1:11" ht="15" customHeight="1" x14ac:dyDescent="0.25">
      <c r="E87" s="19"/>
      <c r="F87" s="19"/>
      <c r="G87" s="19"/>
      <c r="H87" s="19"/>
      <c r="I87" s="19"/>
      <c r="J87" s="19"/>
      <c r="K87" s="19"/>
    </row>
    <row r="88" spans="1:11" ht="15" customHeight="1" x14ac:dyDescent="0.25">
      <c r="C88" s="13" t="s">
        <v>17</v>
      </c>
      <c r="D88" s="14">
        <f>D80+D86</f>
        <v>352583</v>
      </c>
      <c r="E88" s="14">
        <f t="shared" ref="E88:G88" si="63">E80+E86</f>
        <v>364980</v>
      </c>
      <c r="F88" s="14">
        <f t="shared" si="63"/>
        <v>359241</v>
      </c>
      <c r="G88" s="14">
        <f t="shared" si="63"/>
        <v>365936.27176681563</v>
      </c>
      <c r="H88" s="14">
        <f t="shared" ref="H88:K88" si="64">H80+H86</f>
        <v>372041.80084888096</v>
      </c>
      <c r="I88" s="14">
        <f t="shared" si="64"/>
        <v>377247.61060801602</v>
      </c>
      <c r="J88" s="14">
        <f t="shared" si="64"/>
        <v>382242.92785915907</v>
      </c>
      <c r="K88" s="14">
        <f t="shared" si="64"/>
        <v>386951.4772351014</v>
      </c>
    </row>
    <row r="89" spans="1:11" ht="15" customHeight="1" x14ac:dyDescent="0.25">
      <c r="E89" s="18"/>
      <c r="F89" s="18"/>
      <c r="G89" s="18"/>
      <c r="H89" s="18"/>
      <c r="I89" s="18"/>
      <c r="J89" s="18"/>
      <c r="K89" s="18"/>
    </row>
    <row r="90" spans="1:11" ht="15" customHeight="1" x14ac:dyDescent="0.25">
      <c r="C90" s="6" t="s">
        <v>18</v>
      </c>
      <c r="D90" s="261">
        <f>D63-D88</f>
        <v>0</v>
      </c>
      <c r="E90" s="261">
        <f t="shared" ref="E90:G90" si="65">E63-E88</f>
        <v>0</v>
      </c>
      <c r="F90" s="261">
        <f t="shared" si="65"/>
        <v>0</v>
      </c>
      <c r="G90" s="261">
        <f t="shared" si="65"/>
        <v>0</v>
      </c>
      <c r="H90" s="261">
        <f t="shared" ref="H90:K90" si="66">H63-H88</f>
        <v>0</v>
      </c>
      <c r="I90" s="261">
        <f t="shared" si="66"/>
        <v>0</v>
      </c>
      <c r="J90" s="261">
        <f t="shared" si="66"/>
        <v>0</v>
      </c>
      <c r="K90" s="261">
        <f t="shared" si="66"/>
        <v>0</v>
      </c>
    </row>
    <row r="91" spans="1:11" ht="15" customHeight="1" x14ac:dyDescent="0.25"/>
    <row r="92" spans="1:11" customFormat="1" x14ac:dyDescent="0.25">
      <c r="A92" t="s">
        <v>187</v>
      </c>
      <c r="C92" s="39" t="s">
        <v>45</v>
      </c>
      <c r="D92" s="246"/>
      <c r="E92" s="46"/>
      <c r="F92" s="46"/>
      <c r="G92" s="46"/>
      <c r="H92" s="46"/>
      <c r="I92" s="46"/>
      <c r="J92" s="46"/>
      <c r="K92" s="46"/>
    </row>
    <row r="93" spans="1:11" customFormat="1" x14ac:dyDescent="0.25">
      <c r="C93" t="s">
        <v>42</v>
      </c>
      <c r="D93" s="41"/>
      <c r="E93" s="41"/>
      <c r="F93" s="42"/>
      <c r="G93" s="42">
        <f t="shared" ref="G93:K93" si="67">G$13</f>
        <v>2026</v>
      </c>
      <c r="H93" s="42">
        <f t="shared" si="67"/>
        <v>2027</v>
      </c>
      <c r="I93" s="42">
        <f t="shared" si="67"/>
        <v>2028</v>
      </c>
      <c r="J93" s="42">
        <f t="shared" si="67"/>
        <v>2029</v>
      </c>
      <c r="K93" s="42">
        <f t="shared" si="67"/>
        <v>2030</v>
      </c>
    </row>
    <row r="94" spans="1:11" customFormat="1" x14ac:dyDescent="0.25">
      <c r="C94" s="43" t="s">
        <v>43</v>
      </c>
      <c r="D94" s="248"/>
      <c r="E94" s="44"/>
      <c r="F94" s="230"/>
      <c r="G94" s="230">
        <f t="shared" ref="G94:K94" si="68">G$14</f>
        <v>46295</v>
      </c>
      <c r="H94" s="230">
        <f t="shared" si="68"/>
        <v>46660</v>
      </c>
      <c r="I94" s="230">
        <f t="shared" si="68"/>
        <v>47026</v>
      </c>
      <c r="J94" s="230">
        <f t="shared" si="68"/>
        <v>47391</v>
      </c>
      <c r="K94" s="230">
        <f t="shared" si="68"/>
        <v>47756</v>
      </c>
    </row>
    <row r="95" spans="1:11" ht="15" customHeight="1" x14ac:dyDescent="0.25"/>
    <row r="96" spans="1:11" s="13" customFormat="1" ht="15" customHeight="1" x14ac:dyDescent="0.25">
      <c r="C96" s="17" t="s">
        <v>180</v>
      </c>
      <c r="D96" s="200"/>
      <c r="E96" s="200"/>
      <c r="F96" s="202"/>
      <c r="G96" s="200">
        <f>G28</f>
        <v>113243.37744450688</v>
      </c>
      <c r="H96" s="200">
        <f t="shared" ref="H96:K96" si="69">H28</f>
        <v>121031.98208379892</v>
      </c>
      <c r="I96" s="200">
        <f t="shared" si="69"/>
        <v>128372.17236648157</v>
      </c>
      <c r="J96" s="200">
        <f t="shared" si="69"/>
        <v>135765.90438014158</v>
      </c>
      <c r="K96" s="200">
        <f t="shared" si="69"/>
        <v>143157.7401034233</v>
      </c>
    </row>
    <row r="97" spans="3:11" ht="15" customHeight="1" x14ac:dyDescent="0.25">
      <c r="C97" s="17" t="s">
        <v>232</v>
      </c>
      <c r="D97" s="202"/>
      <c r="E97" s="201"/>
      <c r="F97" s="201"/>
      <c r="G97" s="201">
        <f>G30</f>
        <v>12993.360435342473</v>
      </c>
      <c r="H97" s="201">
        <f t="shared" ref="H97:K97" si="70">H30</f>
        <v>13884.9433976337</v>
      </c>
      <c r="I97" s="201">
        <f t="shared" si="70"/>
        <v>14725.195137078816</v>
      </c>
      <c r="J97" s="201">
        <f t="shared" si="70"/>
        <v>15571.57594550636</v>
      </c>
      <c r="K97" s="201">
        <f t="shared" si="70"/>
        <v>16417.739680366663</v>
      </c>
    </row>
    <row r="98" spans="3:11" ht="15" customHeight="1" x14ac:dyDescent="0.25">
      <c r="C98" s="17" t="s">
        <v>202</v>
      </c>
      <c r="D98" s="202"/>
      <c r="E98" s="201"/>
      <c r="F98" s="201"/>
      <c r="G98" s="201">
        <f>G33</f>
        <v>13780.261274590845</v>
      </c>
      <c r="H98" s="201">
        <f t="shared" ref="H98:K98" si="71">H33</f>
        <v>14725.840074585318</v>
      </c>
      <c r="I98" s="201">
        <f t="shared" si="71"/>
        <v>15616.978942286401</v>
      </c>
      <c r="J98" s="201">
        <f t="shared" si="71"/>
        <v>16514.618066204352</v>
      </c>
      <c r="K98" s="201">
        <f t="shared" si="71"/>
        <v>17412.026970196726</v>
      </c>
    </row>
    <row r="99" spans="3:11" s="13" customFormat="1" ht="15" customHeight="1" x14ac:dyDescent="0.25">
      <c r="C99" s="13" t="s">
        <v>168</v>
      </c>
      <c r="D99" s="200"/>
      <c r="E99" s="200"/>
      <c r="F99" s="200"/>
      <c r="G99" s="200">
        <f>SUM(G96:G98)</f>
        <v>140016.99915444021</v>
      </c>
      <c r="H99" s="200">
        <f t="shared" ref="H99:K99" si="72">SUM(H96:H98)</f>
        <v>149642.76555601793</v>
      </c>
      <c r="I99" s="200">
        <f t="shared" si="72"/>
        <v>158714.34644584678</v>
      </c>
      <c r="J99" s="200">
        <f t="shared" si="72"/>
        <v>167852.09839185231</v>
      </c>
      <c r="K99" s="200">
        <f t="shared" si="72"/>
        <v>176987.50675398667</v>
      </c>
    </row>
    <row r="100" spans="3:11" s="13" customFormat="1" ht="15" customHeight="1" x14ac:dyDescent="0.25">
      <c r="D100" s="200"/>
      <c r="E100" s="204"/>
      <c r="F100" s="204"/>
      <c r="G100" s="205"/>
      <c r="H100" s="205"/>
      <c r="I100" s="205"/>
      <c r="J100" s="205"/>
      <c r="K100" s="205"/>
    </row>
    <row r="101" spans="3:11" ht="15" customHeight="1" x14ac:dyDescent="0.25">
      <c r="C101" s="198" t="s">
        <v>152</v>
      </c>
      <c r="D101" s="201"/>
      <c r="E101" s="201"/>
      <c r="F101" s="201"/>
      <c r="G101" s="201"/>
      <c r="H101" s="201"/>
      <c r="I101" s="201"/>
      <c r="J101" s="201"/>
      <c r="K101" s="201"/>
    </row>
    <row r="102" spans="3:11" ht="15" customHeight="1" x14ac:dyDescent="0.25">
      <c r="C102" s="17" t="s">
        <v>184</v>
      </c>
      <c r="D102" s="201"/>
      <c r="E102" s="201"/>
      <c r="F102" s="201"/>
      <c r="G102" s="201">
        <f>G179</f>
        <v>6514.0783235529962</v>
      </c>
      <c r="H102" s="201">
        <f t="shared" ref="H102:K102" si="73">H179</f>
        <v>4018.0215142700472</v>
      </c>
      <c r="I102" s="201">
        <f t="shared" si="73"/>
        <v>3786.6914345436671</v>
      </c>
      <c r="J102" s="201">
        <f t="shared" si="73"/>
        <v>3814.3127912489435</v>
      </c>
      <c r="K102" s="201">
        <f t="shared" si="73"/>
        <v>3813.3345241664792</v>
      </c>
    </row>
    <row r="103" spans="3:11" s="13" customFormat="1" ht="15" customHeight="1" x14ac:dyDescent="0.25">
      <c r="C103" s="13" t="s">
        <v>19</v>
      </c>
      <c r="D103" s="204"/>
      <c r="E103" s="204"/>
      <c r="F103" s="204"/>
      <c r="G103" s="204">
        <f>SUM(G102)</f>
        <v>6514.0783235529962</v>
      </c>
      <c r="H103" s="204">
        <f t="shared" ref="H103:K103" si="74">SUM(H102)</f>
        <v>4018.0215142700472</v>
      </c>
      <c r="I103" s="204">
        <f t="shared" si="74"/>
        <v>3786.6914345436671</v>
      </c>
      <c r="J103" s="204">
        <f t="shared" si="74"/>
        <v>3814.3127912489435</v>
      </c>
      <c r="K103" s="204">
        <f t="shared" si="74"/>
        <v>3813.3345241664792</v>
      </c>
    </row>
    <row r="104" spans="3:11" s="13" customFormat="1" ht="15" customHeight="1" x14ac:dyDescent="0.25">
      <c r="C104" s="13" t="s">
        <v>171</v>
      </c>
      <c r="D104" s="200"/>
      <c r="E104" s="200"/>
      <c r="F104" s="200"/>
      <c r="G104" s="200">
        <f>G99+G103</f>
        <v>146531.07747799321</v>
      </c>
      <c r="H104" s="200">
        <f t="shared" ref="H104:K104" si="75">H99+H103</f>
        <v>153660.78707028797</v>
      </c>
      <c r="I104" s="200">
        <f t="shared" si="75"/>
        <v>162501.03788039045</v>
      </c>
      <c r="J104" s="200">
        <f t="shared" si="75"/>
        <v>171666.41118310124</v>
      </c>
      <c r="K104" s="200">
        <f t="shared" si="75"/>
        <v>180800.84127815315</v>
      </c>
    </row>
    <row r="105" spans="3:11" ht="15" customHeight="1" x14ac:dyDescent="0.25">
      <c r="D105" s="202"/>
      <c r="E105" s="203"/>
      <c r="F105" s="203"/>
      <c r="G105" s="203"/>
      <c r="H105" s="203"/>
      <c r="I105" s="203"/>
      <c r="J105" s="203"/>
      <c r="K105" s="203"/>
    </row>
    <row r="106" spans="3:11" customFormat="1" x14ac:dyDescent="0.25">
      <c r="C106" s="221" t="s">
        <v>20</v>
      </c>
      <c r="D106" s="249"/>
      <c r="E106" s="222"/>
      <c r="F106" s="222"/>
      <c r="G106" s="222"/>
      <c r="H106" s="222"/>
      <c r="I106" s="222"/>
      <c r="J106" s="222"/>
      <c r="K106" s="222"/>
    </row>
    <row r="107" spans="3:11" ht="15" customHeight="1" x14ac:dyDescent="0.25">
      <c r="C107" s="17" t="s">
        <v>178</v>
      </c>
      <c r="D107" s="202"/>
      <c r="E107" s="201"/>
      <c r="F107" s="201"/>
      <c r="G107" s="201">
        <f>-G127</f>
        <v>-12380.06566326557</v>
      </c>
      <c r="H107" s="201">
        <f t="shared" ref="H107:K107" si="76">-H127</f>
        <v>-13229.565349843248</v>
      </c>
      <c r="I107" s="201">
        <f t="shared" si="76"/>
        <v>-14030.156679527969</v>
      </c>
      <c r="J107" s="201">
        <f t="shared" si="76"/>
        <v>-14836.587782290231</v>
      </c>
      <c r="K107" s="201">
        <f t="shared" si="76"/>
        <v>-15642.812057493942</v>
      </c>
    </row>
    <row r="108" spans="3:11" ht="15" customHeight="1" x14ac:dyDescent="0.25">
      <c r="C108" s="13" t="s">
        <v>170</v>
      </c>
      <c r="D108" s="202"/>
      <c r="E108" s="204"/>
      <c r="F108" s="204"/>
      <c r="G108" s="204">
        <f>SUM(G107)</f>
        <v>-12380.06566326557</v>
      </c>
      <c r="H108" s="204">
        <f t="shared" ref="H108:K108" si="77">SUM(H107)</f>
        <v>-13229.565349843248</v>
      </c>
      <c r="I108" s="204">
        <f t="shared" si="77"/>
        <v>-14030.156679527969</v>
      </c>
      <c r="J108" s="204">
        <f t="shared" si="77"/>
        <v>-14836.587782290231</v>
      </c>
      <c r="K108" s="204">
        <f t="shared" si="77"/>
        <v>-15642.812057493942</v>
      </c>
    </row>
    <row r="109" spans="3:11" ht="15" customHeight="1" x14ac:dyDescent="0.25">
      <c r="D109" s="202"/>
      <c r="E109" s="206"/>
      <c r="F109" s="206"/>
      <c r="G109" s="203"/>
      <c r="H109" s="203"/>
      <c r="I109" s="203"/>
      <c r="J109" s="203"/>
      <c r="K109" s="203"/>
    </row>
    <row r="110" spans="3:11" s="35" customFormat="1" ht="15" customHeight="1" x14ac:dyDescent="0.25">
      <c r="C110" s="45" t="s">
        <v>21</v>
      </c>
      <c r="D110" s="250"/>
      <c r="E110" s="207"/>
      <c r="F110" s="207"/>
      <c r="G110" s="207"/>
      <c r="H110" s="207"/>
      <c r="I110" s="207"/>
      <c r="J110" s="207"/>
      <c r="K110" s="207"/>
    </row>
    <row r="111" spans="3:11" ht="15" customHeight="1" x14ac:dyDescent="0.25">
      <c r="C111" s="17" t="s">
        <v>233</v>
      </c>
      <c r="D111" s="202"/>
      <c r="E111" s="201"/>
      <c r="F111" s="201"/>
      <c r="G111" s="201">
        <f>G72-F72</f>
        <v>0</v>
      </c>
      <c r="H111" s="201">
        <f t="shared" ref="H111:K111" si="78">H72-G72</f>
        <v>0</v>
      </c>
      <c r="I111" s="201">
        <f t="shared" si="78"/>
        <v>0</v>
      </c>
      <c r="J111" s="201">
        <f t="shared" si="78"/>
        <v>0</v>
      </c>
      <c r="K111" s="201">
        <f t="shared" si="78"/>
        <v>0</v>
      </c>
    </row>
    <row r="112" spans="3:11" ht="15" customHeight="1" x14ac:dyDescent="0.25">
      <c r="C112" s="17" t="s">
        <v>234</v>
      </c>
      <c r="D112" s="202"/>
      <c r="E112" s="201"/>
      <c r="F112" s="201"/>
      <c r="G112" s="201">
        <f>-G195</f>
        <v>-91709.847436556229</v>
      </c>
      <c r="H112" s="201">
        <f t="shared" ref="H112:K112" si="79">-H195</f>
        <v>-98017.42814751793</v>
      </c>
      <c r="I112" s="201">
        <f t="shared" si="79"/>
        <v>-103961.86168677715</v>
      </c>
      <c r="J112" s="201">
        <f t="shared" si="79"/>
        <v>-109949.65585418287</v>
      </c>
      <c r="K112" s="201">
        <f t="shared" si="79"/>
        <v>-115935.91431587921</v>
      </c>
    </row>
    <row r="113" spans="1:11" ht="15" customHeight="1" x14ac:dyDescent="0.25">
      <c r="C113" s="17" t="s">
        <v>235</v>
      </c>
      <c r="D113" s="202"/>
      <c r="E113" s="201"/>
      <c r="F113" s="201"/>
      <c r="G113" s="201">
        <f>-G194</f>
        <v>-39635.182105577405</v>
      </c>
      <c r="H113" s="201">
        <f t="shared" ref="H113:K113" si="80">-H194</f>
        <v>-42361.193729329621</v>
      </c>
      <c r="I113" s="201">
        <f t="shared" si="80"/>
        <v>-44930.260328268545</v>
      </c>
      <c r="J113" s="201">
        <f t="shared" si="80"/>
        <v>-47518.066533049554</v>
      </c>
      <c r="K113" s="201">
        <f t="shared" si="80"/>
        <v>-50105.209036198154</v>
      </c>
    </row>
    <row r="114" spans="1:11" ht="15" customHeight="1" x14ac:dyDescent="0.25">
      <c r="C114" s="13" t="s">
        <v>169</v>
      </c>
      <c r="D114" s="200"/>
      <c r="E114" s="204"/>
      <c r="F114" s="204"/>
      <c r="G114" s="204">
        <f>SUM(G111:G113)</f>
        <v>-131345.02954213362</v>
      </c>
      <c r="H114" s="204">
        <f t="shared" ref="H114:K114" si="81">SUM(H111:H113)</f>
        <v>-140378.62187684755</v>
      </c>
      <c r="I114" s="204">
        <f t="shared" si="81"/>
        <v>-148892.12201504569</v>
      </c>
      <c r="J114" s="204">
        <f t="shared" si="81"/>
        <v>-157467.72238723241</v>
      </c>
      <c r="K114" s="204">
        <f t="shared" si="81"/>
        <v>-166041.12335207738</v>
      </c>
    </row>
    <row r="115" spans="1:11" ht="15" customHeight="1" x14ac:dyDescent="0.25">
      <c r="C115" s="13"/>
      <c r="D115" s="200"/>
      <c r="E115" s="204"/>
      <c r="F115" s="204"/>
      <c r="G115" s="204"/>
      <c r="H115" s="204"/>
      <c r="I115" s="204"/>
      <c r="J115" s="204"/>
      <c r="K115" s="204"/>
    </row>
    <row r="116" spans="1:11" ht="15" customHeight="1" x14ac:dyDescent="0.25">
      <c r="C116" s="13" t="s">
        <v>153</v>
      </c>
      <c r="D116" s="200"/>
      <c r="E116" s="204"/>
      <c r="F116" s="204"/>
      <c r="G116" s="204">
        <f>G104+G108+G114</f>
        <v>2805.9822725940321</v>
      </c>
      <c r="H116" s="204">
        <f t="shared" ref="H116:K116" si="82">H104+H108+H114</f>
        <v>52.599843597185099</v>
      </c>
      <c r="I116" s="204">
        <f t="shared" si="82"/>
        <v>-421.24081418322749</v>
      </c>
      <c r="J116" s="204">
        <f t="shared" si="82"/>
        <v>-637.89898642140906</v>
      </c>
      <c r="K116" s="204">
        <f t="shared" si="82"/>
        <v>-883.09413141818368</v>
      </c>
    </row>
    <row r="117" spans="1:11" ht="15" customHeight="1" x14ac:dyDescent="0.25">
      <c r="C117" s="6" t="s">
        <v>154</v>
      </c>
      <c r="D117" s="200"/>
      <c r="E117" s="204"/>
      <c r="F117" s="204"/>
      <c r="G117" s="204">
        <f>F49</f>
        <v>35934</v>
      </c>
      <c r="H117" s="204">
        <f t="shared" ref="H117:K117" si="83">G49</f>
        <v>38739.982272594032</v>
      </c>
      <c r="I117" s="204">
        <f t="shared" si="83"/>
        <v>38792.582116191217</v>
      </c>
      <c r="J117" s="204">
        <f t="shared" si="83"/>
        <v>38371.34130200799</v>
      </c>
      <c r="K117" s="204">
        <f t="shared" si="83"/>
        <v>37733.442315586581</v>
      </c>
    </row>
    <row r="118" spans="1:11" ht="15" customHeight="1" x14ac:dyDescent="0.25">
      <c r="C118" s="13" t="s">
        <v>155</v>
      </c>
      <c r="D118" s="202"/>
      <c r="E118" s="204"/>
      <c r="F118" s="204"/>
      <c r="G118" s="204">
        <f>G116+G117</f>
        <v>38739.982272594032</v>
      </c>
      <c r="H118" s="204">
        <f t="shared" ref="H118:K118" si="84">H116+H117</f>
        <v>38792.582116191217</v>
      </c>
      <c r="I118" s="204">
        <f t="shared" si="84"/>
        <v>38371.34130200799</v>
      </c>
      <c r="J118" s="204">
        <f t="shared" si="84"/>
        <v>37733.442315586581</v>
      </c>
      <c r="K118" s="204">
        <f t="shared" si="84"/>
        <v>36850.348184168397</v>
      </c>
    </row>
    <row r="119" spans="1:11" ht="15" customHeight="1" x14ac:dyDescent="0.25">
      <c r="C119" s="13"/>
      <c r="D119" s="202"/>
      <c r="E119" s="205"/>
      <c r="F119" s="204"/>
      <c r="G119" s="205"/>
      <c r="H119" s="205"/>
      <c r="I119" s="205"/>
      <c r="J119" s="205"/>
      <c r="K119" s="205"/>
    </row>
    <row r="120" spans="1:11" ht="15" customHeight="1" x14ac:dyDescent="0.25">
      <c r="C120" s="13" t="s">
        <v>22</v>
      </c>
      <c r="D120" s="235"/>
      <c r="E120" s="235"/>
      <c r="F120" s="201"/>
      <c r="G120" s="201">
        <f>G118-G49</f>
        <v>0</v>
      </c>
      <c r="H120" s="201">
        <f t="shared" ref="H120:K120" si="85">H118-H49</f>
        <v>0</v>
      </c>
      <c r="I120" s="201">
        <f t="shared" si="85"/>
        <v>0</v>
      </c>
      <c r="J120" s="201">
        <f t="shared" si="85"/>
        <v>0</v>
      </c>
      <c r="K120" s="201">
        <f t="shared" si="85"/>
        <v>0</v>
      </c>
    </row>
    <row r="121" spans="1:11" ht="15" customHeight="1" x14ac:dyDescent="0.25"/>
    <row r="122" spans="1:11" customFormat="1" x14ac:dyDescent="0.25">
      <c r="A122" t="s">
        <v>187</v>
      </c>
      <c r="C122" s="39" t="s">
        <v>31</v>
      </c>
      <c r="D122" s="244"/>
      <c r="E122" s="40"/>
      <c r="F122" s="40"/>
      <c r="G122" s="40"/>
      <c r="H122" s="40"/>
      <c r="I122" s="40"/>
      <c r="J122" s="40"/>
      <c r="K122" s="40"/>
    </row>
    <row r="123" spans="1:11" customFormat="1" x14ac:dyDescent="0.25">
      <c r="C123" t="s">
        <v>42</v>
      </c>
      <c r="D123" s="41">
        <f t="shared" ref="D123:K123" si="86">D$13</f>
        <v>2023</v>
      </c>
      <c r="E123" s="41">
        <f t="shared" si="86"/>
        <v>2024</v>
      </c>
      <c r="F123" s="41">
        <f t="shared" si="86"/>
        <v>2025</v>
      </c>
      <c r="G123" s="42">
        <f t="shared" si="86"/>
        <v>2026</v>
      </c>
      <c r="H123" s="42">
        <f t="shared" si="86"/>
        <v>2027</v>
      </c>
      <c r="I123" s="42">
        <f t="shared" si="86"/>
        <v>2028</v>
      </c>
      <c r="J123" s="42">
        <f t="shared" si="86"/>
        <v>2029</v>
      </c>
      <c r="K123" s="42">
        <f t="shared" si="86"/>
        <v>2030</v>
      </c>
    </row>
    <row r="124" spans="1:11" customFormat="1" x14ac:dyDescent="0.25">
      <c r="C124" s="43" t="s">
        <v>43</v>
      </c>
      <c r="D124" s="245">
        <f t="shared" ref="D124:K124" si="87">D$14</f>
        <v>45199</v>
      </c>
      <c r="E124" s="230">
        <f t="shared" si="87"/>
        <v>45565</v>
      </c>
      <c r="F124" s="230">
        <f t="shared" si="87"/>
        <v>45927</v>
      </c>
      <c r="G124" s="230">
        <f t="shared" si="87"/>
        <v>46295</v>
      </c>
      <c r="H124" s="230">
        <f t="shared" si="87"/>
        <v>46660</v>
      </c>
      <c r="I124" s="230">
        <f t="shared" si="87"/>
        <v>47026</v>
      </c>
      <c r="J124" s="230">
        <f t="shared" si="87"/>
        <v>47391</v>
      </c>
      <c r="K124" s="230">
        <f t="shared" si="87"/>
        <v>47756</v>
      </c>
    </row>
    <row r="125" spans="1:11" ht="15" customHeight="1" x14ac:dyDescent="0.25"/>
    <row r="126" spans="1:11" ht="15" customHeight="1" x14ac:dyDescent="0.25">
      <c r="C126" s="17" t="s">
        <v>32</v>
      </c>
      <c r="D126" s="186"/>
      <c r="E126" s="187">
        <f>D129</f>
        <v>43715</v>
      </c>
      <c r="F126" s="187">
        <f t="shared" ref="F126:G126" si="88">E129</f>
        <v>45680</v>
      </c>
      <c r="G126" s="187">
        <f t="shared" si="88"/>
        <v>49834</v>
      </c>
      <c r="H126" s="187">
        <f t="shared" ref="H126:K126" si="89">G129</f>
        <v>52945.100520286614</v>
      </c>
      <c r="I126" s="187">
        <f t="shared" si="89"/>
        <v>56269.679626937839</v>
      </c>
      <c r="J126" s="187">
        <f t="shared" si="89"/>
        <v>59795.446689296732</v>
      </c>
      <c r="K126" s="187">
        <f t="shared" si="89"/>
        <v>63523.869237629617</v>
      </c>
    </row>
    <row r="127" spans="1:11" ht="15" customHeight="1" x14ac:dyDescent="0.25">
      <c r="C127" s="29" t="s">
        <v>33</v>
      </c>
      <c r="D127" s="199">
        <v>10959</v>
      </c>
      <c r="E127" s="199">
        <v>9447</v>
      </c>
      <c r="F127" s="199">
        <v>12715</v>
      </c>
      <c r="G127" s="185">
        <f>G131*G16</f>
        <v>12380.06566326557</v>
      </c>
      <c r="H127" s="185">
        <f t="shared" ref="H127:K127" si="90">H131*H16</f>
        <v>13229.565349843248</v>
      </c>
      <c r="I127" s="185">
        <f t="shared" si="90"/>
        <v>14030.156679527969</v>
      </c>
      <c r="J127" s="185">
        <f t="shared" si="90"/>
        <v>14836.587782290231</v>
      </c>
      <c r="K127" s="185">
        <f t="shared" si="90"/>
        <v>15642.812057493942</v>
      </c>
    </row>
    <row r="128" spans="1:11" ht="15" customHeight="1" x14ac:dyDescent="0.25">
      <c r="C128" s="29" t="s">
        <v>34</v>
      </c>
      <c r="D128" s="199">
        <v>8500</v>
      </c>
      <c r="E128" s="199">
        <v>8200</v>
      </c>
      <c r="F128" s="199">
        <v>8000</v>
      </c>
      <c r="G128" s="273">
        <f>G132*G16</f>
        <v>9268.965142978961</v>
      </c>
      <c r="H128" s="273">
        <f t="shared" ref="H128:K128" si="91">H132*H16</f>
        <v>9904.9862431920174</v>
      </c>
      <c r="I128" s="273">
        <f t="shared" si="91"/>
        <v>10504.38961716907</v>
      </c>
      <c r="J128" s="273">
        <f t="shared" si="91"/>
        <v>11108.165233957343</v>
      </c>
      <c r="K128" s="273">
        <f t="shared" si="91"/>
        <v>11711.785998785785</v>
      </c>
    </row>
    <row r="129" spans="1:11" ht="15" customHeight="1" x14ac:dyDescent="0.25">
      <c r="C129" s="16" t="s">
        <v>35</v>
      </c>
      <c r="D129" s="232">
        <f>D59</f>
        <v>43715</v>
      </c>
      <c r="E129" s="232">
        <f>E59</f>
        <v>45680</v>
      </c>
      <c r="F129" s="232">
        <f>F59</f>
        <v>49834</v>
      </c>
      <c r="G129" s="232">
        <f>G126+G127-G128</f>
        <v>52945.100520286614</v>
      </c>
      <c r="H129" s="232">
        <f t="shared" ref="H129:K129" si="92">H126+H127-H128</f>
        <v>56269.679626937839</v>
      </c>
      <c r="I129" s="232">
        <f t="shared" si="92"/>
        <v>59795.446689296732</v>
      </c>
      <c r="J129" s="232">
        <f t="shared" si="92"/>
        <v>63523.869237629617</v>
      </c>
      <c r="K129" s="232">
        <f t="shared" si="92"/>
        <v>67454.895296337781</v>
      </c>
    </row>
    <row r="130" spans="1:11" ht="15" customHeight="1" x14ac:dyDescent="0.25">
      <c r="C130" s="13"/>
      <c r="D130" s="10"/>
      <c r="E130" s="158"/>
      <c r="F130" s="158"/>
      <c r="G130" s="159"/>
      <c r="H130" s="159"/>
      <c r="I130" s="159"/>
      <c r="J130" s="159"/>
      <c r="K130" s="159"/>
    </row>
    <row r="131" spans="1:11" ht="15" customHeight="1" x14ac:dyDescent="0.25">
      <c r="C131" s="6" t="s">
        <v>148</v>
      </c>
      <c r="D131" s="22">
        <f>D127/D16</f>
        <v>2.859230076835775E-2</v>
      </c>
      <c r="E131" s="22">
        <f>E127/E16</f>
        <v>2.415896275269477E-2</v>
      </c>
      <c r="F131" s="22">
        <f>F127/F16</f>
        <v>3.0553079216937677E-2</v>
      </c>
      <c r="G131" s="210">
        <f>AVERAGE(D131:F131)</f>
        <v>2.7768114245996733E-2</v>
      </c>
      <c r="H131" s="210">
        <f>G131</f>
        <v>2.7768114245996733E-2</v>
      </c>
      <c r="I131" s="210">
        <f t="shared" ref="I131:K131" si="93">H131</f>
        <v>2.7768114245996733E-2</v>
      </c>
      <c r="J131" s="210">
        <f t="shared" si="93"/>
        <v>2.7768114245996733E-2</v>
      </c>
      <c r="K131" s="210">
        <f t="shared" si="93"/>
        <v>2.7768114245996733E-2</v>
      </c>
    </row>
    <row r="132" spans="1:11" ht="15" customHeight="1" x14ac:dyDescent="0.25">
      <c r="C132" s="6" t="s">
        <v>172</v>
      </c>
      <c r="D132" s="22">
        <f>D128/D16</f>
        <v>2.2176709237251655E-2</v>
      </c>
      <c r="E132" s="22">
        <f>E128/E16</f>
        <v>2.0969989898602426E-2</v>
      </c>
      <c r="F132" s="22">
        <f>F128/F16</f>
        <v>1.9223329432599402E-2</v>
      </c>
      <c r="G132" s="210">
        <f t="shared" ref="G132" si="94">AVERAGE(D132:F132)</f>
        <v>2.0790009522817829E-2</v>
      </c>
      <c r="H132" s="210">
        <f t="shared" ref="H132:K132" si="95">G132</f>
        <v>2.0790009522817829E-2</v>
      </c>
      <c r="I132" s="210">
        <f t="shared" si="95"/>
        <v>2.0790009522817829E-2</v>
      </c>
      <c r="J132" s="210">
        <f t="shared" si="95"/>
        <v>2.0790009522817829E-2</v>
      </c>
      <c r="K132" s="210">
        <f t="shared" si="95"/>
        <v>2.0790009522817829E-2</v>
      </c>
    </row>
    <row r="133" spans="1:11" ht="15" customHeight="1" x14ac:dyDescent="0.25">
      <c r="E133" s="1"/>
      <c r="F133" s="1"/>
      <c r="G133" s="1"/>
      <c r="H133" s="1"/>
      <c r="I133" s="1"/>
      <c r="J133" s="1"/>
      <c r="K133" s="1"/>
    </row>
    <row r="134" spans="1:11" s="35" customFormat="1" ht="15" customHeight="1" x14ac:dyDescent="0.25">
      <c r="A134" s="35" t="s">
        <v>187</v>
      </c>
      <c r="C134" s="45" t="s">
        <v>36</v>
      </c>
      <c r="D134" s="47"/>
      <c r="E134" s="47"/>
      <c r="F134" s="47"/>
      <c r="G134" s="47"/>
      <c r="H134" s="47"/>
      <c r="I134" s="47"/>
      <c r="J134" s="47"/>
      <c r="K134" s="47"/>
    </row>
    <row r="135" spans="1:11" s="31" customFormat="1" ht="15" customHeight="1" x14ac:dyDescent="0.25">
      <c r="C135" s="32"/>
      <c r="D135" s="33"/>
      <c r="E135" s="34"/>
      <c r="F135" s="34"/>
      <c r="G135" s="34"/>
      <c r="H135" s="34"/>
      <c r="I135" s="34"/>
      <c r="J135" s="34"/>
      <c r="K135" s="34"/>
    </row>
    <row r="136" spans="1:11" s="31" customFormat="1" ht="15" customHeight="1" x14ac:dyDescent="0.25">
      <c r="C136" s="35" t="s">
        <v>37</v>
      </c>
      <c r="D136" s="234">
        <f>D138-D128</f>
        <v>3019</v>
      </c>
      <c r="E136" s="234">
        <f t="shared" ref="E136:F136" si="96">E138-E128</f>
        <v>3245</v>
      </c>
      <c r="F136" s="234">
        <f t="shared" si="96"/>
        <v>3698</v>
      </c>
      <c r="G136" s="36">
        <f>G137*G16</f>
        <v>3724.3952923635111</v>
      </c>
      <c r="H136" s="36">
        <f t="shared" ref="H136:K136" si="97">H137*H16</f>
        <v>3979.9571544416826</v>
      </c>
      <c r="I136" s="36">
        <f t="shared" si="97"/>
        <v>4220.8055199097462</v>
      </c>
      <c r="J136" s="36">
        <f t="shared" si="97"/>
        <v>4463.410711549016</v>
      </c>
      <c r="K136" s="36">
        <f t="shared" si="97"/>
        <v>4705.9536815808769</v>
      </c>
    </row>
    <row r="137" spans="1:11" s="31" customFormat="1" ht="15" customHeight="1" x14ac:dyDescent="0.25">
      <c r="A137" s="32"/>
      <c r="B137" s="32"/>
      <c r="C137" s="24" t="s">
        <v>38</v>
      </c>
      <c r="D137" s="37">
        <f>D136/D16</f>
        <v>7.8766453161485585E-3</v>
      </c>
      <c r="E137" s="37">
        <f>E136/E16</f>
        <v>8.2984899049957164E-3</v>
      </c>
      <c r="F137" s="37">
        <f>F136/F16</f>
        <v>8.8859840302190733E-3</v>
      </c>
      <c r="G137" s="210">
        <f t="shared" ref="G137" si="98">AVERAGE(D137:F137)</f>
        <v>8.3537064171211161E-3</v>
      </c>
      <c r="H137" s="210">
        <f>G137</f>
        <v>8.3537064171211161E-3</v>
      </c>
      <c r="I137" s="210">
        <f t="shared" ref="I137:K137" si="99">H137</f>
        <v>8.3537064171211161E-3</v>
      </c>
      <c r="J137" s="210">
        <f t="shared" si="99"/>
        <v>8.3537064171211161E-3</v>
      </c>
      <c r="K137" s="210">
        <f t="shared" si="99"/>
        <v>8.3537064171211161E-3</v>
      </c>
    </row>
    <row r="138" spans="1:11" ht="15" customHeight="1" x14ac:dyDescent="0.25">
      <c r="C138" s="38" t="s">
        <v>39</v>
      </c>
      <c r="D138" s="30">
        <f>D30</f>
        <v>11519</v>
      </c>
      <c r="E138" s="30">
        <f>E30</f>
        <v>11445</v>
      </c>
      <c r="F138" s="30">
        <f>F30</f>
        <v>11698</v>
      </c>
      <c r="G138" s="30">
        <f>G136+G128</f>
        <v>12993.360435342473</v>
      </c>
      <c r="H138" s="30">
        <f t="shared" ref="H138:K138" si="100">H136+H128</f>
        <v>13884.9433976337</v>
      </c>
      <c r="I138" s="30">
        <f t="shared" si="100"/>
        <v>14725.195137078816</v>
      </c>
      <c r="J138" s="30">
        <f t="shared" si="100"/>
        <v>15571.57594550636</v>
      </c>
      <c r="K138" s="30">
        <f t="shared" si="100"/>
        <v>16417.739680366663</v>
      </c>
    </row>
    <row r="140" spans="1:11" x14ac:dyDescent="0.25">
      <c r="A140" s="6" t="s">
        <v>187</v>
      </c>
      <c r="C140" s="13" t="s">
        <v>183</v>
      </c>
      <c r="D140" s="251"/>
      <c r="E140" s="13"/>
      <c r="F140" s="13"/>
      <c r="G140" s="13"/>
      <c r="H140" s="13"/>
      <c r="I140" s="13"/>
      <c r="J140" s="13"/>
      <c r="K140" s="13"/>
    </row>
    <row r="141" spans="1:11" x14ac:dyDescent="0.25">
      <c r="C141" s="48" t="s">
        <v>42</v>
      </c>
      <c r="D141" s="49">
        <f t="shared" ref="D141:K141" si="101">D$13</f>
        <v>2023</v>
      </c>
      <c r="E141" s="49">
        <f t="shared" si="101"/>
        <v>2024</v>
      </c>
      <c r="F141" s="49">
        <f t="shared" si="101"/>
        <v>2025</v>
      </c>
      <c r="G141" s="50">
        <f t="shared" si="101"/>
        <v>2026</v>
      </c>
      <c r="H141" s="50">
        <f t="shared" si="101"/>
        <v>2027</v>
      </c>
      <c r="I141" s="50">
        <f t="shared" si="101"/>
        <v>2028</v>
      </c>
      <c r="J141" s="50">
        <f t="shared" si="101"/>
        <v>2029</v>
      </c>
      <c r="K141" s="50">
        <f t="shared" si="101"/>
        <v>2030</v>
      </c>
    </row>
    <row r="142" spans="1:11" x14ac:dyDescent="0.25">
      <c r="C142" s="43" t="s">
        <v>43</v>
      </c>
      <c r="D142" s="44">
        <f t="shared" ref="D142:K142" si="102">D$14</f>
        <v>45199</v>
      </c>
      <c r="E142" s="44">
        <f t="shared" si="102"/>
        <v>45565</v>
      </c>
      <c r="F142" s="44">
        <f t="shared" si="102"/>
        <v>45927</v>
      </c>
      <c r="G142" s="44">
        <f t="shared" si="102"/>
        <v>46295</v>
      </c>
      <c r="H142" s="44">
        <f t="shared" si="102"/>
        <v>46660</v>
      </c>
      <c r="I142" s="44">
        <f t="shared" si="102"/>
        <v>47026</v>
      </c>
      <c r="J142" s="44">
        <f t="shared" si="102"/>
        <v>47391</v>
      </c>
      <c r="K142" s="44">
        <f t="shared" si="102"/>
        <v>47756</v>
      </c>
    </row>
    <row r="143" spans="1:11" x14ac:dyDescent="0.25">
      <c r="C143" s="35"/>
      <c r="D143" s="252"/>
      <c r="E143" s="35"/>
      <c r="F143" s="197"/>
      <c r="G143" s="255"/>
      <c r="H143" s="35"/>
    </row>
    <row r="144" spans="1:11" x14ac:dyDescent="0.25">
      <c r="C144" s="17" t="s">
        <v>224</v>
      </c>
      <c r="D144" s="262">
        <v>200583</v>
      </c>
      <c r="E144" s="262">
        <v>201183</v>
      </c>
      <c r="F144" s="262">
        <v>209586</v>
      </c>
      <c r="G144" s="201">
        <f>F144*(1+G154)</f>
        <v>222161.16</v>
      </c>
      <c r="H144" s="201">
        <f t="shared" ref="H144:K144" si="103">G144*(1+H154)</f>
        <v>234380.0238</v>
      </c>
      <c r="I144" s="201">
        <f t="shared" si="103"/>
        <v>243755.22475200001</v>
      </c>
      <c r="J144" s="201">
        <f t="shared" si="103"/>
        <v>252286.65761831999</v>
      </c>
      <c r="K144" s="201">
        <f t="shared" si="103"/>
        <v>259855.25734686959</v>
      </c>
    </row>
    <row r="145" spans="1:11" x14ac:dyDescent="0.25">
      <c r="C145" s="17" t="s">
        <v>225</v>
      </c>
      <c r="D145" s="262">
        <v>29357</v>
      </c>
      <c r="E145" s="262">
        <v>29984</v>
      </c>
      <c r="F145" s="262">
        <v>33708</v>
      </c>
      <c r="G145" s="201">
        <f t="shared" ref="G145:K145" si="104">F145*(1+G155)</f>
        <v>35393.4</v>
      </c>
      <c r="H145" s="201">
        <f t="shared" si="104"/>
        <v>36986.102999999996</v>
      </c>
      <c r="I145" s="201">
        <f t="shared" si="104"/>
        <v>38465.547119999996</v>
      </c>
      <c r="J145" s="201">
        <f t="shared" si="104"/>
        <v>39811.841269199991</v>
      </c>
      <c r="K145" s="201">
        <f t="shared" si="104"/>
        <v>41006.196507275992</v>
      </c>
    </row>
    <row r="146" spans="1:11" x14ac:dyDescent="0.25">
      <c r="C146" s="17" t="s">
        <v>226</v>
      </c>
      <c r="D146" s="262">
        <v>28300</v>
      </c>
      <c r="E146" s="262">
        <v>26694</v>
      </c>
      <c r="F146" s="262">
        <v>28023</v>
      </c>
      <c r="G146" s="201">
        <f t="shared" ref="G146:K146" si="105">F146*(1+G156)</f>
        <v>28723.574999999997</v>
      </c>
      <c r="H146" s="201">
        <f t="shared" si="105"/>
        <v>29298.046499999997</v>
      </c>
      <c r="I146" s="201">
        <f t="shared" si="105"/>
        <v>29737.517197499994</v>
      </c>
      <c r="J146" s="201">
        <f t="shared" si="105"/>
        <v>30034.892369474994</v>
      </c>
      <c r="K146" s="201">
        <f t="shared" si="105"/>
        <v>30335.241293169744</v>
      </c>
    </row>
    <row r="147" spans="1:11" x14ac:dyDescent="0.25">
      <c r="C147" s="17" t="s">
        <v>227</v>
      </c>
      <c r="D147" s="262">
        <v>39845</v>
      </c>
      <c r="E147" s="262">
        <v>37005</v>
      </c>
      <c r="F147" s="262">
        <v>35686</v>
      </c>
      <c r="G147" s="201">
        <f t="shared" ref="G147:K147" si="106">F147*(1+G157)</f>
        <v>36756.58</v>
      </c>
      <c r="H147" s="201">
        <f t="shared" si="106"/>
        <v>38226.843200000003</v>
      </c>
      <c r="I147" s="201">
        <f t="shared" si="106"/>
        <v>39947.051143999997</v>
      </c>
      <c r="J147" s="201">
        <f t="shared" si="106"/>
        <v>41944.403701199997</v>
      </c>
      <c r="K147" s="201">
        <f t="shared" si="106"/>
        <v>44041.62388626</v>
      </c>
    </row>
    <row r="148" spans="1:11" x14ac:dyDescent="0.25">
      <c r="C148" s="17" t="s">
        <v>186</v>
      </c>
      <c r="D148" s="262">
        <v>85200</v>
      </c>
      <c r="E148" s="262">
        <v>96169</v>
      </c>
      <c r="F148" s="262">
        <v>109158</v>
      </c>
      <c r="G148" s="201">
        <f t="shared" ref="G148:K148" si="107">F148*(1+G158)</f>
        <v>122802.75</v>
      </c>
      <c r="H148" s="201">
        <f t="shared" si="107"/>
        <v>137539.08000000002</v>
      </c>
      <c r="I148" s="201">
        <f t="shared" si="107"/>
        <v>153356.0742</v>
      </c>
      <c r="J148" s="201">
        <f t="shared" si="107"/>
        <v>170225.24236200002</v>
      </c>
      <c r="K148" s="201">
        <f t="shared" si="107"/>
        <v>188098.89281001003</v>
      </c>
    </row>
    <row r="149" spans="1:11" x14ac:dyDescent="0.25">
      <c r="C149" s="38" t="s">
        <v>181</v>
      </c>
      <c r="D149" s="253">
        <f>SUM(D144:D148)</f>
        <v>383285</v>
      </c>
      <c r="E149" s="253">
        <f t="shared" ref="E149:K149" si="108">SUM(E144:E148)</f>
        <v>391035</v>
      </c>
      <c r="F149" s="253">
        <f t="shared" si="108"/>
        <v>416161</v>
      </c>
      <c r="G149" s="253">
        <f t="shared" si="108"/>
        <v>445837.46500000003</v>
      </c>
      <c r="H149" s="253">
        <f t="shared" si="108"/>
        <v>476430.09649999999</v>
      </c>
      <c r="I149" s="253">
        <f t="shared" si="108"/>
        <v>505261.4144135</v>
      </c>
      <c r="J149" s="253">
        <f t="shared" si="108"/>
        <v>534303.037320195</v>
      </c>
      <c r="K149" s="253">
        <f t="shared" si="108"/>
        <v>563337.21184358536</v>
      </c>
    </row>
    <row r="150" spans="1:11" x14ac:dyDescent="0.25">
      <c r="C150" s="254"/>
      <c r="D150" s="201"/>
      <c r="E150" s="201"/>
      <c r="F150" s="201"/>
      <c r="G150" s="201"/>
      <c r="H150" s="201"/>
      <c r="I150" s="201"/>
      <c r="J150" s="201"/>
      <c r="K150" s="201"/>
    </row>
    <row r="151" spans="1:11" x14ac:dyDescent="0.25">
      <c r="C151" s="6" t="s">
        <v>182</v>
      </c>
      <c r="D151" s="201">
        <f t="shared" ref="D151:K151" si="109">D16-D149</f>
        <v>0</v>
      </c>
      <c r="E151" s="201">
        <f t="shared" si="109"/>
        <v>0</v>
      </c>
      <c r="F151" s="201">
        <f t="shared" si="109"/>
        <v>0</v>
      </c>
      <c r="G151" s="201">
        <f t="shared" si="109"/>
        <v>0</v>
      </c>
      <c r="H151" s="201">
        <f t="shared" si="109"/>
        <v>0</v>
      </c>
      <c r="I151" s="201">
        <f t="shared" si="109"/>
        <v>0</v>
      </c>
      <c r="J151" s="201">
        <f t="shared" si="109"/>
        <v>0</v>
      </c>
      <c r="K151" s="201">
        <f t="shared" si="109"/>
        <v>0</v>
      </c>
    </row>
    <row r="152" spans="1:11" x14ac:dyDescent="0.25">
      <c r="D152" s="201"/>
      <c r="E152" s="201"/>
      <c r="F152" s="201"/>
      <c r="G152" s="201"/>
      <c r="H152" s="201"/>
      <c r="I152" s="201"/>
      <c r="J152" s="201"/>
      <c r="K152" s="201"/>
    </row>
    <row r="153" spans="1:11" x14ac:dyDescent="0.25">
      <c r="C153" s="13" t="s">
        <v>40</v>
      </c>
      <c r="D153" s="201"/>
      <c r="E153" s="201"/>
      <c r="F153" s="201"/>
      <c r="G153" s="201"/>
      <c r="H153" s="201"/>
      <c r="I153" s="201"/>
      <c r="J153" s="201"/>
      <c r="K153" s="201"/>
    </row>
    <row r="154" spans="1:11" x14ac:dyDescent="0.25">
      <c r="C154" s="17" t="s">
        <v>224</v>
      </c>
      <c r="D154" s="7"/>
      <c r="E154" s="1">
        <f>E144/D144-1</f>
        <v>2.9912804175826757E-3</v>
      </c>
      <c r="F154" s="1">
        <f t="shared" ref="F154:F158" si="110">F144/E144-1</f>
        <v>4.1767942619406195E-2</v>
      </c>
      <c r="G154" s="210">
        <v>0.06</v>
      </c>
      <c r="H154" s="210">
        <v>5.5E-2</v>
      </c>
      <c r="I154" s="210">
        <v>0.04</v>
      </c>
      <c r="J154" s="210">
        <v>3.5000000000000003E-2</v>
      </c>
      <c r="K154" s="210">
        <v>0.03</v>
      </c>
    </row>
    <row r="155" spans="1:11" x14ac:dyDescent="0.25">
      <c r="C155" s="17" t="s">
        <v>225</v>
      </c>
      <c r="D155" s="7"/>
      <c r="E155" s="1">
        <f t="shared" ref="E155" si="111">E145/D145-1</f>
        <v>2.1357768164322E-2</v>
      </c>
      <c r="F155" s="1">
        <f t="shared" si="110"/>
        <v>0.12419957310565644</v>
      </c>
      <c r="G155" s="210">
        <v>0.05</v>
      </c>
      <c r="H155" s="210">
        <v>4.4999999999999998E-2</v>
      </c>
      <c r="I155" s="210">
        <v>0.04</v>
      </c>
      <c r="J155" s="210">
        <v>3.5000000000000003E-2</v>
      </c>
      <c r="K155" s="210">
        <v>0.03</v>
      </c>
    </row>
    <row r="156" spans="1:11" x14ac:dyDescent="0.25">
      <c r="C156" s="17" t="s">
        <v>226</v>
      </c>
      <c r="D156" s="7"/>
      <c r="E156" s="1">
        <f t="shared" ref="E156" si="112">E146/D146-1</f>
        <v>-5.674911660777382E-2</v>
      </c>
      <c r="F156" s="1">
        <f t="shared" si="110"/>
        <v>4.9786468869408962E-2</v>
      </c>
      <c r="G156" s="210">
        <v>2.5000000000000001E-2</v>
      </c>
      <c r="H156" s="210">
        <v>0.02</v>
      </c>
      <c r="I156" s="210">
        <v>1.4999999999999999E-2</v>
      </c>
      <c r="J156" s="210">
        <v>0.01</v>
      </c>
      <c r="K156" s="210">
        <v>0.01</v>
      </c>
    </row>
    <row r="157" spans="1:11" x14ac:dyDescent="0.25">
      <c r="C157" s="17" t="s">
        <v>227</v>
      </c>
      <c r="D157" s="7"/>
      <c r="E157" s="1">
        <f t="shared" ref="E157" si="113">E147/D147-1</f>
        <v>-7.1276195256619435E-2</v>
      </c>
      <c r="F157" s="1">
        <f t="shared" si="110"/>
        <v>-3.5643831914606183E-2</v>
      </c>
      <c r="G157" s="210">
        <v>0.03</v>
      </c>
      <c r="H157" s="210">
        <v>0.04</v>
      </c>
      <c r="I157" s="210">
        <v>4.4999999999999998E-2</v>
      </c>
      <c r="J157" s="210">
        <v>0.05</v>
      </c>
      <c r="K157" s="210">
        <v>0.05</v>
      </c>
    </row>
    <row r="158" spans="1:11" x14ac:dyDescent="0.25">
      <c r="C158" s="17" t="s">
        <v>186</v>
      </c>
      <c r="D158" s="7"/>
      <c r="E158" s="1">
        <f t="shared" ref="E158" si="114">E148/D148-1</f>
        <v>0.12874413145539898</v>
      </c>
      <c r="F158" s="1">
        <f t="shared" si="110"/>
        <v>0.13506431386413498</v>
      </c>
      <c r="G158" s="210">
        <v>0.125</v>
      </c>
      <c r="H158" s="210">
        <v>0.12</v>
      </c>
      <c r="I158" s="210">
        <v>0.115</v>
      </c>
      <c r="J158" s="210">
        <v>0.11</v>
      </c>
      <c r="K158" s="210">
        <v>0.105</v>
      </c>
    </row>
    <row r="159" spans="1:11" x14ac:dyDescent="0.25">
      <c r="C159" s="226"/>
      <c r="D159" s="7"/>
      <c r="E159" s="1"/>
      <c r="F159" s="1"/>
      <c r="G159" s="1"/>
      <c r="H159" s="1"/>
      <c r="I159" s="1"/>
      <c r="J159" s="1"/>
      <c r="K159" s="1"/>
    </row>
    <row r="160" spans="1:11" x14ac:dyDescent="0.25">
      <c r="A160" s="6" t="s">
        <v>187</v>
      </c>
      <c r="C160" s="13" t="s">
        <v>156</v>
      </c>
    </row>
    <row r="161" spans="3:11" x14ac:dyDescent="0.25">
      <c r="C161" s="48" t="s">
        <v>42</v>
      </c>
      <c r="D161" s="49">
        <f>D$13</f>
        <v>2023</v>
      </c>
      <c r="E161" s="49">
        <f t="shared" ref="E161:K161" si="115">E$13</f>
        <v>2024</v>
      </c>
      <c r="F161" s="49">
        <f t="shared" si="115"/>
        <v>2025</v>
      </c>
      <c r="G161" s="50">
        <f t="shared" si="115"/>
        <v>2026</v>
      </c>
      <c r="H161" s="50">
        <f t="shared" si="115"/>
        <v>2027</v>
      </c>
      <c r="I161" s="50">
        <f t="shared" si="115"/>
        <v>2028</v>
      </c>
      <c r="J161" s="50">
        <f t="shared" si="115"/>
        <v>2029</v>
      </c>
      <c r="K161" s="50">
        <f t="shared" si="115"/>
        <v>2030</v>
      </c>
    </row>
    <row r="162" spans="3:11" x14ac:dyDescent="0.25">
      <c r="C162" s="43" t="s">
        <v>43</v>
      </c>
      <c r="D162" s="245">
        <f>D$14</f>
        <v>45199</v>
      </c>
      <c r="E162" s="230">
        <f t="shared" ref="E162:K162" si="116">E$14</f>
        <v>45565</v>
      </c>
      <c r="F162" s="230">
        <f t="shared" si="116"/>
        <v>45927</v>
      </c>
      <c r="G162" s="230">
        <f t="shared" si="116"/>
        <v>46295</v>
      </c>
      <c r="H162" s="230">
        <f t="shared" si="116"/>
        <v>46660</v>
      </c>
      <c r="I162" s="230">
        <f t="shared" si="116"/>
        <v>47026</v>
      </c>
      <c r="J162" s="230">
        <f t="shared" si="116"/>
        <v>47391</v>
      </c>
      <c r="K162" s="230">
        <f t="shared" si="116"/>
        <v>47756</v>
      </c>
    </row>
    <row r="163" spans="3:11" x14ac:dyDescent="0.25">
      <c r="D163" s="6"/>
    </row>
    <row r="164" spans="3:11" x14ac:dyDescent="0.25">
      <c r="C164" s="13" t="s">
        <v>157</v>
      </c>
      <c r="D164" s="6"/>
    </row>
    <row r="165" spans="3:11" x14ac:dyDescent="0.25">
      <c r="C165" s="17" t="s">
        <v>210</v>
      </c>
      <c r="D165" s="27">
        <f t="shared" ref="D165:F168" si="117">D51</f>
        <v>29508</v>
      </c>
      <c r="E165" s="27">
        <f t="shared" si="117"/>
        <v>33410</v>
      </c>
      <c r="F165" s="27">
        <f t="shared" si="117"/>
        <v>39777</v>
      </c>
      <c r="G165" s="27">
        <f>G183/365*G16</f>
        <v>38343.183766037298</v>
      </c>
      <c r="H165" s="27">
        <f t="shared" ref="H165:K165" si="118">H183/365*H16</f>
        <v>40974.229794192783</v>
      </c>
      <c r="I165" s="27">
        <f t="shared" si="118"/>
        <v>43453.798264227873</v>
      </c>
      <c r="J165" s="27">
        <f t="shared" si="118"/>
        <v>45951.453511696513</v>
      </c>
      <c r="K165" s="27">
        <f t="shared" si="118"/>
        <v>48448.468178791736</v>
      </c>
    </row>
    <row r="166" spans="3:11" x14ac:dyDescent="0.25">
      <c r="C166" s="17" t="s">
        <v>211</v>
      </c>
      <c r="D166" s="27">
        <f t="shared" si="117"/>
        <v>31477</v>
      </c>
      <c r="E166" s="27">
        <f t="shared" si="117"/>
        <v>32833</v>
      </c>
      <c r="F166" s="27">
        <f t="shared" si="117"/>
        <v>33180</v>
      </c>
      <c r="G166" s="27">
        <f>G184/365*G16</f>
        <v>36531.532172799554</v>
      </c>
      <c r="H166" s="27">
        <f t="shared" ref="H166:K166" si="119">H184/365*H16</f>
        <v>39038.265656700125</v>
      </c>
      <c r="I166" s="27">
        <f t="shared" si="119"/>
        <v>41400.678644898049</v>
      </c>
      <c r="J166" s="27">
        <f t="shared" si="119"/>
        <v>43780.323840409466</v>
      </c>
      <c r="K166" s="27">
        <f t="shared" si="119"/>
        <v>46159.358721903584</v>
      </c>
    </row>
    <row r="167" spans="3:11" x14ac:dyDescent="0.25">
      <c r="C167" s="17" t="s">
        <v>185</v>
      </c>
      <c r="D167" s="27">
        <f t="shared" si="117"/>
        <v>6331</v>
      </c>
      <c r="E167" s="27">
        <f t="shared" si="117"/>
        <v>7286</v>
      </c>
      <c r="F167" s="27">
        <f t="shared" si="117"/>
        <v>5718</v>
      </c>
      <c r="G167" s="27">
        <f>G182/365*-G17</f>
        <v>7262.8111331907367</v>
      </c>
      <c r="H167" s="27">
        <f t="shared" ref="H167:K167" si="120">H182/365*-H17</f>
        <v>7761.1732541304855</v>
      </c>
      <c r="I167" s="27">
        <f t="shared" si="120"/>
        <v>8230.8431073060801</v>
      </c>
      <c r="J167" s="27">
        <f t="shared" si="120"/>
        <v>8703.9388848730705</v>
      </c>
      <c r="K167" s="27">
        <f t="shared" si="120"/>
        <v>9176.9133262908254</v>
      </c>
    </row>
    <row r="168" spans="3:11" x14ac:dyDescent="0.25">
      <c r="C168" s="17" t="s">
        <v>212</v>
      </c>
      <c r="D168" s="27">
        <f t="shared" si="117"/>
        <v>14695</v>
      </c>
      <c r="E168" s="27">
        <f t="shared" si="117"/>
        <v>14287</v>
      </c>
      <c r="F168" s="27">
        <f t="shared" si="117"/>
        <v>14585</v>
      </c>
      <c r="G168" s="27">
        <f>$F168/$F$16*G$16</f>
        <v>15625.057194270968</v>
      </c>
      <c r="H168" s="27">
        <f t="shared" ref="H168:K168" si="121">$F168/$F$16*H$16</f>
        <v>16697.222847533765</v>
      </c>
      <c r="I168" s="27">
        <f t="shared" si="121"/>
        <v>17707.660566994258</v>
      </c>
      <c r="J168" s="27">
        <f t="shared" si="121"/>
        <v>18725.46874722774</v>
      </c>
      <c r="K168" s="27">
        <f t="shared" si="121"/>
        <v>19743.015887453876</v>
      </c>
    </row>
    <row r="169" spans="3:11" x14ac:dyDescent="0.25">
      <c r="C169" s="13" t="s">
        <v>158</v>
      </c>
      <c r="D169" s="211">
        <f>SUM(D165:D168)</f>
        <v>82011</v>
      </c>
      <c r="E169" s="211">
        <f t="shared" ref="E169:G169" si="122">SUM(E165:E168)</f>
        <v>87816</v>
      </c>
      <c r="F169" s="211">
        <f t="shared" si="122"/>
        <v>93260</v>
      </c>
      <c r="G169" s="211">
        <f t="shared" si="122"/>
        <v>97762.584266298567</v>
      </c>
      <c r="H169" s="211">
        <f t="shared" ref="H169" si="123">SUM(H165:H168)</f>
        <v>104470.89155255715</v>
      </c>
      <c r="I169" s="211">
        <f t="shared" ref="I169" si="124">SUM(I165:I168)</f>
        <v>110792.98058342625</v>
      </c>
      <c r="J169" s="211">
        <f t="shared" ref="J169" si="125">SUM(J165:J168)</f>
        <v>117161.18498420679</v>
      </c>
      <c r="K169" s="211">
        <f t="shared" ref="K169" si="126">SUM(K165:K168)</f>
        <v>123527.75611444002</v>
      </c>
    </row>
    <row r="170" spans="3:11" x14ac:dyDescent="0.25">
      <c r="C170" s="13"/>
      <c r="E170" s="28"/>
      <c r="F170" s="28"/>
      <c r="G170" s="7"/>
      <c r="H170" s="7"/>
      <c r="I170" s="7"/>
      <c r="J170" s="7"/>
      <c r="K170" s="7"/>
    </row>
    <row r="171" spans="3:11" x14ac:dyDescent="0.25">
      <c r="C171" s="13" t="s">
        <v>162</v>
      </c>
      <c r="E171" s="28"/>
      <c r="F171" s="28"/>
      <c r="G171" s="7"/>
      <c r="H171" s="7"/>
      <c r="I171" s="7"/>
      <c r="J171" s="7"/>
      <c r="K171" s="7"/>
    </row>
    <row r="172" spans="3:11" x14ac:dyDescent="0.25">
      <c r="C172" s="17" t="s">
        <v>215</v>
      </c>
      <c r="D172" s="19">
        <f t="shared" ref="D172:F174" si="127">D68</f>
        <v>62611</v>
      </c>
      <c r="E172" s="19">
        <f t="shared" si="127"/>
        <v>68960</v>
      </c>
      <c r="F172" s="19">
        <f t="shared" si="127"/>
        <v>69860</v>
      </c>
      <c r="G172" s="27">
        <f>G185/365*-G17</f>
        <v>75496.889202797058</v>
      </c>
      <c r="H172" s="27">
        <f t="shared" ref="H172:K172" si="128">H185/365*-H17</f>
        <v>80677.361218035832</v>
      </c>
      <c r="I172" s="27">
        <f t="shared" si="128"/>
        <v>85559.577238365411</v>
      </c>
      <c r="J172" s="27">
        <f t="shared" si="128"/>
        <v>90477.405727400444</v>
      </c>
      <c r="K172" s="27">
        <f t="shared" si="128"/>
        <v>95393.972927707582</v>
      </c>
    </row>
    <row r="173" spans="3:11" x14ac:dyDescent="0.25">
      <c r="C173" s="17" t="s">
        <v>216</v>
      </c>
      <c r="D173" s="19">
        <f t="shared" si="127"/>
        <v>58829</v>
      </c>
      <c r="E173" s="19">
        <f t="shared" si="127"/>
        <v>78304</v>
      </c>
      <c r="F173" s="19">
        <f t="shared" si="127"/>
        <v>66387</v>
      </c>
      <c r="G173" s="27">
        <f>$F173/$F$16*G$16</f>
        <v>71121.060812894531</v>
      </c>
      <c r="H173" s="27">
        <f t="shared" ref="H173:K174" si="129">$F173/$F$16*H$16</f>
        <v>76001.270701352361</v>
      </c>
      <c r="I173" s="27">
        <f t="shared" si="129"/>
        <v>80600.511625714629</v>
      </c>
      <c r="J173" s="27">
        <f t="shared" si="129"/>
        <v>85233.300906562086</v>
      </c>
      <c r="K173" s="27">
        <f t="shared" si="129"/>
        <v>89864.902003455631</v>
      </c>
    </row>
    <row r="174" spans="3:11" x14ac:dyDescent="0.25">
      <c r="C174" s="17" t="s">
        <v>217</v>
      </c>
      <c r="D174" s="19">
        <f t="shared" si="127"/>
        <v>8061</v>
      </c>
      <c r="E174" s="19">
        <f t="shared" si="127"/>
        <v>8249</v>
      </c>
      <c r="F174" s="19">
        <f t="shared" si="127"/>
        <v>9055</v>
      </c>
      <c r="G174" s="27">
        <f>$F174/$F$16*G$16</f>
        <v>9700.7125741600012</v>
      </c>
      <c r="H174" s="27">
        <f t="shared" si="129"/>
        <v>10366.359470991996</v>
      </c>
      <c r="I174" s="27">
        <f t="shared" si="129"/>
        <v>10993.682991712925</v>
      </c>
      <c r="J174" s="27">
        <f t="shared" si="129"/>
        <v>11625.582413859938</v>
      </c>
      <c r="K174" s="27">
        <f t="shared" si="129"/>
        <v>12257.319771058954</v>
      </c>
    </row>
    <row r="175" spans="3:11" x14ac:dyDescent="0.25">
      <c r="C175" s="13" t="s">
        <v>163</v>
      </c>
      <c r="D175" s="214">
        <f>SUM(D172:D174)</f>
        <v>129501</v>
      </c>
      <c r="E175" s="214">
        <f t="shared" ref="E175:G175" si="130">SUM(E172:E174)</f>
        <v>155513</v>
      </c>
      <c r="F175" s="214">
        <f t="shared" si="130"/>
        <v>145302</v>
      </c>
      <c r="G175" s="214">
        <f t="shared" si="130"/>
        <v>156318.66258985156</v>
      </c>
      <c r="H175" s="214">
        <f t="shared" ref="H175" si="131">SUM(H172:H174)</f>
        <v>167044.99139038019</v>
      </c>
      <c r="I175" s="214">
        <f t="shared" ref="I175" si="132">SUM(I172:I174)</f>
        <v>177153.77185579296</v>
      </c>
      <c r="J175" s="214">
        <f t="shared" ref="J175" si="133">SUM(J172:J174)</f>
        <v>187336.28904782244</v>
      </c>
      <c r="K175" s="214">
        <f t="shared" ref="K175" si="134">SUM(K172:K174)</f>
        <v>197516.19470222216</v>
      </c>
    </row>
    <row r="176" spans="3:11" x14ac:dyDescent="0.25">
      <c r="E176" s="28"/>
      <c r="F176" s="28"/>
      <c r="G176" s="7"/>
      <c r="H176" s="7"/>
      <c r="I176" s="7"/>
      <c r="J176" s="7"/>
      <c r="K176" s="7"/>
    </row>
    <row r="177" spans="1:11" x14ac:dyDescent="0.25">
      <c r="C177" s="6" t="s">
        <v>159</v>
      </c>
      <c r="D177" s="19">
        <f>D169-D175</f>
        <v>-47490</v>
      </c>
      <c r="E177" s="19">
        <f t="shared" ref="E177:F177" si="135">E169-E175</f>
        <v>-67697</v>
      </c>
      <c r="F177" s="19">
        <f t="shared" si="135"/>
        <v>-52042</v>
      </c>
      <c r="G177" s="19">
        <f t="shared" ref="G177:K177" si="136">G169-G175</f>
        <v>-58556.078323552996</v>
      </c>
      <c r="H177" s="19">
        <f t="shared" si="136"/>
        <v>-62574.099837823043</v>
      </c>
      <c r="I177" s="19">
        <f t="shared" si="136"/>
        <v>-66360.79127236671</v>
      </c>
      <c r="J177" s="19">
        <f t="shared" si="136"/>
        <v>-70175.104063615654</v>
      </c>
      <c r="K177" s="19">
        <f t="shared" si="136"/>
        <v>-73988.438587782133</v>
      </c>
    </row>
    <row r="178" spans="1:11" x14ac:dyDescent="0.25">
      <c r="C178" s="6" t="s">
        <v>160</v>
      </c>
      <c r="D178" s="22">
        <f t="shared" ref="D178:K178" si="137">D177/D16</f>
        <v>-0.12390257902083306</v>
      </c>
      <c r="E178" s="22">
        <f t="shared" si="137"/>
        <v>-0.17312261050801078</v>
      </c>
      <c r="F178" s="22">
        <f t="shared" si="137"/>
        <v>-0.12505256379141727</v>
      </c>
      <c r="G178" s="22">
        <f t="shared" si="137"/>
        <v>-0.13133951926528425</v>
      </c>
      <c r="H178" s="22">
        <f t="shared" si="137"/>
        <v>-0.13133951926528437</v>
      </c>
      <c r="I178" s="22">
        <f t="shared" si="137"/>
        <v>-0.13133951926528437</v>
      </c>
      <c r="J178" s="22">
        <f t="shared" si="137"/>
        <v>-0.13133951926528428</v>
      </c>
      <c r="K178" s="22">
        <f t="shared" si="137"/>
        <v>-0.13133951926528431</v>
      </c>
    </row>
    <row r="179" spans="1:11" x14ac:dyDescent="0.25">
      <c r="C179" s="6" t="s">
        <v>161</v>
      </c>
      <c r="D179" s="19"/>
      <c r="E179" s="185">
        <f>D177-E177</f>
        <v>20207</v>
      </c>
      <c r="F179" s="185">
        <f t="shared" ref="F179:K179" si="138">E177-F177</f>
        <v>-15655</v>
      </c>
      <c r="G179" s="185">
        <f t="shared" si="138"/>
        <v>6514.0783235529962</v>
      </c>
      <c r="H179" s="185">
        <f t="shared" si="138"/>
        <v>4018.0215142700472</v>
      </c>
      <c r="I179" s="185">
        <f t="shared" si="138"/>
        <v>3786.6914345436671</v>
      </c>
      <c r="J179" s="185">
        <f t="shared" si="138"/>
        <v>3814.3127912489435</v>
      </c>
      <c r="K179" s="185">
        <f t="shared" si="138"/>
        <v>3813.3345241664792</v>
      </c>
    </row>
    <row r="180" spans="1:11" x14ac:dyDescent="0.25">
      <c r="D180" s="19"/>
      <c r="E180" s="185"/>
      <c r="F180" s="185"/>
      <c r="G180" s="185"/>
      <c r="H180" s="185"/>
      <c r="I180" s="185"/>
      <c r="J180" s="185"/>
      <c r="K180" s="185"/>
    </row>
    <row r="181" spans="1:11" x14ac:dyDescent="0.25">
      <c r="C181" s="13" t="s">
        <v>174</v>
      </c>
      <c r="G181" s="239"/>
      <c r="H181" s="239"/>
      <c r="I181" s="239"/>
      <c r="J181" s="239"/>
      <c r="K181" s="239"/>
    </row>
    <row r="182" spans="1:11" x14ac:dyDescent="0.25">
      <c r="C182" s="17" t="s">
        <v>175</v>
      </c>
      <c r="D182" s="240">
        <f>D167/-D17*365</f>
        <v>10.791292490321617</v>
      </c>
      <c r="E182" s="240">
        <f>E167/-E17*365</f>
        <v>12.642570548414087</v>
      </c>
      <c r="F182" s="240">
        <f>F167/-F17*365</f>
        <v>9.4454652425778427</v>
      </c>
      <c r="G182" s="256">
        <f>AVERAGE(D182:F182)</f>
        <v>10.959776093771183</v>
      </c>
      <c r="H182" s="256">
        <f>G182</f>
        <v>10.959776093771183</v>
      </c>
      <c r="I182" s="256">
        <f t="shared" ref="I182:K182" si="139">H182</f>
        <v>10.959776093771183</v>
      </c>
      <c r="J182" s="256">
        <f t="shared" si="139"/>
        <v>10.959776093771183</v>
      </c>
      <c r="K182" s="256">
        <f t="shared" si="139"/>
        <v>10.959776093771183</v>
      </c>
    </row>
    <row r="183" spans="1:11" x14ac:dyDescent="0.25">
      <c r="C183" s="17" t="s">
        <v>176</v>
      </c>
      <c r="D183" s="240">
        <f>D165/D16*365</f>
        <v>28.100290906244702</v>
      </c>
      <c r="E183" s="240">
        <f>E165/E16*365</f>
        <v>31.185571624023428</v>
      </c>
      <c r="F183" s="240">
        <f>F165/F16*365</f>
        <v>34.886990852098108</v>
      </c>
      <c r="G183" s="256">
        <f t="shared" ref="G183:G185" si="140">AVERAGE(D183:F183)</f>
        <v>31.390951127455413</v>
      </c>
      <c r="H183" s="256">
        <f t="shared" ref="H183:K183" si="141">G183</f>
        <v>31.390951127455413</v>
      </c>
      <c r="I183" s="256">
        <f t="shared" si="141"/>
        <v>31.390951127455413</v>
      </c>
      <c r="J183" s="256">
        <f t="shared" si="141"/>
        <v>31.390951127455413</v>
      </c>
      <c r="K183" s="256">
        <f t="shared" si="141"/>
        <v>31.390951127455413</v>
      </c>
    </row>
    <row r="184" spans="1:11" x14ac:dyDescent="0.25">
      <c r="C184" s="17" t="s">
        <v>228</v>
      </c>
      <c r="D184" s="240">
        <f>D166/D16*365</f>
        <v>29.97535776250049</v>
      </c>
      <c r="E184" s="240">
        <f>E166/E16*365</f>
        <v>30.64698812126792</v>
      </c>
      <c r="F184" s="240">
        <f>F166/F16*365</f>
        <v>29.100996969922697</v>
      </c>
      <c r="G184" s="256">
        <f t="shared" si="140"/>
        <v>29.907780951230368</v>
      </c>
      <c r="H184" s="256">
        <f t="shared" ref="H184:K184" si="142">G184</f>
        <v>29.907780951230368</v>
      </c>
      <c r="I184" s="256">
        <f t="shared" si="142"/>
        <v>29.907780951230368</v>
      </c>
      <c r="J184" s="256">
        <f t="shared" si="142"/>
        <v>29.907780951230368</v>
      </c>
      <c r="K184" s="256">
        <f t="shared" si="142"/>
        <v>29.907780951230368</v>
      </c>
    </row>
    <row r="185" spans="1:11" x14ac:dyDescent="0.25">
      <c r="C185" s="17" t="s">
        <v>177</v>
      </c>
      <c r="D185" s="240">
        <f>D172/-D17*365</f>
        <v>106.72146803214764</v>
      </c>
      <c r="E185" s="240">
        <f>E172/-E17*365</f>
        <v>119.65847721913744</v>
      </c>
      <c r="F185" s="240">
        <f>F172/-F17*365</f>
        <v>115.40052498189718</v>
      </c>
      <c r="G185" s="256">
        <f t="shared" si="140"/>
        <v>113.92682341106075</v>
      </c>
      <c r="H185" s="256">
        <f t="shared" ref="H185:K185" si="143">G185</f>
        <v>113.92682341106075</v>
      </c>
      <c r="I185" s="256">
        <f t="shared" si="143"/>
        <v>113.92682341106075</v>
      </c>
      <c r="J185" s="256">
        <f t="shared" si="143"/>
        <v>113.92682341106075</v>
      </c>
      <c r="K185" s="256">
        <f t="shared" si="143"/>
        <v>113.92682341106075</v>
      </c>
    </row>
    <row r="187" spans="1:11" x14ac:dyDescent="0.25">
      <c r="A187" s="6" t="s">
        <v>187</v>
      </c>
      <c r="C187" s="13" t="s">
        <v>164</v>
      </c>
    </row>
    <row r="188" spans="1:11" x14ac:dyDescent="0.25">
      <c r="C188" s="48" t="s">
        <v>42</v>
      </c>
      <c r="D188" s="49">
        <f t="shared" ref="D188:K188" si="144">D$13</f>
        <v>2023</v>
      </c>
      <c r="E188" s="49">
        <f t="shared" si="144"/>
        <v>2024</v>
      </c>
      <c r="F188" s="49">
        <f t="shared" si="144"/>
        <v>2025</v>
      </c>
      <c r="G188" s="50">
        <f t="shared" si="144"/>
        <v>2026</v>
      </c>
      <c r="H188" s="50">
        <f t="shared" si="144"/>
        <v>2027</v>
      </c>
      <c r="I188" s="50">
        <f t="shared" si="144"/>
        <v>2028</v>
      </c>
      <c r="J188" s="50">
        <f t="shared" si="144"/>
        <v>2029</v>
      </c>
      <c r="K188" s="50">
        <f t="shared" si="144"/>
        <v>2030</v>
      </c>
    </row>
    <row r="189" spans="1:11" x14ac:dyDescent="0.25">
      <c r="C189" s="43" t="s">
        <v>43</v>
      </c>
      <c r="D189" s="245">
        <f t="shared" ref="D189:K189" si="145">D$14</f>
        <v>45199</v>
      </c>
      <c r="E189" s="230">
        <f t="shared" si="145"/>
        <v>45565</v>
      </c>
      <c r="F189" s="230">
        <f t="shared" si="145"/>
        <v>45927</v>
      </c>
      <c r="G189" s="230">
        <f t="shared" si="145"/>
        <v>46295</v>
      </c>
      <c r="H189" s="230">
        <f t="shared" si="145"/>
        <v>46660</v>
      </c>
      <c r="I189" s="230">
        <f t="shared" si="145"/>
        <v>47026</v>
      </c>
      <c r="J189" s="230">
        <f t="shared" si="145"/>
        <v>47391</v>
      </c>
      <c r="K189" s="230">
        <f t="shared" si="145"/>
        <v>47756</v>
      </c>
    </row>
    <row r="191" spans="1:11" x14ac:dyDescent="0.25">
      <c r="C191" s="13" t="s">
        <v>165</v>
      </c>
    </row>
    <row r="192" spans="1:11" x14ac:dyDescent="0.25">
      <c r="C192" s="17" t="s">
        <v>32</v>
      </c>
      <c r="D192" s="19"/>
      <c r="E192" s="185">
        <f>D196</f>
        <v>-214</v>
      </c>
      <c r="F192" s="185">
        <f t="shared" ref="F192:K192" si="146">E196</f>
        <v>-19154</v>
      </c>
      <c r="G192" s="185">
        <f t="shared" si="146"/>
        <v>-14264</v>
      </c>
      <c r="H192" s="185">
        <f t="shared" si="146"/>
        <v>-32365.652097626749</v>
      </c>
      <c r="I192" s="185">
        <f t="shared" si="146"/>
        <v>-51712.291890675377</v>
      </c>
      <c r="J192" s="185">
        <f t="shared" si="146"/>
        <v>-72232.241539239505</v>
      </c>
      <c r="K192" s="185">
        <f t="shared" si="146"/>
        <v>-93934.059546330347</v>
      </c>
    </row>
    <row r="193" spans="3:11" x14ac:dyDescent="0.25">
      <c r="C193" s="17" t="s">
        <v>229</v>
      </c>
      <c r="D193" s="263">
        <f t="shared" ref="D193:K193" si="147">D28</f>
        <v>96995</v>
      </c>
      <c r="E193" s="263">
        <f t="shared" si="147"/>
        <v>93736</v>
      </c>
      <c r="F193" s="263">
        <f t="shared" si="147"/>
        <v>112010</v>
      </c>
      <c r="G193" s="263">
        <f t="shared" si="147"/>
        <v>113243.37744450688</v>
      </c>
      <c r="H193" s="263">
        <f t="shared" si="147"/>
        <v>121031.98208379892</v>
      </c>
      <c r="I193" s="263">
        <f t="shared" si="147"/>
        <v>128372.17236648157</v>
      </c>
      <c r="J193" s="263">
        <f t="shared" si="147"/>
        <v>135765.90438014158</v>
      </c>
      <c r="K193" s="263">
        <f t="shared" si="147"/>
        <v>143157.7401034233</v>
      </c>
    </row>
    <row r="194" spans="3:11" x14ac:dyDescent="0.25">
      <c r="C194" s="17" t="s">
        <v>230</v>
      </c>
      <c r="D194" s="238">
        <v>15025</v>
      </c>
      <c r="E194" s="188">
        <v>15234</v>
      </c>
      <c r="F194" s="238">
        <v>15421</v>
      </c>
      <c r="G194" s="185">
        <f>G198*G193</f>
        <v>39635.182105577405</v>
      </c>
      <c r="H194" s="185">
        <f t="shared" ref="H194:K194" si="148">H198*H193</f>
        <v>42361.193729329621</v>
      </c>
      <c r="I194" s="185">
        <f t="shared" si="148"/>
        <v>44930.260328268545</v>
      </c>
      <c r="J194" s="185">
        <f t="shared" si="148"/>
        <v>47518.066533049554</v>
      </c>
      <c r="K194" s="185">
        <f t="shared" si="148"/>
        <v>50105.209036198154</v>
      </c>
    </row>
    <row r="195" spans="3:11" x14ac:dyDescent="0.25">
      <c r="C195" s="17" t="s">
        <v>231</v>
      </c>
      <c r="D195" s="238">
        <v>77550</v>
      </c>
      <c r="E195" s="188">
        <v>94949</v>
      </c>
      <c r="F195" s="238">
        <v>90711</v>
      </c>
      <c r="G195" s="185">
        <f>G199*G193</f>
        <v>91709.847436556229</v>
      </c>
      <c r="H195" s="185">
        <f t="shared" ref="H195:K195" si="149">H199*H193</f>
        <v>98017.42814751793</v>
      </c>
      <c r="I195" s="185">
        <f t="shared" si="149"/>
        <v>103961.86168677715</v>
      </c>
      <c r="J195" s="185">
        <f t="shared" si="149"/>
        <v>109949.65585418287</v>
      </c>
      <c r="K195" s="185">
        <f t="shared" si="149"/>
        <v>115935.91431587921</v>
      </c>
    </row>
    <row r="196" spans="3:11" x14ac:dyDescent="0.25">
      <c r="C196" s="17" t="s">
        <v>166</v>
      </c>
      <c r="D196" s="19">
        <f>D84</f>
        <v>-214</v>
      </c>
      <c r="E196" s="19">
        <f>E84</f>
        <v>-19154</v>
      </c>
      <c r="F196" s="19">
        <f>F84</f>
        <v>-14264</v>
      </c>
      <c r="G196" s="185">
        <f>G192+G193-G194-G195</f>
        <v>-32365.652097626749</v>
      </c>
      <c r="H196" s="185">
        <f t="shared" ref="H196:K196" si="150">H192+H193-H194-H195</f>
        <v>-51712.291890675377</v>
      </c>
      <c r="I196" s="185">
        <f t="shared" si="150"/>
        <v>-72232.241539239505</v>
      </c>
      <c r="J196" s="185">
        <f t="shared" si="150"/>
        <v>-93934.059546330347</v>
      </c>
      <c r="K196" s="185">
        <f t="shared" si="150"/>
        <v>-116817.44279498441</v>
      </c>
    </row>
    <row r="197" spans="3:11" x14ac:dyDescent="0.25">
      <c r="D197" s="185"/>
      <c r="E197" s="185"/>
      <c r="F197" s="185"/>
      <c r="G197" s="185"/>
      <c r="H197" s="185"/>
      <c r="I197" s="185"/>
      <c r="J197" s="185"/>
      <c r="K197" s="185"/>
    </row>
    <row r="198" spans="3:11" x14ac:dyDescent="0.25">
      <c r="C198" s="6" t="s">
        <v>179</v>
      </c>
      <c r="D198" s="1">
        <f>D194/D193</f>
        <v>0.1549048920047425</v>
      </c>
      <c r="E198" s="1">
        <f t="shared" ref="E198:F198" si="151">E194/E193</f>
        <v>0.16252026969360758</v>
      </c>
      <c r="F198" s="1">
        <f t="shared" si="151"/>
        <v>0.13767520757075261</v>
      </c>
      <c r="G198" s="210">
        <v>0.35</v>
      </c>
      <c r="H198" s="210">
        <f t="shared" ref="H198:K199" si="152">G198</f>
        <v>0.35</v>
      </c>
      <c r="I198" s="210">
        <f t="shared" si="152"/>
        <v>0.35</v>
      </c>
      <c r="J198" s="210">
        <f t="shared" si="152"/>
        <v>0.35</v>
      </c>
      <c r="K198" s="210">
        <f t="shared" si="152"/>
        <v>0.35</v>
      </c>
    </row>
    <row r="199" spans="3:11" x14ac:dyDescent="0.25">
      <c r="C199" s="6" t="s">
        <v>236</v>
      </c>
      <c r="D199" s="1">
        <f>D195/D193</f>
        <v>0.79952574874993554</v>
      </c>
      <c r="E199" s="1">
        <f t="shared" ref="E199:F199" si="153">E195/E193</f>
        <v>1.01294059912947</v>
      </c>
      <c r="F199" s="1">
        <f t="shared" si="153"/>
        <v>0.80984733505936968</v>
      </c>
      <c r="G199" s="210">
        <f>F199</f>
        <v>0.80984733505936968</v>
      </c>
      <c r="H199" s="210">
        <f t="shared" si="152"/>
        <v>0.80984733505936968</v>
      </c>
      <c r="I199" s="210">
        <f t="shared" si="152"/>
        <v>0.80984733505936968</v>
      </c>
      <c r="J199" s="210">
        <f t="shared" si="152"/>
        <v>0.80984733505936968</v>
      </c>
      <c r="K199" s="210">
        <f t="shared" si="152"/>
        <v>0.80984733505936968</v>
      </c>
    </row>
  </sheetData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BFB8B-B60E-497E-A730-4D15A5E1DAC7}">
  <dimension ref="B1:Q132"/>
  <sheetViews>
    <sheetView showGridLines="0" zoomScaleNormal="100" workbookViewId="0">
      <selection activeCell="D8" sqref="D8"/>
    </sheetView>
  </sheetViews>
  <sheetFormatPr defaultColWidth="9.140625" defaultRowHeight="15" x14ac:dyDescent="0.25"/>
  <cols>
    <col min="1" max="1" width="1.42578125" style="51" customWidth="1"/>
    <col min="2" max="2" width="54.42578125" style="51" customWidth="1"/>
    <col min="3" max="3" width="16.7109375" style="51" customWidth="1"/>
    <col min="4" max="4" width="15.5703125" style="51" bestFit="1" customWidth="1"/>
    <col min="5" max="9" width="16.42578125" style="51" customWidth="1"/>
    <col min="10" max="10" width="1.7109375" style="51" customWidth="1"/>
    <col min="11" max="11" width="12.140625" style="51" bestFit="1" customWidth="1"/>
    <col min="12" max="16" width="9.42578125" style="51" customWidth="1"/>
    <col min="17" max="16384" width="9.140625" style="51"/>
  </cols>
  <sheetData>
    <row r="1" spans="2:10" ht="15.75" thickBot="1" x14ac:dyDescent="0.3"/>
    <row r="2" spans="2:10" ht="15.75" thickBot="1" x14ac:dyDescent="0.3">
      <c r="B2" s="52" t="s">
        <v>46</v>
      </c>
      <c r="C2" s="53"/>
      <c r="D2" s="53"/>
      <c r="E2" s="53"/>
      <c r="F2" s="53"/>
      <c r="G2" s="53"/>
      <c r="H2" s="53"/>
      <c r="I2" s="53"/>
    </row>
    <row r="3" spans="2:10" x14ac:dyDescent="0.25">
      <c r="B3" s="184" t="str">
        <f>FSM!C3</f>
        <v>All amounts are shown in USD, except per-share data, ratios, and shares outstanding</v>
      </c>
    </row>
    <row r="4" spans="2:10" x14ac:dyDescent="0.25">
      <c r="B4" s="51" t="s">
        <v>47</v>
      </c>
      <c r="C4" s="55"/>
      <c r="D4" s="55">
        <v>45927</v>
      </c>
      <c r="F4" s="51" t="s">
        <v>48</v>
      </c>
      <c r="H4" s="56">
        <f>+WACC!E21</f>
        <v>0.10259040052519218</v>
      </c>
      <c r="I4" s="51" t="s">
        <v>49</v>
      </c>
    </row>
    <row r="5" spans="2:10" x14ac:dyDescent="0.25">
      <c r="B5" s="51" t="s">
        <v>50</v>
      </c>
      <c r="C5" s="57"/>
      <c r="D5" s="57">
        <f>EOMONTH(D4,12)</f>
        <v>46295</v>
      </c>
      <c r="F5" s="51" t="s">
        <v>51</v>
      </c>
      <c r="H5" s="270">
        <v>298.01</v>
      </c>
    </row>
    <row r="6" spans="2:10" x14ac:dyDescent="0.25">
      <c r="B6" s="51" t="s">
        <v>52</v>
      </c>
      <c r="C6" s="55"/>
      <c r="D6" s="55">
        <v>46018</v>
      </c>
      <c r="F6" s="51" t="s">
        <v>53</v>
      </c>
      <c r="H6" s="58">
        <v>46190</v>
      </c>
      <c r="J6" s="59"/>
    </row>
    <row r="7" spans="2:10" x14ac:dyDescent="0.25">
      <c r="B7" s="51" t="s">
        <v>54</v>
      </c>
      <c r="C7" s="55"/>
      <c r="D7" s="55">
        <v>46193</v>
      </c>
      <c r="E7" s="59"/>
      <c r="F7" s="212" t="s">
        <v>150</v>
      </c>
      <c r="G7" s="59"/>
      <c r="H7" s="270">
        <f>C73</f>
        <v>131.08227403364896</v>
      </c>
    </row>
    <row r="8" spans="2:10" x14ac:dyDescent="0.25">
      <c r="B8" s="51" t="s">
        <v>55</v>
      </c>
      <c r="C8" s="137"/>
      <c r="D8" s="137">
        <f>YEARFRAC(D7,D5)</f>
        <v>0.27777777777777779</v>
      </c>
      <c r="F8" s="212" t="s">
        <v>151</v>
      </c>
      <c r="H8" s="208">
        <f>H7/H5-1</f>
        <v>-0.56014135755964911</v>
      </c>
    </row>
    <row r="9" spans="2:10" x14ac:dyDescent="0.25">
      <c r="D9" s="61"/>
      <c r="F9" t="s">
        <v>173</v>
      </c>
      <c r="G9"/>
      <c r="H9" s="241">
        <v>1</v>
      </c>
    </row>
    <row r="10" spans="2:10" x14ac:dyDescent="0.25">
      <c r="B10" s="62" t="s">
        <v>56</v>
      </c>
      <c r="C10" s="63"/>
      <c r="D10" s="64"/>
      <c r="F10" s="63"/>
      <c r="G10" s="63"/>
      <c r="H10" s="63"/>
      <c r="I10" s="63"/>
    </row>
    <row r="11" spans="2:10" ht="17.25" customHeight="1" x14ac:dyDescent="0.4">
      <c r="C11" s="65" t="s">
        <v>57</v>
      </c>
      <c r="D11" s="65" t="s">
        <v>58</v>
      </c>
      <c r="E11" s="66" t="s">
        <v>59</v>
      </c>
      <c r="F11" s="65"/>
      <c r="G11" s="65"/>
      <c r="H11" s="65"/>
      <c r="I11" s="65"/>
    </row>
    <row r="12" spans="2:10" x14ac:dyDescent="0.25">
      <c r="B12" s="67" t="s">
        <v>60</v>
      </c>
      <c r="C12" s="68">
        <f>D7</f>
        <v>46193</v>
      </c>
      <c r="D12" s="231">
        <f>D4</f>
        <v>45927</v>
      </c>
      <c r="E12" s="231">
        <f>EOMONTH(D12,12)</f>
        <v>46295</v>
      </c>
      <c r="F12" s="231">
        <f>EOMONTH(E12,12)</f>
        <v>46660</v>
      </c>
      <c r="G12" s="231">
        <f t="shared" ref="G12:I12" si="0">EOMONTH(F12,12)</f>
        <v>47026</v>
      </c>
      <c r="H12" s="231">
        <f t="shared" si="0"/>
        <v>47391</v>
      </c>
      <c r="I12" s="231">
        <f t="shared" si="0"/>
        <v>47756</v>
      </c>
    </row>
    <row r="13" spans="2:10" x14ac:dyDescent="0.25">
      <c r="B13" s="67"/>
      <c r="D13" s="176"/>
      <c r="E13" s="183"/>
      <c r="F13" s="183"/>
      <c r="G13" s="183"/>
      <c r="H13" s="183"/>
      <c r="I13" s="182"/>
    </row>
    <row r="14" spans="2:10" x14ac:dyDescent="0.25">
      <c r="B14" s="51" t="s">
        <v>61</v>
      </c>
      <c r="C14" s="155">
        <f>E14*(1-$D$8)+D14*$D$8</f>
        <v>437594.00250000006</v>
      </c>
      <c r="D14" s="177">
        <f>FSM!F16</f>
        <v>416161</v>
      </c>
      <c r="E14" s="177">
        <f>FSM!G16</f>
        <v>445837.46500000003</v>
      </c>
      <c r="F14" s="177">
        <f>FSM!H16</f>
        <v>476430.09649999999</v>
      </c>
      <c r="G14" s="177">
        <f>FSM!I16</f>
        <v>505261.4144135</v>
      </c>
      <c r="H14" s="177">
        <f>FSM!J16</f>
        <v>534303.037320195</v>
      </c>
      <c r="I14" s="177">
        <f>FSM!K16</f>
        <v>563337.21184358536</v>
      </c>
    </row>
    <row r="15" spans="2:10" x14ac:dyDescent="0.25">
      <c r="B15" s="71" t="s">
        <v>40</v>
      </c>
      <c r="C15"/>
      <c r="D15" s="178"/>
      <c r="E15" s="178">
        <f>E14/D14-1</f>
        <v>7.1310057886250888E-2</v>
      </c>
      <c r="F15" s="178">
        <f t="shared" ref="F15:I15" si="1">F14/E14-1</f>
        <v>6.8618350635920589E-2</v>
      </c>
      <c r="G15" s="178">
        <f t="shared" si="1"/>
        <v>6.0515316150897336E-2</v>
      </c>
      <c r="H15" s="178">
        <f t="shared" si="1"/>
        <v>5.747841034013268E-2</v>
      </c>
      <c r="I15" s="178">
        <f t="shared" si="1"/>
        <v>5.4340276014547273E-2</v>
      </c>
    </row>
    <row r="16" spans="2:10" x14ac:dyDescent="0.25">
      <c r="B16" s="51" t="s">
        <v>24</v>
      </c>
      <c r="C16" s="155">
        <f>E16*(1-$D$8)+D16*$D$8</f>
        <v>149734.53322006032</v>
      </c>
      <c r="D16" s="177">
        <f>FSM!F31</f>
        <v>144748</v>
      </c>
      <c r="E16" s="177">
        <f>FSM!G31</f>
        <v>151652.43061239121</v>
      </c>
      <c r="F16" s="177">
        <f>FSM!H31</f>
        <v>162058.57027094188</v>
      </c>
      <c r="G16" s="177">
        <f>FSM!I31</f>
        <v>171865.59588585037</v>
      </c>
      <c r="H16" s="177">
        <f>FSM!J31</f>
        <v>181744.15712952867</v>
      </c>
      <c r="I16" s="177">
        <f>FSM!K31</f>
        <v>191620.18479197851</v>
      </c>
    </row>
    <row r="17" spans="2:13" x14ac:dyDescent="0.25">
      <c r="B17" s="71" t="s">
        <v>62</v>
      </c>
      <c r="C17"/>
      <c r="D17" s="178">
        <f>D16/D14</f>
        <v>0.34781731108873731</v>
      </c>
      <c r="E17" s="178">
        <f t="shared" ref="E17:I17" si="2">E16/E14</f>
        <v>0.34015183226557955</v>
      </c>
      <c r="F17" s="178">
        <f t="shared" si="2"/>
        <v>0.34015183226557955</v>
      </c>
      <c r="G17" s="178">
        <f t="shared" si="2"/>
        <v>0.34015183226557966</v>
      </c>
      <c r="H17" s="178">
        <f t="shared" si="2"/>
        <v>0.34015183226557955</v>
      </c>
      <c r="I17" s="178">
        <f t="shared" si="2"/>
        <v>0.34015183226557955</v>
      </c>
    </row>
    <row r="18" spans="2:13" x14ac:dyDescent="0.25">
      <c r="B18" s="51" t="s">
        <v>63</v>
      </c>
      <c r="C18" s="155">
        <f>E18*(1-$D$8)+D18*$D$8</f>
        <v>137100.99512786852</v>
      </c>
      <c r="D18" s="177">
        <f>FSM!F21</f>
        <v>133050</v>
      </c>
      <c r="E18" s="177">
        <f>FSM!G21</f>
        <v>138659.07017704874</v>
      </c>
      <c r="F18" s="177">
        <f>FSM!H21</f>
        <v>148173.62687330818</v>
      </c>
      <c r="G18" s="177">
        <f>FSM!I21</f>
        <v>157140.40074877156</v>
      </c>
      <c r="H18" s="177">
        <f>FSM!J21</f>
        <v>166172.5811840223</v>
      </c>
      <c r="I18" s="177">
        <f>FSM!K21</f>
        <v>175202.44511161186</v>
      </c>
    </row>
    <row r="19" spans="2:13" x14ac:dyDescent="0.25">
      <c r="B19" s="71" t="s">
        <v>62</v>
      </c>
      <c r="D19" s="178">
        <f>D18/D14</f>
        <v>0.31970799762591884</v>
      </c>
      <c r="E19" s="178">
        <f t="shared" ref="E19:I19" si="3">E18/E14</f>
        <v>0.31100811632564063</v>
      </c>
      <c r="F19" s="178">
        <f t="shared" si="3"/>
        <v>0.31100811632564063</v>
      </c>
      <c r="G19" s="178">
        <f t="shared" si="3"/>
        <v>0.31100811632564068</v>
      </c>
      <c r="H19" s="178">
        <f t="shared" si="3"/>
        <v>0.31100811632564063</v>
      </c>
      <c r="I19" s="178">
        <f t="shared" si="3"/>
        <v>0.31100811632564063</v>
      </c>
    </row>
    <row r="20" spans="2:13" x14ac:dyDescent="0.25">
      <c r="B20" s="71"/>
      <c r="D20" s="177"/>
      <c r="E20" s="177"/>
      <c r="F20" s="177"/>
      <c r="G20" s="177"/>
      <c r="H20" s="177"/>
      <c r="I20" s="177"/>
    </row>
    <row r="21" spans="2:13" x14ac:dyDescent="0.25">
      <c r="B21" s="51" t="s">
        <v>64</v>
      </c>
      <c r="D21" s="179">
        <f>D18*D22</f>
        <v>20769.108107497232</v>
      </c>
      <c r="E21" s="179">
        <f t="shared" ref="E21:I21" si="4">E18*E22</f>
        <v>25152.922519590611</v>
      </c>
      <c r="F21" s="179">
        <f t="shared" si="4"/>
        <v>26878.874576558021</v>
      </c>
      <c r="G21" s="179">
        <f t="shared" si="4"/>
        <v>28505.458169338752</v>
      </c>
      <c r="H21" s="179">
        <f t="shared" si="4"/>
        <v>30143.906590929488</v>
      </c>
      <c r="I21" s="179">
        <f t="shared" si="4"/>
        <v>31781.934795237328</v>
      </c>
    </row>
    <row r="22" spans="2:13" ht="15" customHeight="1" x14ac:dyDescent="0.25">
      <c r="B22" s="71" t="s">
        <v>26</v>
      </c>
      <c r="D22" s="180">
        <f>-FSM!F41</f>
        <v>0.15610002335586043</v>
      </c>
      <c r="E22" s="180">
        <f>-FSM!G41</f>
        <v>0.18140120575937627</v>
      </c>
      <c r="F22" s="180">
        <f>-FSM!H41</f>
        <v>0.18140120575937627</v>
      </c>
      <c r="G22" s="180">
        <f>-FSM!I41</f>
        <v>0.18140120575937627</v>
      </c>
      <c r="H22" s="180">
        <f>-FSM!J41</f>
        <v>0.18140120575937627</v>
      </c>
      <c r="I22" s="180">
        <f>-FSM!K41</f>
        <v>0.18140120575937627</v>
      </c>
    </row>
    <row r="23" spans="2:13" x14ac:dyDescent="0.25">
      <c r="B23" s="72" t="s">
        <v>65</v>
      </c>
      <c r="C23" s="72"/>
      <c r="D23" s="181">
        <f>D18*(1-D22)</f>
        <v>112280.89189250277</v>
      </c>
      <c r="E23" s="181">
        <f t="shared" ref="E23:I23" si="5">E18*(1-E22)</f>
        <v>113506.14765745813</v>
      </c>
      <c r="F23" s="181">
        <f t="shared" si="5"/>
        <v>121294.75229675016</v>
      </c>
      <c r="G23" s="181">
        <f t="shared" si="5"/>
        <v>128634.94257943281</v>
      </c>
      <c r="H23" s="181">
        <f t="shared" si="5"/>
        <v>136028.67459309282</v>
      </c>
      <c r="I23" s="181">
        <f t="shared" si="5"/>
        <v>143420.51031637454</v>
      </c>
    </row>
    <row r="24" spans="2:13" x14ac:dyDescent="0.25">
      <c r="D24" s="69"/>
      <c r="E24" s="69"/>
      <c r="F24" s="69"/>
      <c r="G24" s="69"/>
      <c r="H24" s="69"/>
      <c r="I24" s="69"/>
    </row>
    <row r="25" spans="2:13" x14ac:dyDescent="0.25">
      <c r="B25" s="51" t="s">
        <v>23</v>
      </c>
      <c r="D25" s="70"/>
      <c r="E25" s="70">
        <f>FSM!G30</f>
        <v>12993.360435342473</v>
      </c>
      <c r="F25" s="70">
        <f>FSM!H30</f>
        <v>13884.9433976337</v>
      </c>
      <c r="G25" s="70">
        <f>FSM!I30</f>
        <v>14725.195137078816</v>
      </c>
      <c r="H25" s="70">
        <f>FSM!J30</f>
        <v>15571.57594550636</v>
      </c>
      <c r="I25" s="70">
        <f>FSM!K30</f>
        <v>16417.739680366663</v>
      </c>
      <c r="M25" s="74"/>
    </row>
    <row r="26" spans="2:13" x14ac:dyDescent="0.25">
      <c r="B26" s="51" t="s">
        <v>66</v>
      </c>
      <c r="D26" s="69"/>
      <c r="E26" s="69">
        <f>D32-E32</f>
        <v>6514.0783235529962</v>
      </c>
      <c r="F26" s="69">
        <f t="shared" ref="F26:I26" si="6">E32-F32</f>
        <v>4018.0215142700472</v>
      </c>
      <c r="G26" s="69">
        <f t="shared" si="6"/>
        <v>3786.6914345436671</v>
      </c>
      <c r="H26" s="69">
        <f t="shared" si="6"/>
        <v>3814.3127912489435</v>
      </c>
      <c r="I26" s="69">
        <f t="shared" si="6"/>
        <v>3813.3345241664792</v>
      </c>
      <c r="M26" s="74"/>
    </row>
    <row r="27" spans="2:13" x14ac:dyDescent="0.25">
      <c r="B27" s="51" t="s">
        <v>67</v>
      </c>
      <c r="D27" s="70"/>
      <c r="E27" s="70">
        <f>-FSM!G127</f>
        <v>-12380.06566326557</v>
      </c>
      <c r="F27" s="70">
        <f>-FSM!H127</f>
        <v>-13229.565349843248</v>
      </c>
      <c r="G27" s="70">
        <f>-FSM!I127</f>
        <v>-14030.156679527969</v>
      </c>
      <c r="H27" s="70">
        <f>-FSM!J127</f>
        <v>-14836.587782290231</v>
      </c>
      <c r="I27" s="70">
        <f>-FSM!K127</f>
        <v>-15642.812057493942</v>
      </c>
      <c r="M27" s="74"/>
    </row>
    <row r="28" spans="2:13" x14ac:dyDescent="0.25">
      <c r="B28" s="71" t="s">
        <v>38</v>
      </c>
      <c r="D28" s="1"/>
      <c r="E28" s="1">
        <f>E27/E14</f>
        <v>-2.7768114245996733E-2</v>
      </c>
      <c r="F28" s="1">
        <f t="shared" ref="F28:I28" si="7">F27/F14</f>
        <v>-2.7768114245996733E-2</v>
      </c>
      <c r="G28" s="1">
        <f t="shared" si="7"/>
        <v>-2.7768114245996733E-2</v>
      </c>
      <c r="H28" s="1">
        <f t="shared" si="7"/>
        <v>-2.7768114245996733E-2</v>
      </c>
      <c r="I28" s="1">
        <f t="shared" si="7"/>
        <v>-2.7768114245996733E-2</v>
      </c>
      <c r="M28" s="74"/>
    </row>
    <row r="29" spans="2:13" x14ac:dyDescent="0.25">
      <c r="B29" s="212"/>
      <c r="D29" s="70"/>
      <c r="E29" s="70"/>
      <c r="F29" s="70"/>
      <c r="G29" s="70"/>
      <c r="H29" s="70"/>
      <c r="I29" s="70"/>
      <c r="M29" s="74"/>
    </row>
    <row r="30" spans="2:13" x14ac:dyDescent="0.25">
      <c r="B30" s="72" t="s">
        <v>68</v>
      </c>
      <c r="C30" s="72"/>
      <c r="D30" s="73"/>
      <c r="E30" s="73">
        <f>E23+E25+E26+E27</f>
        <v>120633.52075308801</v>
      </c>
      <c r="F30" s="73">
        <f t="shared" ref="F30:I30" si="8">F23+F25+F26+F27</f>
        <v>125968.15185881064</v>
      </c>
      <c r="G30" s="73">
        <f t="shared" si="8"/>
        <v>133116.6724715273</v>
      </c>
      <c r="H30" s="73">
        <f t="shared" si="8"/>
        <v>140577.97554755787</v>
      </c>
      <c r="I30" s="73">
        <f t="shared" si="8"/>
        <v>148008.77246341371</v>
      </c>
      <c r="M30" s="73"/>
    </row>
    <row r="31" spans="2:13" x14ac:dyDescent="0.25">
      <c r="D31" s="70"/>
      <c r="E31" s="70"/>
      <c r="F31" s="70"/>
      <c r="G31" s="70"/>
      <c r="H31" s="70"/>
      <c r="I31" s="70"/>
      <c r="M31" s="74"/>
    </row>
    <row r="32" spans="2:13" x14ac:dyDescent="0.25">
      <c r="B32" s="51" t="s">
        <v>69</v>
      </c>
      <c r="C32" s="70"/>
      <c r="D32" s="70">
        <f>FSM!F177</f>
        <v>-52042</v>
      </c>
      <c r="E32" s="70">
        <f>FSM!G177</f>
        <v>-58556.078323552996</v>
      </c>
      <c r="F32" s="70">
        <f>FSM!H177</f>
        <v>-62574.099837823043</v>
      </c>
      <c r="G32" s="70">
        <f>FSM!I177</f>
        <v>-66360.79127236671</v>
      </c>
      <c r="H32" s="70">
        <f>FSM!J177</f>
        <v>-70175.104063615654</v>
      </c>
      <c r="I32" s="70">
        <f>FSM!K177</f>
        <v>-73988.438587782133</v>
      </c>
    </row>
    <row r="33" spans="2:13" x14ac:dyDescent="0.25">
      <c r="B33" s="71" t="s">
        <v>38</v>
      </c>
      <c r="D33" s="60">
        <f>D32/D14</f>
        <v>-0.12505256379141727</v>
      </c>
      <c r="E33" s="60">
        <f t="shared" ref="E33:I33" si="9">E32/E14</f>
        <v>-0.13133951926528425</v>
      </c>
      <c r="F33" s="60">
        <f t="shared" si="9"/>
        <v>-0.13133951926528437</v>
      </c>
      <c r="G33" s="60">
        <f t="shared" si="9"/>
        <v>-0.13133951926528437</v>
      </c>
      <c r="H33" s="60">
        <f t="shared" si="9"/>
        <v>-0.13133951926528428</v>
      </c>
      <c r="I33" s="60">
        <f t="shared" si="9"/>
        <v>-0.13133951926528431</v>
      </c>
      <c r="J33" s="70"/>
    </row>
    <row r="34" spans="2:13" x14ac:dyDescent="0.25">
      <c r="D34"/>
      <c r="E34" s="60"/>
      <c r="F34" s="60"/>
      <c r="G34" s="60"/>
      <c r="H34" s="60"/>
      <c r="I34" s="60"/>
      <c r="J34" s="70"/>
      <c r="K34" s="75"/>
      <c r="M34" s="60"/>
    </row>
    <row r="35" spans="2:13" x14ac:dyDescent="0.25">
      <c r="B35" s="62" t="str">
        <f>"Present value of UFCF on "&amp;TEXT(D7,"mmm dd, yyyy")&amp;" valuation date"</f>
        <v>Present value of UFCF on Jun 20, 2026 valuation date</v>
      </c>
      <c r="C35" s="63"/>
      <c r="D35" s="76"/>
      <c r="E35" s="63"/>
      <c r="F35" s="76"/>
      <c r="G35" s="76"/>
      <c r="H35" s="76"/>
      <c r="I35" s="76"/>
      <c r="J35" s="70"/>
    </row>
    <row r="36" spans="2:13" ht="17.25" x14ac:dyDescent="0.4">
      <c r="B36" s="72"/>
      <c r="D36" s="77" t="s">
        <v>70</v>
      </c>
      <c r="E36" s="77" t="s">
        <v>71</v>
      </c>
      <c r="F36" s="78" t="s">
        <v>72</v>
      </c>
      <c r="G36" s="78" t="s">
        <v>73</v>
      </c>
      <c r="H36" s="78" t="s">
        <v>74</v>
      </c>
      <c r="I36" s="78" t="s">
        <v>75</v>
      </c>
      <c r="J36" s="70"/>
    </row>
    <row r="37" spans="2:13" x14ac:dyDescent="0.25">
      <c r="B37" s="51" t="s">
        <v>76</v>
      </c>
      <c r="D37" s="79">
        <f>D7</f>
        <v>46193</v>
      </c>
      <c r="E37" s="156">
        <f>IF($H$9=1,AVERAGE(E12,D37),E12)</f>
        <v>46244</v>
      </c>
      <c r="F37" s="156">
        <f>IF($H$9=1,AVERAGE(F12,E12),F12)</f>
        <v>46477.5</v>
      </c>
      <c r="G37" s="156">
        <f>IF($H$9=1,AVERAGE(G12,F12),G12)</f>
        <v>46843</v>
      </c>
      <c r="H37" s="156">
        <f>IF($H$9=1,AVERAGE(H12,G12),H12)</f>
        <v>47208.5</v>
      </c>
      <c r="I37" s="156">
        <f>IF($H$9=1,AVERAGE(I12,H12),I12)</f>
        <v>47573.5</v>
      </c>
      <c r="J37" s="70"/>
    </row>
    <row r="38" spans="2:13" x14ac:dyDescent="0.25">
      <c r="B38" s="51" t="s">
        <v>77</v>
      </c>
      <c r="C38" s="80">
        <f>D8</f>
        <v>0.27777777777777779</v>
      </c>
      <c r="D38" s="74"/>
      <c r="E38" s="81">
        <f>E30*C38</f>
        <v>33509.311320302229</v>
      </c>
      <c r="F38" s="81">
        <f>F30</f>
        <v>125968.15185881064</v>
      </c>
      <c r="G38" s="81">
        <f t="shared" ref="G38:I38" si="10">G30</f>
        <v>133116.6724715273</v>
      </c>
      <c r="H38" s="81">
        <f t="shared" si="10"/>
        <v>140577.97554755787</v>
      </c>
      <c r="I38" s="81">
        <f t="shared" si="10"/>
        <v>148008.77246341371</v>
      </c>
      <c r="J38" s="69"/>
    </row>
    <row r="39" spans="2:13" ht="15" customHeight="1" x14ac:dyDescent="0.25">
      <c r="B39" s="72" t="s">
        <v>78</v>
      </c>
      <c r="C39" s="82"/>
      <c r="D39" s="73"/>
      <c r="E39" s="73">
        <f>E38/(1+$H$4)^((E37-$D$37)/365)</f>
        <v>33055.150108252055</v>
      </c>
      <c r="F39" s="73">
        <f t="shared" ref="F39:I39" si="11">F38/(1+$H$4)^((F37-$D$37)/365)</f>
        <v>116734.95407912209</v>
      </c>
      <c r="G39" s="73">
        <f t="shared" si="11"/>
        <v>111866.56517476244</v>
      </c>
      <c r="H39" s="73">
        <f t="shared" si="11"/>
        <v>107130.42467481067</v>
      </c>
      <c r="I39" s="73">
        <f t="shared" si="11"/>
        <v>102298.3882738503</v>
      </c>
      <c r="J39" s="69"/>
    </row>
    <row r="41" spans="2:13" x14ac:dyDescent="0.25">
      <c r="B41" s="62" t="s">
        <v>79</v>
      </c>
      <c r="C41" s="62"/>
      <c r="E41" s="62" t="s">
        <v>80</v>
      </c>
      <c r="F41" s="63"/>
      <c r="G41" s="63"/>
      <c r="H41" s="63"/>
      <c r="I41" s="63"/>
    </row>
    <row r="42" spans="2:13" x14ac:dyDescent="0.25">
      <c r="B42" s="51" t="s">
        <v>81</v>
      </c>
      <c r="C42" s="83">
        <v>0.03</v>
      </c>
      <c r="E42" s="51" t="s">
        <v>82</v>
      </c>
      <c r="I42" s="74">
        <f>I16</f>
        <v>191620.18479197851</v>
      </c>
      <c r="J42" s="74"/>
    </row>
    <row r="43" spans="2:13" x14ac:dyDescent="0.25">
      <c r="B43" s="84" t="str">
        <f>YEAR(I12)&amp;" FCF x (1+g)"</f>
        <v>2030 FCF x (1+g)</v>
      </c>
      <c r="C43" s="74">
        <f>I38*(1+C42)</f>
        <v>152449.03563731612</v>
      </c>
      <c r="E43" s="51" t="s">
        <v>83</v>
      </c>
      <c r="I43" s="266">
        <v>10</v>
      </c>
      <c r="J43" s="85"/>
    </row>
    <row r="44" spans="2:13" x14ac:dyDescent="0.25">
      <c r="B44" s="51" t="str">
        <f>"Terminal value in "&amp;YEAR(I12)</f>
        <v>Terminal value in 2030</v>
      </c>
      <c r="C44" s="74">
        <f>C43/(H4-C42)</f>
        <v>2100126.663227452</v>
      </c>
      <c r="E44" s="51" t="str">
        <f>"Terminal value in "&amp;YEAR(I12)</f>
        <v>Terminal value in 2030</v>
      </c>
      <c r="I44" s="74">
        <f>I42*I43</f>
        <v>1916201.847919785</v>
      </c>
      <c r="J44" s="74"/>
    </row>
    <row r="45" spans="2:13" x14ac:dyDescent="0.25">
      <c r="B45" s="51" t="s">
        <v>84</v>
      </c>
      <c r="C45" s="74">
        <f>C44/(1+H4)^((I37-D37)/365)</f>
        <v>1451532.6979839234</v>
      </c>
      <c r="E45" s="51" t="s">
        <v>84</v>
      </c>
      <c r="I45" s="74">
        <f>I44/(1+H4)^((I37-D37)/365)</f>
        <v>1324410.4209973288</v>
      </c>
      <c r="J45" s="74"/>
    </row>
    <row r="46" spans="2:13" x14ac:dyDescent="0.25">
      <c r="B46" s="51" t="s">
        <v>85</v>
      </c>
      <c r="C46" s="69">
        <f>SUM(E39:I39)</f>
        <v>471085.48231079755</v>
      </c>
      <c r="E46" s="51" t="s">
        <v>85</v>
      </c>
      <c r="I46" s="74">
        <f>C46</f>
        <v>471085.48231079755</v>
      </c>
      <c r="J46" s="74"/>
    </row>
    <row r="47" spans="2:13" x14ac:dyDescent="0.25">
      <c r="B47" s="72" t="s">
        <v>86</v>
      </c>
      <c r="C47" s="86">
        <f>C45+C46</f>
        <v>1922618.1802947209</v>
      </c>
      <c r="E47" s="72" t="s">
        <v>87</v>
      </c>
      <c r="I47" s="86">
        <f>I45+I46</f>
        <v>1795495.9033081264</v>
      </c>
      <c r="J47" s="86"/>
    </row>
    <row r="49" spans="2:10" x14ac:dyDescent="0.25">
      <c r="B49" s="87" t="s">
        <v>88</v>
      </c>
      <c r="C49" s="88">
        <f>C45/C47</f>
        <v>0.75497709990520101</v>
      </c>
      <c r="E49" s="87" t="s">
        <v>88</v>
      </c>
      <c r="I49" s="88">
        <f>I45/I47</f>
        <v>0.73762931931905706</v>
      </c>
      <c r="J49" s="88"/>
    </row>
    <row r="50" spans="2:10" x14ac:dyDescent="0.25">
      <c r="B50" s="87" t="s">
        <v>89</v>
      </c>
      <c r="C50" s="88">
        <f>1-C49</f>
        <v>0.24502290009479899</v>
      </c>
      <c r="E50" s="87" t="s">
        <v>90</v>
      </c>
      <c r="G50" s="89"/>
      <c r="I50" s="88">
        <f>1-I49</f>
        <v>0.26237068068094294</v>
      </c>
      <c r="J50" s="90"/>
    </row>
    <row r="51" spans="2:10" x14ac:dyDescent="0.25">
      <c r="B51" s="87" t="s">
        <v>91</v>
      </c>
      <c r="C51" s="91">
        <f>C44/I16</f>
        <v>10.959840506924332</v>
      </c>
      <c r="E51" s="51" t="s">
        <v>92</v>
      </c>
      <c r="I51" s="217">
        <f>(H4-I38/I44)/(1+I38/I44)</f>
        <v>2.3532066990709009E-2</v>
      </c>
      <c r="J51" s="92"/>
    </row>
    <row r="52" spans="2:10" x14ac:dyDescent="0.25">
      <c r="B52" s="87"/>
      <c r="C52" s="67"/>
      <c r="D52" s="91"/>
      <c r="I52" s="92"/>
      <c r="J52" s="92"/>
    </row>
    <row r="53" spans="2:10" x14ac:dyDescent="0.25">
      <c r="B53" s="62" t="s">
        <v>93</v>
      </c>
      <c r="C53" s="63"/>
      <c r="E53" s="62" t="s">
        <v>30</v>
      </c>
      <c r="F53" s="63"/>
      <c r="G53" s="62"/>
      <c r="H53" s="63"/>
      <c r="I53" s="63"/>
    </row>
    <row r="54" spans="2:10" x14ac:dyDescent="0.25">
      <c r="B54" s="51" t="s">
        <v>94</v>
      </c>
      <c r="C54" s="191"/>
    </row>
    <row r="55" spans="2:10" x14ac:dyDescent="0.25">
      <c r="B55" s="93" t="s">
        <v>95</v>
      </c>
      <c r="C55" s="58"/>
      <c r="G55" s="94" t="s">
        <v>94</v>
      </c>
      <c r="H55" s="95" t="s">
        <v>96</v>
      </c>
      <c r="I55" s="95" t="s">
        <v>97</v>
      </c>
    </row>
    <row r="56" spans="2:10" x14ac:dyDescent="0.25">
      <c r="B56" s="96" t="s">
        <v>98</v>
      </c>
      <c r="C56" s="97"/>
      <c r="E56" s="51" t="s">
        <v>99</v>
      </c>
      <c r="G56" s="192"/>
      <c r="H56" s="58"/>
      <c r="I56" s="189">
        <v>14773260</v>
      </c>
      <c r="J56" s="98"/>
    </row>
    <row r="57" spans="2:10" x14ac:dyDescent="0.25">
      <c r="B57" s="71" t="s">
        <v>100</v>
      </c>
      <c r="C57" s="100">
        <f>FSM!F76+FSM!F72+FSM!F71</f>
        <v>98657</v>
      </c>
      <c r="E57" s="93" t="s">
        <v>101</v>
      </c>
      <c r="G57" s="192"/>
      <c r="H57" s="58"/>
      <c r="I57" s="189">
        <v>151574</v>
      </c>
      <c r="J57" s="99"/>
    </row>
    <row r="58" spans="2:10" x14ac:dyDescent="0.25">
      <c r="B58" s="71" t="s">
        <v>102</v>
      </c>
      <c r="C58" s="185"/>
      <c r="E58" s="93" t="s">
        <v>103</v>
      </c>
      <c r="G58" s="58"/>
      <c r="H58" s="58"/>
      <c r="I58" s="185"/>
    </row>
    <row r="59" spans="2:10" ht="15" customHeight="1" x14ac:dyDescent="0.25">
      <c r="B59" s="71" t="s">
        <v>104</v>
      </c>
      <c r="C59" s="185"/>
      <c r="E59" s="51" t="s">
        <v>102</v>
      </c>
      <c r="G59" s="58"/>
      <c r="H59" s="58"/>
      <c r="I59" s="185"/>
    </row>
    <row r="60" spans="2:10" x14ac:dyDescent="0.25">
      <c r="B60" s="101" t="s">
        <v>105</v>
      </c>
      <c r="C60" s="100"/>
      <c r="E60" s="51" t="s">
        <v>106</v>
      </c>
      <c r="G60" s="58"/>
      <c r="H60" s="58"/>
      <c r="I60" s="185"/>
    </row>
    <row r="61" spans="2:10" ht="15" customHeight="1" x14ac:dyDescent="0.25">
      <c r="B61" s="96" t="s">
        <v>107</v>
      </c>
      <c r="C61" s="100"/>
      <c r="E61" s="102" t="s">
        <v>108</v>
      </c>
      <c r="I61" s="190">
        <f>SUM(I56:I60)</f>
        <v>14924834</v>
      </c>
      <c r="J61" s="103"/>
    </row>
    <row r="62" spans="2:10" x14ac:dyDescent="0.25">
      <c r="B62" s="104" t="s">
        <v>109</v>
      </c>
      <c r="C62" s="100">
        <f>FSM!F49</f>
        <v>35934</v>
      </c>
      <c r="J62" s="105"/>
    </row>
    <row r="63" spans="2:10" x14ac:dyDescent="0.25">
      <c r="B63" s="104" t="s">
        <v>110</v>
      </c>
      <c r="C63" s="100">
        <v>854</v>
      </c>
      <c r="J63" s="105"/>
    </row>
    <row r="64" spans="2:10" x14ac:dyDescent="0.25">
      <c r="B64" s="104" t="s">
        <v>167</v>
      </c>
      <c r="C64" s="100">
        <f>FSM!F50+FSM!F58-C63</f>
        <v>95632</v>
      </c>
      <c r="J64" s="106"/>
    </row>
    <row r="65" spans="2:6" x14ac:dyDescent="0.25">
      <c r="B65" s="107" t="s">
        <v>93</v>
      </c>
      <c r="C65" s="14">
        <f>SUM(C57:C60)-SUM(C62:C64)</f>
        <v>-33763</v>
      </c>
    </row>
    <row r="67" spans="2:6" x14ac:dyDescent="0.25">
      <c r="B67" s="62" t="s">
        <v>111</v>
      </c>
      <c r="C67" s="63"/>
      <c r="D67" s="63"/>
    </row>
    <row r="68" spans="2:6" ht="17.25" x14ac:dyDescent="0.4">
      <c r="C68" s="108" t="s">
        <v>112</v>
      </c>
      <c r="D68" s="108" t="s">
        <v>24</v>
      </c>
    </row>
    <row r="69" spans="2:6" x14ac:dyDescent="0.25">
      <c r="B69" s="51" t="s">
        <v>113</v>
      </c>
      <c r="C69" s="109">
        <f>C47</f>
        <v>1922618.1802947209</v>
      </c>
      <c r="D69" s="109">
        <f>I47</f>
        <v>1795495.9033081264</v>
      </c>
    </row>
    <row r="70" spans="2:6" x14ac:dyDescent="0.25">
      <c r="B70" s="51" t="s">
        <v>93</v>
      </c>
      <c r="C70" s="110">
        <f>$C$65</f>
        <v>-33763</v>
      </c>
      <c r="D70" s="110">
        <f>$C$65</f>
        <v>-33763</v>
      </c>
    </row>
    <row r="71" spans="2:6" x14ac:dyDescent="0.25">
      <c r="B71" s="51" t="s">
        <v>114</v>
      </c>
      <c r="C71" s="111">
        <f>C69-C70</f>
        <v>1956381.1802947209</v>
      </c>
      <c r="D71" s="111">
        <f t="shared" ref="D71" si="12">D69-D70</f>
        <v>1829258.9033081264</v>
      </c>
    </row>
    <row r="72" spans="2:6" x14ac:dyDescent="0.25">
      <c r="B72" s="51" t="s">
        <v>30</v>
      </c>
      <c r="C72" s="213">
        <f>$I$61</f>
        <v>14924834</v>
      </c>
      <c r="D72" s="213">
        <f t="shared" ref="D72" si="13">$I$61</f>
        <v>14924834</v>
      </c>
    </row>
    <row r="73" spans="2:6" x14ac:dyDescent="0.25">
      <c r="B73" s="72" t="s">
        <v>115</v>
      </c>
      <c r="C73" s="271">
        <f>C71/C72*1000</f>
        <v>131.08227403364896</v>
      </c>
      <c r="D73" s="271">
        <f>D71/D72*1000</f>
        <v>122.56477380640391</v>
      </c>
    </row>
    <row r="75" spans="2:6" ht="17.25" x14ac:dyDescent="0.4">
      <c r="C75" s="65" t="s">
        <v>116</v>
      </c>
      <c r="D75" s="65"/>
    </row>
    <row r="76" spans="2:6" x14ac:dyDescent="0.25">
      <c r="B76" s="94"/>
      <c r="C76" s="95" t="s">
        <v>112</v>
      </c>
      <c r="D76" s="95" t="s">
        <v>24</v>
      </c>
    </row>
    <row r="77" spans="2:6" x14ac:dyDescent="0.25">
      <c r="B77" s="51" t="s">
        <v>117</v>
      </c>
      <c r="C77" s="236">
        <f>C69/$C$14</f>
        <v>4.3936118166855378</v>
      </c>
      <c r="D77" s="236">
        <f>D69/$C$14</f>
        <v>4.1031090304034183</v>
      </c>
    </row>
    <row r="78" spans="2:6" x14ac:dyDescent="0.25">
      <c r="B78" s="51" t="s">
        <v>118</v>
      </c>
      <c r="C78" s="237">
        <f>C69/$C$16</f>
        <v>12.840178808111734</v>
      </c>
      <c r="D78" s="237">
        <f>D69/$C$16</f>
        <v>11.991194447237769</v>
      </c>
    </row>
    <row r="79" spans="2:6" x14ac:dyDescent="0.25">
      <c r="B79" s="69" t="s">
        <v>119</v>
      </c>
      <c r="C79" s="237">
        <f>C69/$C$18</f>
        <v>14.023371446002804</v>
      </c>
      <c r="D79" s="237">
        <f>D69/$C$18</f>
        <v>13.096155149228059</v>
      </c>
    </row>
    <row r="80" spans="2:6" ht="17.25" x14ac:dyDescent="0.4">
      <c r="B80" s="69"/>
      <c r="C80" s="65" t="s">
        <v>120</v>
      </c>
      <c r="D80" s="65"/>
      <c r="E80" s="112"/>
      <c r="F80" s="112"/>
    </row>
    <row r="81" spans="2:17" x14ac:dyDescent="0.25">
      <c r="B81" s="94"/>
      <c r="C81" s="95" t="s">
        <v>112</v>
      </c>
      <c r="D81" s="95" t="s">
        <v>24</v>
      </c>
      <c r="E81" s="112"/>
      <c r="F81" s="112"/>
    </row>
    <row r="82" spans="2:17" x14ac:dyDescent="0.25">
      <c r="B82" s="51" t="s">
        <v>117</v>
      </c>
      <c r="C82" s="236">
        <f>C69/$E$14</f>
        <v>4.3123746459816266</v>
      </c>
      <c r="D82" s="236">
        <f>D69/$E$14</f>
        <v>4.0272432091549915</v>
      </c>
      <c r="E82" s="112"/>
      <c r="F82" s="112"/>
    </row>
    <row r="83" spans="2:17" x14ac:dyDescent="0.25">
      <c r="B83" s="51" t="s">
        <v>118</v>
      </c>
      <c r="C83" s="237">
        <f>C69/$E$16</f>
        <v>12.677793376149342</v>
      </c>
      <c r="D83" s="237">
        <f>D69/$E$16</f>
        <v>11.83954583555102</v>
      </c>
      <c r="E83" s="112"/>
      <c r="F83" s="112"/>
    </row>
    <row r="84" spans="2:17" x14ac:dyDescent="0.25">
      <c r="B84" s="69" t="s">
        <v>119</v>
      </c>
      <c r="C84" s="237">
        <f>C69/$E$18</f>
        <v>13.865794555233924</v>
      </c>
      <c r="D84" s="237">
        <f>D69/$E$18</f>
        <v>12.94899714108513</v>
      </c>
      <c r="E84" s="112"/>
      <c r="F84" s="112"/>
    </row>
    <row r="86" spans="2:17" x14ac:dyDescent="0.25">
      <c r="B86" s="62" t="s">
        <v>121</v>
      </c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</row>
    <row r="87" spans="2:17" x14ac:dyDescent="0.25">
      <c r="B87" s="72"/>
    </row>
    <row r="88" spans="2:17" ht="17.25" customHeight="1" x14ac:dyDescent="0.4">
      <c r="B88" s="113"/>
      <c r="C88" s="72"/>
      <c r="D88" s="114" t="s">
        <v>115</v>
      </c>
      <c r="E88" s="65"/>
      <c r="F88" s="65"/>
      <c r="G88" s="65"/>
      <c r="H88" s="65"/>
      <c r="I88" s="65"/>
      <c r="J88" s="115"/>
      <c r="L88" s="114" t="s">
        <v>122</v>
      </c>
      <c r="M88" s="65"/>
      <c r="N88" s="65"/>
      <c r="O88" s="65"/>
      <c r="P88" s="65"/>
      <c r="Q88" s="65"/>
    </row>
    <row r="89" spans="2:17" ht="15" customHeight="1" x14ac:dyDescent="0.25">
      <c r="B89" s="113"/>
      <c r="D89" s="93"/>
      <c r="E89" s="116" t="s">
        <v>123</v>
      </c>
      <c r="F89" s="116"/>
      <c r="G89" s="116"/>
      <c r="H89" s="116"/>
      <c r="I89" s="116"/>
      <c r="J89" s="117"/>
      <c r="L89" s="116" t="s">
        <v>123</v>
      </c>
      <c r="M89" s="116"/>
      <c r="N89" s="116"/>
      <c r="O89" s="116"/>
      <c r="P89" s="116"/>
      <c r="Q89" s="116"/>
    </row>
    <row r="90" spans="2:17" ht="15" customHeight="1" x14ac:dyDescent="0.25">
      <c r="B90" s="113"/>
      <c r="C90" s="118"/>
      <c r="D90" s="160">
        <f>C73</f>
        <v>131.08227403364896</v>
      </c>
      <c r="E90" s="195">
        <f>F90-0.005</f>
        <v>1.9999999999999997E-2</v>
      </c>
      <c r="F90" s="196">
        <f>G90-0.005</f>
        <v>2.4999999999999998E-2</v>
      </c>
      <c r="G90" s="119">
        <f>$C$42</f>
        <v>0.03</v>
      </c>
      <c r="H90" s="196">
        <f>G90+0.005</f>
        <v>3.4999999999999996E-2</v>
      </c>
      <c r="I90" s="218">
        <f>H90+0.005</f>
        <v>3.9999999999999994E-2</v>
      </c>
      <c r="K90" s="123"/>
      <c r="L90" s="120">
        <f>C78</f>
        <v>12.840178808111734</v>
      </c>
      <c r="M90" s="195">
        <f>N90-0.005</f>
        <v>1.9999999999999997E-2</v>
      </c>
      <c r="N90" s="196">
        <f>O90-0.005</f>
        <v>2.4999999999999998E-2</v>
      </c>
      <c r="O90" s="119">
        <f>$C$42</f>
        <v>0.03</v>
      </c>
      <c r="P90" s="196">
        <f>O90+0.005</f>
        <v>3.4999999999999996E-2</v>
      </c>
      <c r="Q90" s="218">
        <f>P90+0.005</f>
        <v>3.9999999999999994E-2</v>
      </c>
    </row>
    <row r="91" spans="2:17" ht="15" customHeight="1" x14ac:dyDescent="0.25">
      <c r="B91" s="113"/>
      <c r="D91" s="193">
        <f>D92+0.01</f>
        <v>0.12259040052519217</v>
      </c>
      <c r="E91" s="121">
        <f t="dataTable" ref="E91:I95" dt2D="1" dtr="1" r1="C42" r2="H4" ca="1"/>
        <v>96.343342636320415</v>
      </c>
      <c r="F91" s="121">
        <v>93.086908139909369</v>
      </c>
      <c r="G91" s="121">
        <v>93.086908139909369</v>
      </c>
      <c r="H91" s="121">
        <v>96.343342636320415</v>
      </c>
      <c r="I91" s="121">
        <v>103.91132138499403</v>
      </c>
      <c r="J91" s="122"/>
      <c r="L91" s="193">
        <f>L92+0.01</f>
        <v>0.12259040052519217</v>
      </c>
      <c r="M91" s="123">
        <f t="dataTable" ref="M91:Q95" dt2D="1" dtr="1" r1="C42" r2="H4" ca="1"/>
        <v>9.3775655198295134</v>
      </c>
      <c r="N91" s="123">
        <v>9.0529794457581456</v>
      </c>
      <c r="O91" s="123">
        <v>9.0529794457581456</v>
      </c>
      <c r="P91" s="123">
        <v>9.3775655198295134</v>
      </c>
      <c r="Q91" s="123">
        <v>10.131906045762038</v>
      </c>
    </row>
    <row r="92" spans="2:17" ht="15" customHeight="1" x14ac:dyDescent="0.25">
      <c r="B92" s="113"/>
      <c r="D92" s="193">
        <f>D93+0.01</f>
        <v>0.11259040052519217</v>
      </c>
      <c r="E92" s="121">
        <v>106.2138645331064</v>
      </c>
      <c r="F92" s="121">
        <v>102.13573351753473</v>
      </c>
      <c r="G92" s="121">
        <v>102.13573351753473</v>
      </c>
      <c r="H92" s="121">
        <v>106.2138645331064</v>
      </c>
      <c r="I92" s="121">
        <v>115.85146010530498</v>
      </c>
      <c r="J92" s="122"/>
      <c r="L92" s="193">
        <f>L93+0.01</f>
        <v>0.11259040052519217</v>
      </c>
      <c r="M92" s="123">
        <v>10.361412716831092</v>
      </c>
      <c r="N92" s="123">
        <v>9.9549237985519223</v>
      </c>
      <c r="O92" s="123">
        <v>9.9549237985519223</v>
      </c>
      <c r="P92" s="123">
        <v>10.361412716831092</v>
      </c>
      <c r="Q92" s="123">
        <v>11.322042913358983</v>
      </c>
    </row>
    <row r="93" spans="2:17" ht="15" customHeight="1" x14ac:dyDescent="0.25">
      <c r="B93" s="113"/>
      <c r="C93" s="118" t="s">
        <v>124</v>
      </c>
      <c r="D93" s="124">
        <f>WACC!$E$21</f>
        <v>0.10259040052519218</v>
      </c>
      <c r="E93" s="121">
        <v>118.47663914210328</v>
      </c>
      <c r="F93" s="121">
        <v>113.25318953937851</v>
      </c>
      <c r="G93" s="121">
        <v>113.25318953937851</v>
      </c>
      <c r="H93" s="121">
        <v>118.47663914210328</v>
      </c>
      <c r="I93" s="121">
        <v>131.08227403364896</v>
      </c>
      <c r="J93" s="122"/>
      <c r="K93" s="118" t="s">
        <v>124</v>
      </c>
      <c r="L93" s="124">
        <f>WACC!$E$21</f>
        <v>0.10259040052519218</v>
      </c>
      <c r="M93" s="123">
        <v>11.583708412305125</v>
      </c>
      <c r="N93" s="123">
        <v>11.063059524226254</v>
      </c>
      <c r="O93" s="123">
        <v>11.063059524226254</v>
      </c>
      <c r="P93" s="123">
        <v>11.583708412305125</v>
      </c>
      <c r="Q93" s="123">
        <v>12.840178808111734</v>
      </c>
    </row>
    <row r="94" spans="2:17" ht="15" customHeight="1" x14ac:dyDescent="0.25">
      <c r="B94" s="113"/>
      <c r="D94" s="193">
        <f t="shared" ref="D94:D95" si="14">D93-0.01</f>
        <v>9.2590400525192185E-2</v>
      </c>
      <c r="E94" s="121">
        <v>134.12047749985308</v>
      </c>
      <c r="F94" s="121">
        <v>127.23926519398384</v>
      </c>
      <c r="G94" s="121">
        <v>127.23926519398384</v>
      </c>
      <c r="H94" s="121">
        <v>134.12047749985308</v>
      </c>
      <c r="I94" s="121">
        <v>151.18111345780252</v>
      </c>
      <c r="J94" s="122"/>
      <c r="L94" s="193">
        <f t="shared" ref="L94:L95" si="15">L93-0.01</f>
        <v>9.2590400525192185E-2</v>
      </c>
      <c r="M94" s="123">
        <v>13.14301263953444</v>
      </c>
      <c r="N94" s="123">
        <v>12.457125762437631</v>
      </c>
      <c r="O94" s="123">
        <v>12.457125762437631</v>
      </c>
      <c r="P94" s="123">
        <v>13.14301263953444</v>
      </c>
      <c r="Q94" s="123">
        <v>14.843536587691467</v>
      </c>
    </row>
    <row r="95" spans="2:17" ht="15" customHeight="1" x14ac:dyDescent="0.25">
      <c r="B95" s="125" t="s">
        <v>125</v>
      </c>
      <c r="D95" s="194">
        <f t="shared" si="14"/>
        <v>8.259040052519219E-2</v>
      </c>
      <c r="E95" s="121">
        <v>154.76612522495904</v>
      </c>
      <c r="F95" s="121">
        <v>145.36739323980061</v>
      </c>
      <c r="G95" s="121">
        <v>145.36739323980061</v>
      </c>
      <c r="H95" s="121">
        <v>154.76612522495904</v>
      </c>
      <c r="I95" s="121">
        <v>178.9250611890038</v>
      </c>
      <c r="J95" s="122"/>
      <c r="L95" s="194">
        <f t="shared" si="15"/>
        <v>8.259040052519219E-2</v>
      </c>
      <c r="M95" s="123">
        <v>15.200873698658526</v>
      </c>
      <c r="N95" s="123">
        <v>14.264052300999895</v>
      </c>
      <c r="O95" s="123">
        <v>14.264052300999895</v>
      </c>
      <c r="P95" s="123">
        <v>15.200873698658526</v>
      </c>
      <c r="Q95" s="123">
        <v>17.608922804806152</v>
      </c>
    </row>
    <row r="96" spans="2:17" ht="15" customHeight="1" x14ac:dyDescent="0.25">
      <c r="B96" s="125" t="s">
        <v>126</v>
      </c>
      <c r="E96" s="126"/>
      <c r="F96" s="126"/>
      <c r="G96" s="126"/>
      <c r="H96" s="126"/>
      <c r="I96" s="126"/>
      <c r="J96" s="126"/>
    </row>
    <row r="97" spans="2:17" ht="17.25" customHeight="1" x14ac:dyDescent="0.4">
      <c r="B97" s="113"/>
      <c r="D97" s="114" t="s">
        <v>115</v>
      </c>
      <c r="E97" s="65"/>
      <c r="F97" s="65"/>
      <c r="G97" s="65"/>
      <c r="H97" s="65"/>
      <c r="I97" s="65"/>
      <c r="J97" s="115"/>
      <c r="L97" s="114" t="s">
        <v>122</v>
      </c>
      <c r="M97" s="65"/>
      <c r="N97" s="65"/>
      <c r="O97" s="65"/>
      <c r="P97" s="65"/>
      <c r="Q97" s="65"/>
    </row>
    <row r="98" spans="2:17" ht="15" customHeight="1" x14ac:dyDescent="0.25">
      <c r="B98" s="113"/>
      <c r="E98" s="116" t="s">
        <v>127</v>
      </c>
      <c r="F98" s="116"/>
      <c r="G98" s="116"/>
      <c r="H98" s="116"/>
      <c r="I98" s="116"/>
      <c r="J98" s="117"/>
      <c r="M98" s="116" t="s">
        <v>127</v>
      </c>
      <c r="N98" s="116"/>
      <c r="O98" s="116"/>
      <c r="P98" s="116"/>
      <c r="Q98" s="116"/>
    </row>
    <row r="99" spans="2:17" ht="15" customHeight="1" x14ac:dyDescent="0.25">
      <c r="B99" s="113"/>
      <c r="D99" s="161">
        <f>D73</f>
        <v>122.56477380640391</v>
      </c>
      <c r="E99" s="162">
        <f>+F99-0.5</f>
        <v>9</v>
      </c>
      <c r="F99" s="162">
        <f>+G99-0.5</f>
        <v>9.5</v>
      </c>
      <c r="G99" s="127">
        <f>$I$43</f>
        <v>10</v>
      </c>
      <c r="H99" s="162">
        <f>+G99+0.5</f>
        <v>10.5</v>
      </c>
      <c r="I99" s="220">
        <f>+H99+0.5</f>
        <v>11</v>
      </c>
      <c r="J99" s="219"/>
      <c r="L99" s="120">
        <f>D78</f>
        <v>11.991194447237769</v>
      </c>
      <c r="M99" s="162">
        <f>+N99-0.5</f>
        <v>9</v>
      </c>
      <c r="N99" s="162">
        <f>+O99-0.5</f>
        <v>9.5</v>
      </c>
      <c r="O99" s="127">
        <f>$I$43</f>
        <v>10</v>
      </c>
      <c r="P99" s="162">
        <f>+O99+0.5</f>
        <v>10.5</v>
      </c>
      <c r="Q99" s="220">
        <f>+P99+0.5</f>
        <v>11</v>
      </c>
    </row>
    <row r="100" spans="2:17" ht="15" customHeight="1" x14ac:dyDescent="0.25">
      <c r="B100" s="113"/>
      <c r="D100" s="193">
        <f>D101+0.01</f>
        <v>0.12259040052519217</v>
      </c>
      <c r="E100" s="121">
        <f t="dataTable" ref="E100:I104" dt2D="1" dtr="1" r1="I43" r2="H4" ca="1"/>
        <v>107.29007456189557</v>
      </c>
      <c r="F100" s="121">
        <v>103.14478311735499</v>
      </c>
      <c r="G100" s="121">
        <v>103.14478311735499</v>
      </c>
      <c r="H100" s="121">
        <v>107.29007456189557</v>
      </c>
      <c r="I100" s="121">
        <v>115.58065745097673</v>
      </c>
      <c r="J100" s="122"/>
      <c r="L100" s="193">
        <f>L101+0.01</f>
        <v>0.12259040052519217</v>
      </c>
      <c r="M100" s="123">
        <f t="dataTable" ref="M100:Q104" dt2D="1" dtr="1" r1="I43" r2="H4" ca="1"/>
        <v>10.468684270582873</v>
      </c>
      <c r="N100" s="123">
        <v>10.055501116630918</v>
      </c>
      <c r="O100" s="123">
        <v>10.055501116630918</v>
      </c>
      <c r="P100" s="123">
        <v>10.468684270582873</v>
      </c>
      <c r="Q100" s="123">
        <v>11.295050578486784</v>
      </c>
    </row>
    <row r="101" spans="2:17" ht="15" customHeight="1" x14ac:dyDescent="0.25">
      <c r="B101" s="113"/>
      <c r="D101" s="193">
        <f>D102+0.01</f>
        <v>0.11259040052519217</v>
      </c>
      <c r="E101" s="121">
        <v>110.42434351577438</v>
      </c>
      <c r="F101" s="121">
        <v>106.13636375776606</v>
      </c>
      <c r="G101" s="121">
        <v>106.13636375776606</v>
      </c>
      <c r="H101" s="121">
        <v>110.42434351577438</v>
      </c>
      <c r="I101" s="121">
        <v>119.00030303179096</v>
      </c>
      <c r="J101" s="122"/>
      <c r="L101" s="193">
        <f>L102+0.01</f>
        <v>0.11259040052519217</v>
      </c>
      <c r="M101" s="123">
        <v>10.781093457976178</v>
      </c>
      <c r="N101" s="123">
        <v>10.353687804067476</v>
      </c>
      <c r="O101" s="123">
        <v>10.353687804067476</v>
      </c>
      <c r="P101" s="123">
        <v>10.781093457976178</v>
      </c>
      <c r="Q101" s="123">
        <v>11.63590476579358</v>
      </c>
    </row>
    <row r="102" spans="2:17" ht="15" customHeight="1" x14ac:dyDescent="0.25">
      <c r="B102" s="113"/>
      <c r="C102" s="118" t="s">
        <v>124</v>
      </c>
      <c r="D102" s="124">
        <f>WACC!$E$21</f>
        <v>0.10259040052519218</v>
      </c>
      <c r="E102" s="121">
        <v>113.69090344377655</v>
      </c>
      <c r="F102" s="121">
        <v>109.25396826246289</v>
      </c>
      <c r="G102" s="121">
        <v>109.25396826246289</v>
      </c>
      <c r="H102" s="121">
        <v>113.69090344377655</v>
      </c>
      <c r="I102" s="121">
        <v>122.56477380640391</v>
      </c>
      <c r="J102" s="122"/>
      <c r="K102" s="118" t="s">
        <v>124</v>
      </c>
      <c r="L102" s="124">
        <f>WACC!$E$21</f>
        <v>0.10259040052519218</v>
      </c>
      <c r="M102" s="123">
        <v>11.106688787443924</v>
      </c>
      <c r="N102" s="123">
        <v>10.664435957547001</v>
      </c>
      <c r="O102" s="123">
        <v>10.664435957547001</v>
      </c>
      <c r="P102" s="123">
        <v>11.106688787443924</v>
      </c>
      <c r="Q102" s="123">
        <v>11.991194447237769</v>
      </c>
    </row>
    <row r="103" spans="2:17" ht="15" customHeight="1" x14ac:dyDescent="0.25">
      <c r="B103" s="113"/>
      <c r="D103" s="193">
        <f t="shared" ref="D103:D104" si="16">D102-0.01</f>
        <v>9.2590400525192185E-2</v>
      </c>
      <c r="E103" s="121">
        <v>117.09670723050374</v>
      </c>
      <c r="F103" s="121">
        <v>112.50421361586666</v>
      </c>
      <c r="G103" s="121">
        <v>112.50421361586666</v>
      </c>
      <c r="H103" s="121">
        <v>117.09670723050374</v>
      </c>
      <c r="I103" s="121">
        <v>126.28169445977791</v>
      </c>
      <c r="J103" s="122"/>
      <c r="L103" s="193">
        <f t="shared" ref="L103:L104" si="17">L102-0.01</f>
        <v>9.2590400525192185E-2</v>
      </c>
      <c r="M103" s="123">
        <v>11.446163289820538</v>
      </c>
      <c r="N103" s="123">
        <v>10.988405126953831</v>
      </c>
      <c r="O103" s="123">
        <v>10.988405126953831</v>
      </c>
      <c r="P103" s="123">
        <v>11.446163289820538</v>
      </c>
      <c r="Q103" s="123">
        <v>12.361679615553948</v>
      </c>
    </row>
    <row r="104" spans="2:17" ht="15" customHeight="1" x14ac:dyDescent="0.25">
      <c r="B104" s="113"/>
      <c r="D104" s="194">
        <f t="shared" si="16"/>
        <v>8.259040052519219E-2</v>
      </c>
      <c r="E104" s="121">
        <v>120.64914381148654</v>
      </c>
      <c r="F104" s="121">
        <v>115.89413153925975</v>
      </c>
      <c r="G104" s="121">
        <v>115.89413153925975</v>
      </c>
      <c r="H104" s="121">
        <v>120.64914381148654</v>
      </c>
      <c r="I104" s="121">
        <v>130.15916835594015</v>
      </c>
      <c r="J104" s="122"/>
      <c r="L104" s="194">
        <f t="shared" si="17"/>
        <v>8.259040052519219E-2</v>
      </c>
      <c r="M104" s="123">
        <v>11.800253459446102</v>
      </c>
      <c r="N104" s="123">
        <v>11.326296201191932</v>
      </c>
      <c r="O104" s="123">
        <v>11.326296201191932</v>
      </c>
      <c r="P104" s="123">
        <v>11.800253459446102</v>
      </c>
      <c r="Q104" s="123">
        <v>12.748167975954443</v>
      </c>
    </row>
    <row r="105" spans="2:17" x14ac:dyDescent="0.25">
      <c r="J105" s="128"/>
    </row>
    <row r="106" spans="2:17" x14ac:dyDescent="0.25">
      <c r="B106" s="129" t="s">
        <v>128</v>
      </c>
      <c r="C106" s="129"/>
      <c r="D106" s="129"/>
      <c r="E106" s="129"/>
      <c r="G106" s="129" t="s">
        <v>129</v>
      </c>
      <c r="H106" s="129"/>
      <c r="I106" s="129"/>
      <c r="J106" s="130"/>
      <c r="K106" s="129"/>
      <c r="L106" s="129"/>
      <c r="M106" s="129"/>
      <c r="N106" s="129"/>
      <c r="O106" s="129"/>
      <c r="P106" s="129"/>
    </row>
    <row r="107" spans="2:17" x14ac:dyDescent="0.25">
      <c r="J107" s="128"/>
    </row>
    <row r="108" spans="2:17" x14ac:dyDescent="0.25">
      <c r="J108" s="128"/>
    </row>
    <row r="109" spans="2:17" x14ac:dyDescent="0.25">
      <c r="J109" s="128"/>
    </row>
    <row r="110" spans="2:17" x14ac:dyDescent="0.25">
      <c r="J110" s="128"/>
    </row>
    <row r="111" spans="2:17" x14ac:dyDescent="0.25">
      <c r="J111" s="128"/>
    </row>
    <row r="112" spans="2:17" x14ac:dyDescent="0.25">
      <c r="J112" s="128"/>
    </row>
    <row r="113" spans="2:17" x14ac:dyDescent="0.25">
      <c r="J113" s="128"/>
    </row>
    <row r="114" spans="2:17" x14ac:dyDescent="0.25">
      <c r="J114" s="128"/>
    </row>
    <row r="115" spans="2:17" x14ac:dyDescent="0.25">
      <c r="J115" s="128"/>
    </row>
    <row r="116" spans="2:17" x14ac:dyDescent="0.25">
      <c r="J116" s="128"/>
    </row>
    <row r="117" spans="2:17" x14ac:dyDescent="0.25">
      <c r="J117" s="128"/>
    </row>
    <row r="118" spans="2:17" x14ac:dyDescent="0.25">
      <c r="J118" s="128"/>
    </row>
    <row r="119" spans="2:17" x14ac:dyDescent="0.25">
      <c r="J119" s="128"/>
    </row>
    <row r="120" spans="2:17" x14ac:dyDescent="0.25">
      <c r="J120" s="128"/>
      <c r="M120" s="131"/>
    </row>
    <row r="121" spans="2:17" x14ac:dyDescent="0.25">
      <c r="J121" s="128"/>
    </row>
    <row r="122" spans="2:17" x14ac:dyDescent="0.25">
      <c r="J122" s="128"/>
    </row>
    <row r="123" spans="2:17" x14ac:dyDescent="0.25">
      <c r="J123" s="128"/>
    </row>
    <row r="124" spans="2:17" x14ac:dyDescent="0.25">
      <c r="J124" s="128"/>
    </row>
    <row r="125" spans="2:17" x14ac:dyDescent="0.25">
      <c r="J125" s="128"/>
    </row>
    <row r="126" spans="2:17" x14ac:dyDescent="0.25">
      <c r="J126" s="128"/>
    </row>
    <row r="127" spans="2:17" x14ac:dyDescent="0.25">
      <c r="B127" s="132"/>
      <c r="C127" s="133" t="s">
        <v>130</v>
      </c>
      <c r="D127" s="133" t="s">
        <v>131</v>
      </c>
      <c r="E127" s="134" t="s">
        <v>132</v>
      </c>
      <c r="G127" s="132"/>
      <c r="H127" s="135"/>
      <c r="I127" s="135"/>
      <c r="J127" s="136"/>
      <c r="K127" s="135"/>
      <c r="L127" s="135"/>
      <c r="M127" s="135"/>
      <c r="N127" s="135"/>
      <c r="O127" s="133" t="s">
        <v>130</v>
      </c>
      <c r="P127" s="133" t="s">
        <v>131</v>
      </c>
      <c r="Q127" s="134" t="s">
        <v>132</v>
      </c>
    </row>
    <row r="128" spans="2:17" x14ac:dyDescent="0.25">
      <c r="B128" s="163" t="str">
        <f>"DCF Value at "&amp;TEXT(E99,"0.0x")&amp;"-"&amp;TEXT(I99,"0.0x")&amp;" Exit EBITDA Range at "&amp;TEXT(D102,"0.0%")&amp;" WACC"</f>
        <v>DCF Value at 9.0x-11.0x Exit EBITDA Range at 10.3% WACC</v>
      </c>
      <c r="C128" s="164">
        <f>E102</f>
        <v>113.69090344377655</v>
      </c>
      <c r="D128" s="164">
        <f>E128-C128</f>
        <v>8.8738703626273576</v>
      </c>
      <c r="E128" s="165">
        <f>I102</f>
        <v>122.56477380640391</v>
      </c>
      <c r="G128" s="163" t="str">
        <f>"LTM EBITDA Purchase Multiple at "&amp;TEXT(M90,"0.0%")&amp;"-"&amp;TEXT(Q90,"0.0%")&amp;" Perpetuity Growth at "&amp;TEXT(L93,"0.0%")&amp;" WACC"</f>
        <v>LTM EBITDA Purchase Multiple at 2.0%-4.0% Perpetuity Growth at 10.3% WACC</v>
      </c>
      <c r="H128"/>
      <c r="I128"/>
      <c r="J128" s="171"/>
      <c r="K128"/>
      <c r="L128"/>
      <c r="M128"/>
      <c r="N128"/>
      <c r="O128" s="172">
        <f>M93</f>
        <v>11.583708412305125</v>
      </c>
      <c r="P128" s="172">
        <f>Q128-O128</f>
        <v>1.256470395806609</v>
      </c>
      <c r="Q128" s="173">
        <f>Q93</f>
        <v>12.840178808111734</v>
      </c>
    </row>
    <row r="129" spans="2:17" x14ac:dyDescent="0.25">
      <c r="B129" s="166" t="str">
        <f>"DCF Value at "&amp;TEXT(E90,"0.0%")&amp;"-"&amp;TEXT(I90,"0.0%")&amp;" Perpetuity Range at "&amp;TEXT(D102,"0.0%")&amp;" WACC"</f>
        <v>DCF Value at 2.0%-4.0% Perpetuity Range at 10.3% WACC</v>
      </c>
      <c r="C129" s="164">
        <f>E93</f>
        <v>118.47663914210328</v>
      </c>
      <c r="D129" s="164">
        <f>E129-C129</f>
        <v>12.605634891545677</v>
      </c>
      <c r="E129" s="165">
        <f>I93</f>
        <v>131.08227403364896</v>
      </c>
      <c r="G129" s="166" t="str">
        <f>"LTM EBITDA Purchase Multiple at "&amp;TEXT(M102,"0.0x")&amp;"-"&amp;TEXT(Q102,"0.0x")&amp;" Exit EBITDA Multiple at "&amp;TEXT(L102,"0.0%")&amp;" WACC"</f>
        <v>LTM EBITDA Purchase Multiple at 11.1x-12.0x Exit EBITDA Multiple at 10.3% WACC</v>
      </c>
      <c r="H129"/>
      <c r="I129"/>
      <c r="J129" s="171"/>
      <c r="K129"/>
      <c r="L129"/>
      <c r="M129"/>
      <c r="N129"/>
      <c r="O129" s="172">
        <f>M102</f>
        <v>11.106688787443924</v>
      </c>
      <c r="P129" s="172">
        <f>Q129-O129</f>
        <v>0.88450565979384521</v>
      </c>
      <c r="Q129" s="173">
        <f>Q102</f>
        <v>11.991194447237769</v>
      </c>
    </row>
    <row r="130" spans="2:17" x14ac:dyDescent="0.25">
      <c r="B130" s="167" t="s">
        <v>133</v>
      </c>
      <c r="C130" s="168">
        <v>195.07</v>
      </c>
      <c r="D130" s="169">
        <f>E130-C130</f>
        <v>122.32999999999998</v>
      </c>
      <c r="E130" s="170">
        <v>317.39999999999998</v>
      </c>
      <c r="G130" s="167" t="str">
        <f>"LTM EBITDA Purchase Multiple at "&amp;TEXT(L104,"0.0%")&amp;"-"&amp;TEXT(L100,"0.0%")&amp;" WACC at "&amp;TEXT(O99,"0.0x")&amp;" Exit EBITDA"</f>
        <v>LTM EBITDA Purchase Multiple at 8.3%-12.3% WACC at 10.0x Exit EBITDA</v>
      </c>
      <c r="H130" s="40"/>
      <c r="I130" s="40"/>
      <c r="J130" s="174"/>
      <c r="K130" s="40"/>
      <c r="L130" s="40"/>
      <c r="M130" s="40"/>
      <c r="N130" s="40"/>
      <c r="O130" s="169">
        <f>O100</f>
        <v>10.055501116630918</v>
      </c>
      <c r="P130" s="169">
        <f>Q130-O130</f>
        <v>1.2707950845610139</v>
      </c>
      <c r="Q130" s="175">
        <f>O104</f>
        <v>11.326296201191932</v>
      </c>
    </row>
    <row r="131" spans="2:17" x14ac:dyDescent="0.25">
      <c r="J131" s="128"/>
    </row>
    <row r="132" spans="2:17" x14ac:dyDescent="0.25">
      <c r="J132" s="128"/>
    </row>
  </sheetData>
  <conditionalFormatting sqref="E91:J95 E100:J104">
    <cfRule type="cellIs" dxfId="1" priority="2" operator="lessThan">
      <formula>#REF!</formula>
    </cfRule>
  </conditionalFormatting>
  <dataValidations disablePrompts="1" count="1">
    <dataValidation type="list" allowBlank="1" showInputMessage="1" showErrorMessage="1" sqref="H9" xr:uid="{CB45C56C-AFB1-4E43-A477-1FC1C59EBD22}">
      <formula1>"0,1"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F4E94-4BEA-4BEC-A3D4-AE92824096F5}">
  <dimension ref="B1:I24"/>
  <sheetViews>
    <sheetView zoomScaleNormal="100" workbookViewId="0">
      <selection activeCell="E21" sqref="E21"/>
    </sheetView>
  </sheetViews>
  <sheetFormatPr defaultColWidth="9.140625" defaultRowHeight="15" x14ac:dyDescent="0.25"/>
  <cols>
    <col min="1" max="1" width="1.42578125" style="51" customWidth="1"/>
    <col min="2" max="2" width="50.28515625" style="51" customWidth="1"/>
    <col min="3" max="3" width="15.5703125" style="51" bestFit="1" customWidth="1"/>
    <col min="4" max="9" width="12.7109375" style="51" customWidth="1"/>
    <col min="10" max="10" width="1.7109375" style="51" customWidth="1"/>
    <col min="11" max="11" width="11" style="51" bestFit="1" customWidth="1"/>
    <col min="12" max="16" width="9.42578125" style="51" customWidth="1"/>
    <col min="17" max="16384" width="9.140625" style="51"/>
  </cols>
  <sheetData>
    <row r="1" spans="2:9" ht="15.75" thickBot="1" x14ac:dyDescent="0.3"/>
    <row r="2" spans="2:9" ht="15.75" thickBot="1" x14ac:dyDescent="0.3">
      <c r="B2" s="52" t="s">
        <v>134</v>
      </c>
      <c r="C2" s="53"/>
      <c r="D2" s="53"/>
      <c r="E2" s="53"/>
      <c r="F2" s="53"/>
      <c r="G2" s="53"/>
      <c r="H2" s="53"/>
      <c r="I2" s="53"/>
    </row>
    <row r="3" spans="2:9" x14ac:dyDescent="0.25">
      <c r="B3" s="54" t="str">
        <f>DCF!B3</f>
        <v>All amounts are shown in USD, except per-share data, ratios, and shares outstanding</v>
      </c>
    </row>
    <row r="4" spans="2:9" ht="15" customHeight="1" x14ac:dyDescent="0.25">
      <c r="B4" s="138" t="s">
        <v>135</v>
      </c>
      <c r="C4" s="139"/>
      <c r="D4" s="139"/>
      <c r="E4" s="140"/>
      <c r="F4" s="141"/>
    </row>
    <row r="5" spans="2:9" x14ac:dyDescent="0.25">
      <c r="E5" s="94"/>
    </row>
    <row r="6" spans="2:9" ht="15" customHeight="1" x14ac:dyDescent="0.25">
      <c r="B6" s="51" t="s">
        <v>136</v>
      </c>
      <c r="C6" s="267">
        <v>2.1999999999999999E-2</v>
      </c>
    </row>
    <row r="7" spans="2:9" ht="15" customHeight="1" x14ac:dyDescent="0.25">
      <c r="B7" s="51" t="s">
        <v>26</v>
      </c>
      <c r="C7" s="259">
        <v>0.25</v>
      </c>
    </row>
    <row r="8" spans="2:9" ht="15" customHeight="1" x14ac:dyDescent="0.25">
      <c r="B8" s="51" t="s">
        <v>137</v>
      </c>
      <c r="C8" s="144">
        <f>C6*(1-C7)</f>
        <v>1.6500000000000001E-2</v>
      </c>
    </row>
    <row r="10" spans="2:9" x14ac:dyDescent="0.25">
      <c r="B10" s="51" t="s">
        <v>138</v>
      </c>
      <c r="C10" s="265">
        <v>4.4549999999999999E-2</v>
      </c>
      <c r="D10" s="208"/>
    </row>
    <row r="11" spans="2:9" x14ac:dyDescent="0.25">
      <c r="B11" s="51" t="s">
        <v>139</v>
      </c>
      <c r="C11" s="157">
        <v>1.0900000000000001</v>
      </c>
    </row>
    <row r="12" spans="2:9" ht="15" customHeight="1" x14ac:dyDescent="0.25">
      <c r="B12" s="51" t="s">
        <v>140</v>
      </c>
      <c r="C12" s="145">
        <v>5.5E-2</v>
      </c>
      <c r="D12" s="208"/>
    </row>
    <row r="13" spans="2:9" x14ac:dyDescent="0.25">
      <c r="B13" s="51" t="s">
        <v>141</v>
      </c>
      <c r="C13" s="146">
        <f>C10+C11*C12</f>
        <v>0.10450000000000001</v>
      </c>
      <c r="D13" s="260"/>
    </row>
    <row r="14" spans="2:9" x14ac:dyDescent="0.25">
      <c r="C14" s="147"/>
    </row>
    <row r="15" spans="2:9" x14ac:dyDescent="0.25">
      <c r="B15" s="142" t="s">
        <v>142</v>
      </c>
      <c r="C15" s="148"/>
      <c r="D15" s="148"/>
      <c r="E15" s="148"/>
    </row>
    <row r="16" spans="2:9" x14ac:dyDescent="0.25">
      <c r="B16" s="72"/>
      <c r="C16" s="118"/>
      <c r="D16" s="118" t="s">
        <v>143</v>
      </c>
    </row>
    <row r="17" spans="2:5" ht="17.25" x14ac:dyDescent="0.4">
      <c r="C17" s="149" t="s">
        <v>144</v>
      </c>
      <c r="D17" s="149" t="s">
        <v>145</v>
      </c>
      <c r="E17" s="149" t="s">
        <v>146</v>
      </c>
    </row>
    <row r="18" spans="2:5" x14ac:dyDescent="0.25">
      <c r="B18" s="51" t="s">
        <v>15</v>
      </c>
      <c r="C18" s="70">
        <f>DCF!I61*DCF!H5/1000</f>
        <v>4447749.7803400001</v>
      </c>
      <c r="D18" s="150"/>
      <c r="E18" s="151">
        <f>C18/(C18+C19)</f>
        <v>0.97830000596809286</v>
      </c>
    </row>
    <row r="19" spans="2:5" x14ac:dyDescent="0.25">
      <c r="B19" s="51" t="s">
        <v>100</v>
      </c>
      <c r="C19" s="70">
        <f>DCF!C57</f>
        <v>98657</v>
      </c>
      <c r="D19" s="152"/>
      <c r="E19" s="151">
        <f>C19/(C19+C18)</f>
        <v>2.1699994031907106E-2</v>
      </c>
    </row>
    <row r="21" spans="2:5" x14ac:dyDescent="0.25">
      <c r="B21" s="143" t="s">
        <v>147</v>
      </c>
      <c r="C21" s="153"/>
      <c r="D21" s="135"/>
      <c r="E21" s="154">
        <f>E18*C13+E19*C8</f>
        <v>0.10259040052519218</v>
      </c>
    </row>
    <row r="22" spans="2:5" x14ac:dyDescent="0.25">
      <c r="B22" s="71"/>
      <c r="C22" s="99"/>
    </row>
    <row r="23" spans="2:5" x14ac:dyDescent="0.25">
      <c r="B23" s="71"/>
      <c r="C23" s="99"/>
    </row>
    <row r="24" spans="2:5" x14ac:dyDescent="0.25">
      <c r="B24" s="71"/>
      <c r="C24" s="99"/>
    </row>
  </sheetData>
  <conditionalFormatting sqref="B22:C24">
    <cfRule type="expression" dxfId="0" priority="1">
      <formula>#REF!="Industry"</formula>
    </cfRule>
  </conditionalFormatting>
  <dataValidations count="1">
    <dataValidation type="list" allowBlank="1" showInputMessage="1" showErrorMessage="1" sqref="C11" xr:uid="{BA86EDE5-7159-4B66-829E-7171B4D698DF}">
      <formula1>"1.09,=(2/3*1.09)+1/3"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FSM</vt:lpstr>
      <vt:lpstr>DCF</vt:lpstr>
      <vt:lpstr>WACC</vt:lpstr>
      <vt:lpstr>FSM!Company_Name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Ahmed WAEL</dc:creator>
  <dc:description/>
  <cp:lastModifiedBy>Ahmed Wael</cp:lastModifiedBy>
  <cp:revision>0</cp:revision>
  <dcterms:created xsi:type="dcterms:W3CDTF">2015-06-05T18:17:20Z</dcterms:created>
  <dcterms:modified xsi:type="dcterms:W3CDTF">2026-06-21T04:27:54Z</dcterms:modified>
  <dc:language>en-US</dc:language>
</cp:coreProperties>
</file>