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ARCC - CA\"/>
    </mc:Choice>
  </mc:AlternateContent>
  <xr:revisionPtr revIDLastSave="0" documentId="13_ncr:1_{B3F45F20-97DE-4EFA-9EBE-6EE24777179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SM" sheetId="4" r:id="rId1"/>
    <sheet name="DCF" sheetId="2" r:id="rId2"/>
    <sheet name="WACC" sheetId="3" r:id="rId3"/>
  </sheets>
  <definedNames>
    <definedName name="CIQWBGuid" localSheetId="1" hidden="1">"DCF_complete.xlsx"</definedName>
    <definedName name="CIQWBGuid" localSheetId="2" hidden="1">"DCF_complete.xlsx"</definedName>
    <definedName name="CIQWBGuid" hidden="1">"a611639b-bab1-425e-aaa5-008c326fdfdb"</definedName>
    <definedName name="Company_Name" localSheetId="0">FSM!$D$5</definedName>
    <definedName name="Company_Name">#REF!</definedName>
    <definedName name="Hist_Yr" localSheetId="0">FSM!#REF!</definedName>
    <definedName name="Hist_Yr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1" hidden="1">43549.6880671296</definedName>
    <definedName name="IQ_NAMES_REVISION_DATE_" localSheetId="2" hidden="1">43549.6880671296</definedName>
    <definedName name="IQ_NAMES_REVISION_DATE_" hidden="1">43588.5561574074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MLNK841c85bef3244d5c8fb6b3f84988d79e" localSheetId="1" hidden="1">#REF!</definedName>
    <definedName name="MLNK841c85bef3244d5c8fb6b3f84988d79e" localSheetId="2" hidden="1">#REF!</definedName>
    <definedName name="MLNK841c85bef3244d5c8fb6b3f84988d79e" hidden="1">#REF!</definedName>
    <definedName name="MLNKa7775792bf444a4785f8ed5c82461a24" localSheetId="1" hidden="1">#REF!</definedName>
    <definedName name="MLNKa7775792bf444a4785f8ed5c82461a24" localSheetId="2" hidden="1">#REF!</definedName>
    <definedName name="MLNKa7775792bf444a4785f8ed5c82461a24" hidden="1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17" i="4" l="1"/>
  <c r="J217" i="4"/>
  <c r="I217" i="4"/>
  <c r="H217" i="4"/>
  <c r="C18" i="2"/>
  <c r="C14" i="2"/>
  <c r="G225" i="4" l="1"/>
  <c r="H225" i="4" s="1"/>
  <c r="I225" i="4" s="1"/>
  <c r="J225" i="4" s="1"/>
  <c r="K225" i="4" s="1"/>
  <c r="G284" i="4"/>
  <c r="G81" i="4"/>
  <c r="G90" i="4"/>
  <c r="G68" i="4"/>
  <c r="G117" i="4"/>
  <c r="G131" i="4"/>
  <c r="G156" i="4"/>
  <c r="G116" i="4" s="1"/>
  <c r="G271" i="4"/>
  <c r="G258" i="4"/>
  <c r="H131" i="4"/>
  <c r="K198" i="4"/>
  <c r="J198" i="4"/>
  <c r="I198" i="4"/>
  <c r="H198" i="4"/>
  <c r="H77" i="4" s="1"/>
  <c r="G198" i="4"/>
  <c r="K192" i="4"/>
  <c r="J192" i="4"/>
  <c r="I192" i="4"/>
  <c r="H192" i="4"/>
  <c r="H57" i="4" s="1"/>
  <c r="G192" i="4"/>
  <c r="K191" i="4"/>
  <c r="J191" i="4"/>
  <c r="I191" i="4"/>
  <c r="H191" i="4"/>
  <c r="H56" i="4" s="1"/>
  <c r="G191" i="4"/>
  <c r="C11" i="3"/>
  <c r="C13" i="3"/>
  <c r="C19" i="3"/>
  <c r="C12" i="3"/>
  <c r="C8" i="3"/>
  <c r="D218" i="4"/>
  <c r="E218" i="4"/>
  <c r="F218" i="4"/>
  <c r="G218" i="4"/>
  <c r="H218" i="4"/>
  <c r="I130" i="4" s="1"/>
  <c r="I218" i="4"/>
  <c r="J218" i="4"/>
  <c r="K218" i="4"/>
  <c r="D70" i="2"/>
  <c r="C70" i="2"/>
  <c r="C65" i="2"/>
  <c r="C62" i="2"/>
  <c r="C60" i="2"/>
  <c r="C57" i="2"/>
  <c r="I61" i="2"/>
  <c r="D72" i="2" s="1"/>
  <c r="I27" i="2"/>
  <c r="I28" i="2" s="1"/>
  <c r="H27" i="2"/>
  <c r="H28" i="2" s="1"/>
  <c r="G27" i="2"/>
  <c r="G28" i="2" s="1"/>
  <c r="F27" i="2"/>
  <c r="F28" i="2" s="1"/>
  <c r="D33" i="2"/>
  <c r="D32" i="2"/>
  <c r="E28" i="2"/>
  <c r="E27" i="2"/>
  <c r="D8" i="2"/>
  <c r="I15" i="2"/>
  <c r="H15" i="2"/>
  <c r="G15" i="2"/>
  <c r="F15" i="2"/>
  <c r="I14" i="2"/>
  <c r="H14" i="2"/>
  <c r="G14" i="2"/>
  <c r="F14" i="2"/>
  <c r="F19" i="2" s="1"/>
  <c r="E14" i="2"/>
  <c r="I23" i="2"/>
  <c r="H23" i="2"/>
  <c r="G23" i="2"/>
  <c r="F23" i="2"/>
  <c r="E23" i="2"/>
  <c r="I22" i="2"/>
  <c r="H22" i="2"/>
  <c r="G22" i="2"/>
  <c r="F22" i="2"/>
  <c r="E22" i="2"/>
  <c r="I21" i="2"/>
  <c r="H21" i="2"/>
  <c r="G21" i="2"/>
  <c r="F21" i="2"/>
  <c r="E21" i="2"/>
  <c r="I19" i="2"/>
  <c r="H19" i="2"/>
  <c r="E19" i="2"/>
  <c r="I18" i="2"/>
  <c r="H18" i="2"/>
  <c r="G18" i="2"/>
  <c r="F18" i="2"/>
  <c r="E18" i="2"/>
  <c r="D23" i="2"/>
  <c r="D21" i="2"/>
  <c r="D22" i="2"/>
  <c r="D19" i="2"/>
  <c r="D18" i="2"/>
  <c r="D17" i="2"/>
  <c r="D16" i="2"/>
  <c r="I133" i="4"/>
  <c r="F39" i="4"/>
  <c r="E39" i="4"/>
  <c r="D39" i="4"/>
  <c r="F38" i="4"/>
  <c r="E38" i="4"/>
  <c r="D38" i="4"/>
  <c r="E15" i="2"/>
  <c r="D14" i="2"/>
  <c r="H133" i="4"/>
  <c r="K131" i="4"/>
  <c r="J131" i="4"/>
  <c r="I131" i="4"/>
  <c r="K130" i="4"/>
  <c r="J130" i="4"/>
  <c r="H127" i="4"/>
  <c r="K126" i="4"/>
  <c r="K127" i="4" s="1"/>
  <c r="J126" i="4"/>
  <c r="J127" i="4" s="1"/>
  <c r="I126" i="4"/>
  <c r="I127" i="4" s="1"/>
  <c r="H126" i="4"/>
  <c r="K117" i="4"/>
  <c r="J117" i="4"/>
  <c r="I117" i="4"/>
  <c r="H117" i="4"/>
  <c r="K115" i="4"/>
  <c r="J115" i="4"/>
  <c r="I115" i="4"/>
  <c r="H115" i="4"/>
  <c r="H100" i="4"/>
  <c r="I100" i="4" s="1"/>
  <c r="J100" i="4" s="1"/>
  <c r="K100" i="4" s="1"/>
  <c r="H99" i="4"/>
  <c r="I99" i="4" s="1"/>
  <c r="J99" i="4" s="1"/>
  <c r="K99" i="4" s="1"/>
  <c r="H98" i="4"/>
  <c r="H91" i="4"/>
  <c r="I91" i="4" s="1"/>
  <c r="J91" i="4" s="1"/>
  <c r="K91" i="4" s="1"/>
  <c r="H89" i="4"/>
  <c r="I89" i="4" s="1"/>
  <c r="J89" i="4" s="1"/>
  <c r="K89" i="4" s="1"/>
  <c r="H88" i="4"/>
  <c r="K84" i="4"/>
  <c r="J84" i="4"/>
  <c r="I84" i="4"/>
  <c r="H84" i="4"/>
  <c r="K82" i="4"/>
  <c r="J82" i="4"/>
  <c r="I82" i="4"/>
  <c r="H82" i="4"/>
  <c r="H80" i="4"/>
  <c r="I80" i="4" s="1"/>
  <c r="J80" i="4" s="1"/>
  <c r="K80" i="4" s="1"/>
  <c r="H79" i="4"/>
  <c r="I79" i="4" s="1"/>
  <c r="J79" i="4" s="1"/>
  <c r="K79" i="4" s="1"/>
  <c r="H78" i="4"/>
  <c r="I78" i="4" s="1"/>
  <c r="K77" i="4"/>
  <c r="J77" i="4"/>
  <c r="I77" i="4"/>
  <c r="H65" i="4"/>
  <c r="I65" i="4" s="1"/>
  <c r="J65" i="4" s="1"/>
  <c r="K65" i="4" s="1"/>
  <c r="K64" i="4"/>
  <c r="J64" i="4"/>
  <c r="I64" i="4"/>
  <c r="H64" i="4"/>
  <c r="K59" i="4"/>
  <c r="J59" i="4"/>
  <c r="I59" i="4"/>
  <c r="H59" i="4"/>
  <c r="K58" i="4"/>
  <c r="J58" i="4"/>
  <c r="I58" i="4"/>
  <c r="H58" i="4"/>
  <c r="K57" i="4"/>
  <c r="J57" i="4"/>
  <c r="I57" i="4"/>
  <c r="K56" i="4"/>
  <c r="J56" i="4"/>
  <c r="I56" i="4"/>
  <c r="G137" i="4"/>
  <c r="G127" i="4"/>
  <c r="G133" i="4"/>
  <c r="G126" i="4"/>
  <c r="G115" i="4"/>
  <c r="F225" i="4"/>
  <c r="E225" i="4"/>
  <c r="F224" i="4"/>
  <c r="E224" i="4"/>
  <c r="F223" i="4"/>
  <c r="E223" i="4"/>
  <c r="D223" i="4"/>
  <c r="F228" i="4"/>
  <c r="E228" i="4"/>
  <c r="F227" i="4"/>
  <c r="F229" i="4" s="1"/>
  <c r="E227" i="4"/>
  <c r="E229" i="4" s="1"/>
  <c r="D229" i="4"/>
  <c r="D228" i="4"/>
  <c r="D227" i="4"/>
  <c r="G130" i="4"/>
  <c r="F219" i="4"/>
  <c r="F220" i="4" s="1"/>
  <c r="G217" i="4"/>
  <c r="F217" i="4"/>
  <c r="E217" i="4"/>
  <c r="E219" i="4" s="1"/>
  <c r="E220" i="4" s="1"/>
  <c r="H249" i="4"/>
  <c r="I249" i="4" s="1"/>
  <c r="J249" i="4" s="1"/>
  <c r="K249" i="4" s="1"/>
  <c r="G249" i="4"/>
  <c r="F249" i="4"/>
  <c r="E249" i="4"/>
  <c r="D249" i="4"/>
  <c r="F243" i="4"/>
  <c r="E243" i="4"/>
  <c r="D243" i="4"/>
  <c r="G242" i="4"/>
  <c r="F242" i="4"/>
  <c r="E242" i="4"/>
  <c r="F245" i="4"/>
  <c r="E245" i="4"/>
  <c r="D245" i="4"/>
  <c r="H247" i="4"/>
  <c r="I247" i="4" s="1"/>
  <c r="J247" i="4" s="1"/>
  <c r="K247" i="4" s="1"/>
  <c r="F247" i="4"/>
  <c r="E247" i="4"/>
  <c r="D247" i="4"/>
  <c r="D238" i="4"/>
  <c r="E238" i="4"/>
  <c r="F238" i="4"/>
  <c r="F237" i="4"/>
  <c r="E237" i="4"/>
  <c r="D237" i="4"/>
  <c r="G236" i="4"/>
  <c r="F236" i="4"/>
  <c r="E236" i="4"/>
  <c r="F239" i="4"/>
  <c r="E239" i="4"/>
  <c r="D239" i="4"/>
  <c r="G89" i="4"/>
  <c r="H268" i="4"/>
  <c r="I268" i="4" s="1"/>
  <c r="J268" i="4" s="1"/>
  <c r="K268" i="4" s="1"/>
  <c r="G268" i="4"/>
  <c r="G276" i="4"/>
  <c r="H276" i="4" s="1"/>
  <c r="I276" i="4" s="1"/>
  <c r="J276" i="4" s="1"/>
  <c r="K276" i="4" s="1"/>
  <c r="H275" i="4"/>
  <c r="I275" i="4" s="1"/>
  <c r="J275" i="4" s="1"/>
  <c r="K275" i="4" s="1"/>
  <c r="G275" i="4"/>
  <c r="H274" i="4"/>
  <c r="I274" i="4" s="1"/>
  <c r="J274" i="4" s="1"/>
  <c r="K274" i="4" s="1"/>
  <c r="G274" i="4"/>
  <c r="F276" i="4"/>
  <c r="E276" i="4"/>
  <c r="F275" i="4"/>
  <c r="E275" i="4"/>
  <c r="F274" i="4"/>
  <c r="E274" i="4"/>
  <c r="D276" i="4"/>
  <c r="D275" i="4"/>
  <c r="D274" i="4"/>
  <c r="H272" i="4"/>
  <c r="I272" i="4" s="1"/>
  <c r="J272" i="4" s="1"/>
  <c r="K272" i="4" s="1"/>
  <c r="G272" i="4"/>
  <c r="F272" i="4"/>
  <c r="E272" i="4"/>
  <c r="D272" i="4"/>
  <c r="F271" i="4"/>
  <c r="E271" i="4"/>
  <c r="D271" i="4"/>
  <c r="E267" i="4" s="1"/>
  <c r="G267" i="4"/>
  <c r="F267" i="4"/>
  <c r="G79" i="4"/>
  <c r="G261" i="4"/>
  <c r="H261" i="4" s="1"/>
  <c r="I261" i="4" s="1"/>
  <c r="J261" i="4" s="1"/>
  <c r="K261" i="4" s="1"/>
  <c r="H260" i="4"/>
  <c r="I260" i="4" s="1"/>
  <c r="J260" i="4" s="1"/>
  <c r="K260" i="4" s="1"/>
  <c r="G260" i="4"/>
  <c r="F261" i="4"/>
  <c r="E261" i="4"/>
  <c r="F260" i="4"/>
  <c r="E260" i="4"/>
  <c r="D261" i="4"/>
  <c r="D260" i="4"/>
  <c r="G255" i="4"/>
  <c r="F255" i="4"/>
  <c r="E255" i="4"/>
  <c r="F258" i="4"/>
  <c r="E258" i="4"/>
  <c r="D258" i="4"/>
  <c r="F285" i="4"/>
  <c r="G282" i="4" s="1"/>
  <c r="E285" i="4"/>
  <c r="F282" i="4" s="1"/>
  <c r="D285" i="4"/>
  <c r="E282" i="4" s="1"/>
  <c r="C18" i="3" l="1"/>
  <c r="C72" i="2"/>
  <c r="G285" i="4"/>
  <c r="H282" i="4" s="1"/>
  <c r="G157" i="4"/>
  <c r="H130" i="4"/>
  <c r="G220" i="4"/>
  <c r="H220" i="4" s="1"/>
  <c r="G19" i="2"/>
  <c r="J78" i="4"/>
  <c r="I88" i="4"/>
  <c r="I98" i="4"/>
  <c r="H219" i="4"/>
  <c r="G219" i="4"/>
  <c r="H227" i="4" l="1"/>
  <c r="H30" i="4" s="1"/>
  <c r="E19" i="3"/>
  <c r="E18" i="3"/>
  <c r="E21" i="3" s="1"/>
  <c r="H284" i="4"/>
  <c r="H285" i="4" s="1"/>
  <c r="G66" i="4"/>
  <c r="H267" i="4"/>
  <c r="H271" i="4" s="1"/>
  <c r="H255" i="4"/>
  <c r="H258" i="4" s="1"/>
  <c r="G227" i="4"/>
  <c r="G30" i="4" s="1"/>
  <c r="I220" i="4"/>
  <c r="K133" i="4"/>
  <c r="J133" i="4"/>
  <c r="J88" i="4"/>
  <c r="I219" i="4"/>
  <c r="K78" i="4"/>
  <c r="J219" i="4"/>
  <c r="J98" i="4"/>
  <c r="J220" i="4"/>
  <c r="I227" i="4" l="1"/>
  <c r="I30" i="4" s="1"/>
  <c r="H66" i="4"/>
  <c r="I282" i="4"/>
  <c r="H156" i="4"/>
  <c r="H116" i="4" s="1"/>
  <c r="I267" i="4"/>
  <c r="I271" i="4" s="1"/>
  <c r="H90" i="4"/>
  <c r="H93" i="4" s="1"/>
  <c r="H81" i="4"/>
  <c r="H85" i="4" s="1"/>
  <c r="I255" i="4"/>
  <c r="I258" i="4" s="1"/>
  <c r="H68" i="4"/>
  <c r="H70" i="4" s="1"/>
  <c r="K98" i="4"/>
  <c r="K88" i="4"/>
  <c r="K220" i="4"/>
  <c r="J227" i="4"/>
  <c r="J30" i="4" s="1"/>
  <c r="H157" i="4" l="1"/>
  <c r="I284" i="4"/>
  <c r="I285" i="4"/>
  <c r="I156" i="4"/>
  <c r="H95" i="4"/>
  <c r="J267" i="4"/>
  <c r="J271" i="4" s="1"/>
  <c r="I81" i="4"/>
  <c r="I85" i="4" s="1"/>
  <c r="I90" i="4"/>
  <c r="I93" i="4" s="1"/>
  <c r="J255" i="4"/>
  <c r="J258" i="4" s="1"/>
  <c r="I68" i="4"/>
  <c r="K219" i="4"/>
  <c r="K227" i="4" s="1"/>
  <c r="K30" i="4" s="1"/>
  <c r="I157" i="4" l="1"/>
  <c r="I116" i="4"/>
  <c r="I95" i="4"/>
  <c r="K267" i="4"/>
  <c r="K271" i="4" s="1"/>
  <c r="J90" i="4"/>
  <c r="J93" i="4" s="1"/>
  <c r="J81" i="4"/>
  <c r="J85" i="4" s="1"/>
  <c r="K255" i="4"/>
  <c r="J68" i="4"/>
  <c r="G100" i="4"/>
  <c r="G99" i="4"/>
  <c r="G98" i="4"/>
  <c r="G91" i="4"/>
  <c r="G88" i="4"/>
  <c r="G80" i="4"/>
  <c r="G78" i="4"/>
  <c r="G65" i="4"/>
  <c r="F158" i="4"/>
  <c r="F157" i="4"/>
  <c r="E157" i="4"/>
  <c r="F156" i="4"/>
  <c r="E156" i="4"/>
  <c r="E158" i="4" s="1"/>
  <c r="D156" i="4"/>
  <c r="D157" i="4" s="1"/>
  <c r="F152" i="4"/>
  <c r="E152" i="4"/>
  <c r="G152" i="4" s="1"/>
  <c r="F151" i="4"/>
  <c r="E151" i="4"/>
  <c r="G151" i="4" s="1"/>
  <c r="D152" i="4"/>
  <c r="D151" i="4"/>
  <c r="G146" i="4"/>
  <c r="F146" i="4"/>
  <c r="F149" i="4"/>
  <c r="E149" i="4"/>
  <c r="D149" i="4"/>
  <c r="E146" i="4" s="1"/>
  <c r="F200" i="4"/>
  <c r="E200" i="4"/>
  <c r="F199" i="4"/>
  <c r="E199" i="4"/>
  <c r="F198" i="4"/>
  <c r="F201" i="4" s="1"/>
  <c r="E198" i="4"/>
  <c r="F194" i="4"/>
  <c r="E194" i="4"/>
  <c r="F193" i="4"/>
  <c r="E193" i="4"/>
  <c r="F192" i="4"/>
  <c r="F209" i="4" s="1"/>
  <c r="E192" i="4"/>
  <c r="E209" i="4" s="1"/>
  <c r="F191" i="4"/>
  <c r="F195" i="4" s="1"/>
  <c r="F203" i="4" s="1"/>
  <c r="E191" i="4"/>
  <c r="E210" i="4"/>
  <c r="F208" i="4"/>
  <c r="E208" i="4"/>
  <c r="D209" i="4"/>
  <c r="G209" i="4" s="1"/>
  <c r="D208" i="4"/>
  <c r="G208" i="4" s="1"/>
  <c r="D200" i="4"/>
  <c r="D199" i="4"/>
  <c r="D198" i="4"/>
  <c r="D201" i="4" s="1"/>
  <c r="D194" i="4"/>
  <c r="D193" i="4"/>
  <c r="D192" i="4"/>
  <c r="D191" i="4"/>
  <c r="F47" i="4"/>
  <c r="E47" i="4"/>
  <c r="F46" i="4"/>
  <c r="E46" i="4"/>
  <c r="F45" i="4"/>
  <c r="E45" i="4"/>
  <c r="F44" i="4"/>
  <c r="E44" i="4"/>
  <c r="D47" i="4"/>
  <c r="D46" i="4"/>
  <c r="D45" i="4"/>
  <c r="D44" i="4"/>
  <c r="G44" i="4" s="1"/>
  <c r="H44" i="4" s="1"/>
  <c r="I44" i="4" s="1"/>
  <c r="J44" i="4" s="1"/>
  <c r="K44" i="4" s="1"/>
  <c r="F42" i="4"/>
  <c r="E42" i="4"/>
  <c r="G171" i="4"/>
  <c r="H171" i="4" s="1"/>
  <c r="I171" i="4" s="1"/>
  <c r="J171" i="4" s="1"/>
  <c r="K171" i="4" s="1"/>
  <c r="G170" i="4"/>
  <c r="H170" i="4" s="1"/>
  <c r="I170" i="4" s="1"/>
  <c r="J170" i="4" s="1"/>
  <c r="K170" i="4" s="1"/>
  <c r="G166" i="4"/>
  <c r="H166" i="4" s="1"/>
  <c r="G165" i="4"/>
  <c r="F184" i="4"/>
  <c r="E184" i="4"/>
  <c r="F183" i="4"/>
  <c r="E183" i="4"/>
  <c r="F180" i="4"/>
  <c r="E180" i="4"/>
  <c r="F179" i="4"/>
  <c r="E179" i="4"/>
  <c r="F172" i="4"/>
  <c r="E172" i="4"/>
  <c r="D172" i="4"/>
  <c r="F167" i="4"/>
  <c r="F174" i="4" s="1"/>
  <c r="F176" i="4" s="1"/>
  <c r="E167" i="4"/>
  <c r="D167" i="4"/>
  <c r="G93" i="4"/>
  <c r="F93" i="4"/>
  <c r="E93" i="4"/>
  <c r="D93" i="4"/>
  <c r="F85" i="4"/>
  <c r="F95" i="4" s="1"/>
  <c r="E85" i="4"/>
  <c r="E95" i="4" s="1"/>
  <c r="D85" i="4"/>
  <c r="F102" i="4"/>
  <c r="F104" i="4" s="1"/>
  <c r="E102" i="4"/>
  <c r="E104" i="4" s="1"/>
  <c r="D102" i="4"/>
  <c r="D104" i="4" s="1"/>
  <c r="F70" i="4"/>
  <c r="E70" i="4"/>
  <c r="D70" i="4"/>
  <c r="F61" i="4"/>
  <c r="E61" i="4"/>
  <c r="D61" i="4"/>
  <c r="D72" i="4" s="1"/>
  <c r="F18" i="4"/>
  <c r="F28" i="4" s="1"/>
  <c r="F32" i="4" s="1"/>
  <c r="F34" i="4" s="1"/>
  <c r="F35" i="4" s="1"/>
  <c r="E18" i="4"/>
  <c r="E28" i="4" s="1"/>
  <c r="E32" i="4" s="1"/>
  <c r="E34" i="4" s="1"/>
  <c r="E35" i="4" s="1"/>
  <c r="D18" i="4"/>
  <c r="D28" i="4" s="1"/>
  <c r="D32" i="4" s="1"/>
  <c r="D34" i="4" s="1"/>
  <c r="D35" i="4" s="1"/>
  <c r="J282" i="4" l="1"/>
  <c r="I66" i="4"/>
  <c r="I70" i="4" s="1"/>
  <c r="K258" i="4"/>
  <c r="K68" i="4" s="1"/>
  <c r="J95" i="4"/>
  <c r="K90" i="4"/>
  <c r="K93" i="4" s="1"/>
  <c r="K81" i="4"/>
  <c r="K85" i="4" s="1"/>
  <c r="G57" i="4"/>
  <c r="H209" i="4"/>
  <c r="H151" i="4"/>
  <c r="G56" i="4"/>
  <c r="H208" i="4"/>
  <c r="H152" i="4"/>
  <c r="D195" i="4"/>
  <c r="D203" i="4" s="1"/>
  <c r="F72" i="4"/>
  <c r="D210" i="4"/>
  <c r="F210" i="4"/>
  <c r="D158" i="4"/>
  <c r="E72" i="4"/>
  <c r="E108" i="4" s="1"/>
  <c r="G167" i="4"/>
  <c r="G46" i="4"/>
  <c r="H46" i="4" s="1"/>
  <c r="I46" i="4" s="1"/>
  <c r="J46" i="4" s="1"/>
  <c r="K46" i="4" s="1"/>
  <c r="G45" i="4"/>
  <c r="H45" i="4" s="1"/>
  <c r="I45" i="4" s="1"/>
  <c r="J45" i="4" s="1"/>
  <c r="K45" i="4" s="1"/>
  <c r="G47" i="4"/>
  <c r="H47" i="4" s="1"/>
  <c r="I47" i="4" s="1"/>
  <c r="J47" i="4" s="1"/>
  <c r="K47" i="4" s="1"/>
  <c r="E195" i="4"/>
  <c r="E203" i="4" s="1"/>
  <c r="F205" i="4" s="1"/>
  <c r="E201" i="4"/>
  <c r="E204" i="4"/>
  <c r="F204" i="4"/>
  <c r="D204" i="4"/>
  <c r="D174" i="4"/>
  <c r="D176" i="4" s="1"/>
  <c r="E174" i="4"/>
  <c r="E176" i="4" s="1"/>
  <c r="H165" i="4"/>
  <c r="I165" i="4" s="1"/>
  <c r="E43" i="4"/>
  <c r="D48" i="4"/>
  <c r="E48" i="4"/>
  <c r="D43" i="4"/>
  <c r="H167" i="4"/>
  <c r="F43" i="4"/>
  <c r="F48" i="4"/>
  <c r="G172" i="4"/>
  <c r="J165" i="4"/>
  <c r="I166" i="4"/>
  <c r="J166" i="4" s="1"/>
  <c r="K166" i="4" s="1"/>
  <c r="E106" i="4"/>
  <c r="F106" i="4"/>
  <c r="D95" i="4"/>
  <c r="D106" i="4" s="1"/>
  <c r="D108" i="4" s="1"/>
  <c r="J284" i="4" l="1"/>
  <c r="J285" i="4"/>
  <c r="J66" i="4" s="1"/>
  <c r="J70" i="4" s="1"/>
  <c r="K95" i="4"/>
  <c r="I152" i="4"/>
  <c r="I151" i="4"/>
  <c r="F108" i="4"/>
  <c r="G174" i="4"/>
  <c r="E205" i="4"/>
  <c r="G210" i="4"/>
  <c r="I209" i="4"/>
  <c r="G48" i="4"/>
  <c r="H48" i="4" s="1"/>
  <c r="I208" i="4"/>
  <c r="G43" i="4"/>
  <c r="H43" i="4" s="1"/>
  <c r="I43" i="4" s="1"/>
  <c r="J43" i="4" s="1"/>
  <c r="K43" i="4" s="1"/>
  <c r="G16" i="4"/>
  <c r="I48" i="4"/>
  <c r="H172" i="4"/>
  <c r="H174" i="4" s="1"/>
  <c r="I172" i="4"/>
  <c r="K172" i="4"/>
  <c r="J172" i="4"/>
  <c r="J167" i="4"/>
  <c r="K165" i="4"/>
  <c r="K167" i="4" s="1"/>
  <c r="I167" i="4"/>
  <c r="J156" i="4" l="1"/>
  <c r="J157" i="4" s="1"/>
  <c r="K282" i="4"/>
  <c r="J116" i="4"/>
  <c r="J151" i="4"/>
  <c r="G194" i="4"/>
  <c r="G59" i="4" s="1"/>
  <c r="G148" i="4"/>
  <c r="G158" i="4" s="1"/>
  <c r="G199" i="4"/>
  <c r="G82" i="4" s="1"/>
  <c r="G193" i="4"/>
  <c r="G200" i="4"/>
  <c r="G84" i="4" s="1"/>
  <c r="G147" i="4"/>
  <c r="G149" i="4" s="1"/>
  <c r="J208" i="4"/>
  <c r="J209" i="4"/>
  <c r="J152" i="4"/>
  <c r="H210" i="4"/>
  <c r="I174" i="4"/>
  <c r="H16" i="4"/>
  <c r="I16" i="4"/>
  <c r="I147" i="4" s="1"/>
  <c r="G23" i="4"/>
  <c r="G18" i="4"/>
  <c r="G42" i="4"/>
  <c r="G20" i="4"/>
  <c r="G22" i="4"/>
  <c r="G19" i="4"/>
  <c r="G176" i="4"/>
  <c r="J48" i="4"/>
  <c r="K174" i="4"/>
  <c r="J174" i="4"/>
  <c r="K284" i="4" l="1"/>
  <c r="K156" i="4" s="1"/>
  <c r="E25" i="2"/>
  <c r="G38" i="4"/>
  <c r="I210" i="4"/>
  <c r="H146" i="4"/>
  <c r="H149" i="4" s="1"/>
  <c r="I146" i="4" s="1"/>
  <c r="I149" i="4" s="1"/>
  <c r="J146" i="4" s="1"/>
  <c r="G64" i="4"/>
  <c r="G70" i="4" s="1"/>
  <c r="I148" i="4"/>
  <c r="I158" i="4" s="1"/>
  <c r="G195" i="4"/>
  <c r="G58" i="4"/>
  <c r="I193" i="4"/>
  <c r="I194" i="4"/>
  <c r="I195" i="4" s="1"/>
  <c r="I199" i="4"/>
  <c r="I200" i="4"/>
  <c r="H194" i="4"/>
  <c r="H199" i="4"/>
  <c r="H193" i="4"/>
  <c r="H195" i="4" s="1"/>
  <c r="H200" i="4"/>
  <c r="H147" i="4"/>
  <c r="H148" i="4"/>
  <c r="H158" i="4" s="1"/>
  <c r="K209" i="4"/>
  <c r="G77" i="4"/>
  <c r="G85" i="4" s="1"/>
  <c r="G95" i="4" s="1"/>
  <c r="G201" i="4"/>
  <c r="K152" i="4"/>
  <c r="J148" i="4"/>
  <c r="J158" i="4" s="1"/>
  <c r="K208" i="4"/>
  <c r="K151" i="4"/>
  <c r="J147" i="4"/>
  <c r="J16" i="4"/>
  <c r="I18" i="4"/>
  <c r="I20" i="4"/>
  <c r="I22" i="4"/>
  <c r="I19" i="4"/>
  <c r="I23" i="4"/>
  <c r="K16" i="4"/>
  <c r="I176" i="4"/>
  <c r="G28" i="4"/>
  <c r="G17" i="4"/>
  <c r="I42" i="4"/>
  <c r="H20" i="4"/>
  <c r="H19" i="4"/>
  <c r="H23" i="4"/>
  <c r="H22" i="4"/>
  <c r="H42" i="4"/>
  <c r="H18" i="4"/>
  <c r="H176" i="4"/>
  <c r="K48" i="4"/>
  <c r="K285" i="4" l="1"/>
  <c r="K157" i="4"/>
  <c r="K116" i="4"/>
  <c r="K66" i="4"/>
  <c r="K70" i="4" s="1"/>
  <c r="H25" i="2"/>
  <c r="J38" i="4"/>
  <c r="H38" i="4"/>
  <c r="F25" i="2"/>
  <c r="I38" i="4"/>
  <c r="G25" i="2"/>
  <c r="E16" i="2"/>
  <c r="C16" i="2" s="1"/>
  <c r="G39" i="4"/>
  <c r="K176" i="4"/>
  <c r="K199" i="4"/>
  <c r="K194" i="4"/>
  <c r="K200" i="4"/>
  <c r="K193" i="4"/>
  <c r="K148" i="4"/>
  <c r="K158" i="4" s="1"/>
  <c r="J149" i="4"/>
  <c r="K146" i="4" s="1"/>
  <c r="G203" i="4"/>
  <c r="E32" i="2" s="1"/>
  <c r="H201" i="4"/>
  <c r="H203" i="4" s="1"/>
  <c r="F32" i="2" s="1"/>
  <c r="K147" i="4"/>
  <c r="J200" i="4"/>
  <c r="J193" i="4"/>
  <c r="J195" i="4" s="1"/>
  <c r="J194" i="4"/>
  <c r="J199" i="4"/>
  <c r="J210" i="4"/>
  <c r="I201" i="4"/>
  <c r="I203" i="4" s="1"/>
  <c r="G32" i="2" s="1"/>
  <c r="H17" i="4"/>
  <c r="K195" i="4" s="1"/>
  <c r="H28" i="4"/>
  <c r="J42" i="4"/>
  <c r="J19" i="4"/>
  <c r="J23" i="4"/>
  <c r="J22" i="4"/>
  <c r="J20" i="4"/>
  <c r="J18" i="4"/>
  <c r="I17" i="4"/>
  <c r="I28" i="4"/>
  <c r="K18" i="4"/>
  <c r="K23" i="4"/>
  <c r="K22" i="4"/>
  <c r="K19" i="4"/>
  <c r="K20" i="4"/>
  <c r="K42" i="4"/>
  <c r="J176" i="4"/>
  <c r="F16" i="2" l="1"/>
  <c r="F17" i="2" s="1"/>
  <c r="H39" i="4"/>
  <c r="K38" i="4"/>
  <c r="I25" i="2"/>
  <c r="H16" i="2"/>
  <c r="H17" i="2" s="1"/>
  <c r="J39" i="4"/>
  <c r="G16" i="2"/>
  <c r="G17" i="2" s="1"/>
  <c r="I39" i="4"/>
  <c r="E17" i="2"/>
  <c r="G26" i="2"/>
  <c r="G30" i="2" s="1"/>
  <c r="G38" i="2" s="1"/>
  <c r="F33" i="2"/>
  <c r="G33" i="2"/>
  <c r="F26" i="2"/>
  <c r="F30" i="2" s="1"/>
  <c r="F38" i="2" s="1"/>
  <c r="E26" i="2"/>
  <c r="E30" i="2" s="1"/>
  <c r="E38" i="2" s="1"/>
  <c r="E33" i="2"/>
  <c r="I204" i="4"/>
  <c r="K203" i="4"/>
  <c r="H204" i="4"/>
  <c r="I205" i="4"/>
  <c r="I121" i="4" s="1"/>
  <c r="I122" i="4" s="1"/>
  <c r="G204" i="4"/>
  <c r="H205" i="4"/>
  <c r="H121" i="4" s="1"/>
  <c r="H122" i="4" s="1"/>
  <c r="G205" i="4"/>
  <c r="G121" i="4" s="1"/>
  <c r="G122" i="4" s="1"/>
  <c r="K210" i="4"/>
  <c r="K201" i="4" s="1"/>
  <c r="J201" i="4"/>
  <c r="J203" i="4" s="1"/>
  <c r="H32" i="2" s="1"/>
  <c r="K149" i="4"/>
  <c r="K17" i="4"/>
  <c r="K28" i="4"/>
  <c r="J17" i="4"/>
  <c r="J28" i="4"/>
  <c r="I16" i="2" l="1"/>
  <c r="K39" i="4"/>
  <c r="K204" i="4"/>
  <c r="I32" i="2"/>
  <c r="I33" i="2" s="1"/>
  <c r="H33" i="2"/>
  <c r="H26" i="2"/>
  <c r="H30" i="2" s="1"/>
  <c r="H38" i="2" s="1"/>
  <c r="J204" i="4"/>
  <c r="K205" i="4"/>
  <c r="K121" i="4" s="1"/>
  <c r="K122" i="4" s="1"/>
  <c r="J205" i="4"/>
  <c r="J121" i="4" s="1"/>
  <c r="J122" i="4" s="1"/>
  <c r="I42" i="2" l="1"/>
  <c r="I44" i="2" s="1"/>
  <c r="I17" i="2"/>
  <c r="I26" i="2"/>
  <c r="I30" i="2" s="1"/>
  <c r="I38" i="2" s="1"/>
  <c r="C43" i="2" s="1"/>
  <c r="B3" i="2"/>
  <c r="F14" i="4" l="1"/>
  <c r="F280" i="4" s="1"/>
  <c r="F13" i="4"/>
  <c r="F279" i="4" s="1"/>
  <c r="C2" i="4"/>
  <c r="F188" i="4" l="1"/>
  <c r="F187" i="4"/>
  <c r="F264" i="4"/>
  <c r="F162" i="4"/>
  <c r="F265" i="4"/>
  <c r="F161" i="4"/>
  <c r="G14" i="4"/>
  <c r="G280" i="4" s="1"/>
  <c r="G13" i="4"/>
  <c r="G279" i="4" s="1"/>
  <c r="E13" i="4"/>
  <c r="E279" i="4" s="1"/>
  <c r="E14" i="4"/>
  <c r="E280" i="4" s="1"/>
  <c r="F213" i="4"/>
  <c r="F214" i="4"/>
  <c r="F232" i="4"/>
  <c r="F233" i="4"/>
  <c r="F252" i="4"/>
  <c r="F253" i="4"/>
  <c r="F51" i="4"/>
  <c r="F52" i="4"/>
  <c r="F143" i="4"/>
  <c r="F144" i="4"/>
  <c r="G188" i="4" l="1"/>
  <c r="G187" i="4"/>
  <c r="E188" i="4"/>
  <c r="E187" i="4"/>
  <c r="G264" i="4"/>
  <c r="E162" i="4"/>
  <c r="E265" i="4"/>
  <c r="E213" i="4"/>
  <c r="E264" i="4"/>
  <c r="G162" i="4"/>
  <c r="G265" i="4"/>
  <c r="E161" i="4"/>
  <c r="G161" i="4"/>
  <c r="G52" i="4"/>
  <c r="G252" i="4"/>
  <c r="G214" i="4"/>
  <c r="G144" i="4"/>
  <c r="H13" i="4"/>
  <c r="H279" i="4" s="1"/>
  <c r="H14" i="4"/>
  <c r="H280" i="4" s="1"/>
  <c r="G253" i="4"/>
  <c r="G112" i="4"/>
  <c r="G233" i="4"/>
  <c r="G111" i="4"/>
  <c r="G51" i="4"/>
  <c r="G143" i="4"/>
  <c r="G213" i="4"/>
  <c r="G232" i="4"/>
  <c r="E144" i="4"/>
  <c r="E52" i="4"/>
  <c r="E253" i="4"/>
  <c r="E233" i="4"/>
  <c r="E214" i="4"/>
  <c r="D14" i="4"/>
  <c r="D280" i="4" s="1"/>
  <c r="E143" i="4"/>
  <c r="E51" i="4"/>
  <c r="E252" i="4"/>
  <c r="E232" i="4"/>
  <c r="D13" i="4"/>
  <c r="D279" i="4" s="1"/>
  <c r="H188" i="4" l="1"/>
  <c r="D187" i="4"/>
  <c r="H187" i="4"/>
  <c r="D188" i="4"/>
  <c r="D264" i="4"/>
  <c r="H264" i="4"/>
  <c r="H162" i="4"/>
  <c r="H265" i="4"/>
  <c r="D162" i="4"/>
  <c r="D265" i="4"/>
  <c r="H161" i="4"/>
  <c r="D161" i="4"/>
  <c r="I14" i="4"/>
  <c r="I280" i="4" s="1"/>
  <c r="H112" i="4"/>
  <c r="H144" i="4"/>
  <c r="H214" i="4"/>
  <c r="H52" i="4"/>
  <c r="H233" i="4"/>
  <c r="H111" i="4"/>
  <c r="H253" i="4"/>
  <c r="H252" i="4"/>
  <c r="H143" i="4"/>
  <c r="H213" i="4"/>
  <c r="I13" i="4"/>
  <c r="I279" i="4" s="1"/>
  <c r="H51" i="4"/>
  <c r="H232" i="4"/>
  <c r="D143" i="4"/>
  <c r="D51" i="4"/>
  <c r="D252" i="4"/>
  <c r="D232" i="4"/>
  <c r="D213" i="4"/>
  <c r="D144" i="4"/>
  <c r="D52" i="4"/>
  <c r="D253" i="4"/>
  <c r="D233" i="4"/>
  <c r="D214" i="4"/>
  <c r="O90" i="2"/>
  <c r="P90" i="2" s="1"/>
  <c r="Q90" i="2" s="1"/>
  <c r="G90" i="2"/>
  <c r="F90" i="2" s="1"/>
  <c r="E90" i="2" s="1"/>
  <c r="I187" i="4" l="1"/>
  <c r="I188" i="4"/>
  <c r="I265" i="4"/>
  <c r="I264" i="4"/>
  <c r="J14" i="4"/>
  <c r="J280" i="4" s="1"/>
  <c r="I162" i="4"/>
  <c r="I161" i="4"/>
  <c r="I144" i="4"/>
  <c r="I214" i="4"/>
  <c r="I52" i="4"/>
  <c r="I253" i="4"/>
  <c r="I233" i="4"/>
  <c r="I112" i="4"/>
  <c r="I252" i="4"/>
  <c r="I143" i="4"/>
  <c r="J13" i="4"/>
  <c r="J279" i="4" s="1"/>
  <c r="I111" i="4"/>
  <c r="I51" i="4"/>
  <c r="I213" i="4"/>
  <c r="I232" i="4"/>
  <c r="H90" i="2"/>
  <c r="I90" i="2" s="1"/>
  <c r="N90" i="2"/>
  <c r="M90" i="2" s="1"/>
  <c r="J188" i="4" l="1"/>
  <c r="J187" i="4"/>
  <c r="J264" i="4"/>
  <c r="J162" i="4"/>
  <c r="J265" i="4"/>
  <c r="K14" i="4"/>
  <c r="K280" i="4" s="1"/>
  <c r="J233" i="4"/>
  <c r="J253" i="4"/>
  <c r="J144" i="4"/>
  <c r="J214" i="4"/>
  <c r="J52" i="4"/>
  <c r="J112" i="4"/>
  <c r="J161" i="4"/>
  <c r="J143" i="4"/>
  <c r="J232" i="4"/>
  <c r="J213" i="4"/>
  <c r="J51" i="4"/>
  <c r="K13" i="4"/>
  <c r="K279" i="4" s="1"/>
  <c r="J111" i="4"/>
  <c r="J252" i="4"/>
  <c r="Q130" i="2"/>
  <c r="O130" i="2"/>
  <c r="Q129" i="2"/>
  <c r="O129" i="2"/>
  <c r="Q128" i="2"/>
  <c r="O128" i="2"/>
  <c r="D130" i="2"/>
  <c r="E129" i="2"/>
  <c r="C129" i="2"/>
  <c r="E128" i="2"/>
  <c r="C128" i="2"/>
  <c r="K188" i="4" l="1"/>
  <c r="K187" i="4"/>
  <c r="K264" i="4"/>
  <c r="K162" i="4"/>
  <c r="K265" i="4"/>
  <c r="K112" i="4"/>
  <c r="K144" i="4"/>
  <c r="K52" i="4"/>
  <c r="K214" i="4"/>
  <c r="K233" i="4"/>
  <c r="K253" i="4"/>
  <c r="K252" i="4"/>
  <c r="K161" i="4"/>
  <c r="K232" i="4"/>
  <c r="K51" i="4"/>
  <c r="K213" i="4"/>
  <c r="K143" i="4"/>
  <c r="K111" i="4"/>
  <c r="P129" i="2"/>
  <c r="D128" i="2"/>
  <c r="P128" i="2"/>
  <c r="P130" i="2"/>
  <c r="D129" i="2"/>
  <c r="B3" i="3" l="1"/>
  <c r="B35" i="2"/>
  <c r="C12" i="2" l="1"/>
  <c r="D37" i="2"/>
  <c r="D12" i="2"/>
  <c r="E12" i="2" s="1"/>
  <c r="E37" i="2" s="1"/>
  <c r="D5" i="2"/>
  <c r="C38" i="2" l="1"/>
  <c r="F12" i="2"/>
  <c r="F37" i="2" s="1"/>
  <c r="G12" i="2" l="1"/>
  <c r="G37" i="2" s="1"/>
  <c r="H12" i="2" l="1"/>
  <c r="H37" i="2" s="1"/>
  <c r="I12" i="2" l="1"/>
  <c r="I37" i="2" s="1"/>
  <c r="B43" i="2" l="1"/>
  <c r="E44" i="2"/>
  <c r="B44" i="2"/>
  <c r="G99" i="2" l="1"/>
  <c r="F99" i="2" s="1"/>
  <c r="E99" i="2" s="1"/>
  <c r="O99" i="2"/>
  <c r="P99" i="2" s="1"/>
  <c r="Q99" i="2" s="1"/>
  <c r="N99" i="2" l="1"/>
  <c r="M99" i="2" s="1"/>
  <c r="H99" i="2"/>
  <c r="I99" i="2" s="1"/>
  <c r="H4" i="2" l="1"/>
  <c r="L93" i="2"/>
  <c r="D102" i="2"/>
  <c r="D93" i="2"/>
  <c r="L102" i="2"/>
  <c r="I39" i="2" l="1"/>
  <c r="E39" i="2"/>
  <c r="H39" i="2"/>
  <c r="F39" i="2"/>
  <c r="G39" i="2"/>
  <c r="C44" i="2"/>
  <c r="I51" i="2"/>
  <c r="I45" i="2"/>
  <c r="B129" i="2"/>
  <c r="D103" i="2"/>
  <c r="D104" i="2" s="1"/>
  <c r="D101" i="2"/>
  <c r="D100" i="2" s="1"/>
  <c r="B128" i="2"/>
  <c r="G128" i="2"/>
  <c r="L94" i="2"/>
  <c r="L95" i="2" s="1"/>
  <c r="L92" i="2"/>
  <c r="L91" i="2" s="1"/>
  <c r="D94" i="2"/>
  <c r="D95" i="2" s="1"/>
  <c r="D92" i="2"/>
  <c r="D91" i="2" s="1"/>
  <c r="G129" i="2"/>
  <c r="L101" i="2"/>
  <c r="L100" i="2" s="1"/>
  <c r="L103" i="2"/>
  <c r="L104" i="2" s="1"/>
  <c r="G130" i="2" l="1"/>
  <c r="C46" i="2"/>
  <c r="I46" i="2" s="1"/>
  <c r="I47" i="2" s="1"/>
  <c r="D69" i="2" s="1"/>
  <c r="D79" i="2" s="1"/>
  <c r="C45" i="2"/>
  <c r="C51" i="2"/>
  <c r="D82" i="2" l="1"/>
  <c r="D71" i="2"/>
  <c r="D73" i="2" s="1"/>
  <c r="D99" i="2" s="1"/>
  <c r="D78" i="2"/>
  <c r="L99" i="2" s="1"/>
  <c r="D84" i="2"/>
  <c r="D83" i="2"/>
  <c r="D77" i="2"/>
  <c r="I49" i="2"/>
  <c r="I50" i="2" s="1"/>
  <c r="C47" i="2"/>
  <c r="C69" i="2" s="1"/>
  <c r="C49" i="2" l="1"/>
  <c r="C50" i="2" s="1"/>
  <c r="C83" i="2"/>
  <c r="C78" i="2"/>
  <c r="L90" i="2" s="1"/>
  <c r="C71" i="2"/>
  <c r="C73" i="2" s="1"/>
  <c r="C77" i="2"/>
  <c r="C84" i="2"/>
  <c r="C79" i="2"/>
  <c r="C82" i="2"/>
  <c r="H7" i="2" l="1"/>
  <c r="H8" i="2" s="1"/>
  <c r="D90" i="2"/>
  <c r="G29" i="4"/>
  <c r="H29" i="4"/>
  <c r="I29" i="4"/>
  <c r="J29" i="4"/>
  <c r="K29" i="4"/>
  <c r="G32" i="4"/>
  <c r="H32" i="4"/>
  <c r="I32" i="4"/>
  <c r="J32" i="4"/>
  <c r="K32" i="4"/>
  <c r="G33" i="4"/>
  <c r="H33" i="4"/>
  <c r="I33" i="4"/>
  <c r="J33" i="4"/>
  <c r="K33" i="4"/>
  <c r="G34" i="4"/>
  <c r="H34" i="4"/>
  <c r="I34" i="4"/>
  <c r="J34" i="4"/>
  <c r="K34" i="4"/>
  <c r="G35" i="4"/>
  <c r="H35" i="4"/>
  <c r="I35" i="4"/>
  <c r="J35" i="4"/>
  <c r="K35" i="4"/>
  <c r="G36" i="4"/>
  <c r="H36" i="4"/>
  <c r="I36" i="4"/>
  <c r="J36" i="4"/>
  <c r="K36" i="4"/>
  <c r="G60" i="4"/>
  <c r="H60" i="4"/>
  <c r="I60" i="4"/>
  <c r="J60" i="4"/>
  <c r="K60" i="4"/>
  <c r="G61" i="4"/>
  <c r="H61" i="4"/>
  <c r="I61" i="4"/>
  <c r="J61" i="4"/>
  <c r="K61" i="4"/>
  <c r="G72" i="4"/>
  <c r="H72" i="4"/>
  <c r="I72" i="4"/>
  <c r="J72" i="4"/>
  <c r="K72" i="4"/>
  <c r="G101" i="4"/>
  <c r="H101" i="4"/>
  <c r="I101" i="4"/>
  <c r="J101" i="4"/>
  <c r="K101" i="4"/>
  <c r="G102" i="4"/>
  <c r="H102" i="4"/>
  <c r="I102" i="4"/>
  <c r="J102" i="4"/>
  <c r="K102" i="4"/>
  <c r="G103" i="4"/>
  <c r="H103" i="4"/>
  <c r="I103" i="4"/>
  <c r="J103" i="4"/>
  <c r="K103" i="4"/>
  <c r="G104" i="4"/>
  <c r="H104" i="4"/>
  <c r="I104" i="4"/>
  <c r="J104" i="4"/>
  <c r="K104" i="4"/>
  <c r="G106" i="4"/>
  <c r="H106" i="4"/>
  <c r="I106" i="4"/>
  <c r="J106" i="4"/>
  <c r="K106" i="4"/>
  <c r="G108" i="4"/>
  <c r="H108" i="4"/>
  <c r="I108" i="4"/>
  <c r="J108" i="4"/>
  <c r="K108" i="4"/>
  <c r="G114" i="4"/>
  <c r="H114" i="4"/>
  <c r="I114" i="4"/>
  <c r="J114" i="4"/>
  <c r="K114" i="4"/>
  <c r="G118" i="4"/>
  <c r="H118" i="4"/>
  <c r="I118" i="4"/>
  <c r="J118" i="4"/>
  <c r="K118" i="4"/>
  <c r="G123" i="4"/>
  <c r="H123" i="4"/>
  <c r="I123" i="4"/>
  <c r="J123" i="4"/>
  <c r="K123" i="4"/>
  <c r="G132" i="4"/>
  <c r="H132" i="4"/>
  <c r="I132" i="4"/>
  <c r="J132" i="4"/>
  <c r="K132" i="4"/>
  <c r="G134" i="4"/>
  <c r="H134" i="4"/>
  <c r="I134" i="4"/>
  <c r="J134" i="4"/>
  <c r="K134" i="4"/>
  <c r="G136" i="4"/>
  <c r="H136" i="4"/>
  <c r="I136" i="4"/>
  <c r="J136" i="4"/>
  <c r="K136" i="4"/>
  <c r="H137" i="4"/>
  <c r="I137" i="4"/>
  <c r="J137" i="4"/>
  <c r="K137" i="4"/>
  <c r="G138" i="4"/>
  <c r="H138" i="4"/>
  <c r="I138" i="4"/>
  <c r="J138" i="4"/>
  <c r="K138" i="4"/>
  <c r="G140" i="4"/>
  <c r="H140" i="4"/>
  <c r="I140" i="4"/>
  <c r="J140" i="4"/>
  <c r="K140" i="4"/>
  <c r="G223" i="4"/>
  <c r="H223" i="4"/>
  <c r="I223" i="4"/>
  <c r="J223" i="4"/>
  <c r="K223" i="4"/>
  <c r="G224" i="4"/>
  <c r="H224" i="4"/>
  <c r="I224" i="4"/>
  <c r="J224" i="4"/>
  <c r="K224" i="4"/>
  <c r="G228" i="4"/>
  <c r="H228" i="4"/>
  <c r="I228" i="4"/>
  <c r="J228" i="4"/>
  <c r="K228" i="4"/>
  <c r="G229" i="4"/>
  <c r="H229" i="4"/>
  <c r="I229" i="4"/>
  <c r="J229" i="4"/>
  <c r="K229" i="4"/>
  <c r="H236" i="4"/>
  <c r="I236" i="4"/>
  <c r="J236" i="4"/>
  <c r="K236" i="4"/>
  <c r="G237" i="4"/>
  <c r="H237" i="4"/>
  <c r="I237" i="4"/>
  <c r="J237" i="4"/>
  <c r="K237" i="4"/>
  <c r="G238" i="4"/>
  <c r="H238" i="4"/>
  <c r="I238" i="4"/>
  <c r="J238" i="4"/>
  <c r="K238" i="4"/>
  <c r="G239" i="4"/>
  <c r="H239" i="4"/>
  <c r="I239" i="4"/>
  <c r="J239" i="4"/>
  <c r="K239" i="4"/>
  <c r="H242" i="4"/>
  <c r="I242" i="4"/>
  <c r="J242" i="4"/>
  <c r="K242" i="4"/>
  <c r="G243" i="4"/>
  <c r="H243" i="4"/>
  <c r="I243" i="4"/>
  <c r="J243" i="4"/>
  <c r="K243" i="4"/>
  <c r="G245" i="4"/>
  <c r="H245" i="4"/>
  <c r="I245" i="4"/>
  <c r="J245" i="4"/>
  <c r="K24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Wall Street Prep</author>
  </authors>
  <commentList>
    <comment ref="I51" authorId="0" shapeId="0" xr:uid="{5995678E-1E7B-47AC-878F-4A26A561331B}">
      <text>
        <r>
          <rPr>
            <b/>
            <sz val="9"/>
            <color indexed="81"/>
            <rFont val="Tahoma"/>
            <family val="2"/>
          </rPr>
          <t>Wall Street Prep:</t>
        </r>
        <r>
          <rPr>
            <sz val="9"/>
            <color indexed="81"/>
            <rFont val="Tahoma"/>
            <family val="2"/>
          </rPr>
          <t xml:space="preserve">
Implied g = [r -FCF(t)/TV]/(1+FCF(t)/TV)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Ahmed Wael</author>
  </authors>
  <commentList>
    <comment ref="C6" authorId="0" shapeId="0" xr:uid="{CA3D5E9A-7577-431C-B688-FCA99B037B28}">
      <text>
        <r>
          <rPr>
            <b/>
            <sz val="9"/>
            <color indexed="81"/>
            <rFont val="Tahoma"/>
            <charset val="1"/>
          </rPr>
          <t>Ahmed Wael:</t>
        </r>
        <r>
          <rPr>
            <sz val="9"/>
            <color indexed="81"/>
            <rFont val="Tahoma"/>
            <charset val="1"/>
          </rPr>
          <t xml:space="preserve">
CBE overnight lending rate + 0.6% (Source: Consolidated FS FY2025, Note 25)</t>
        </r>
      </text>
    </comment>
    <comment ref="C12" authorId="0" shapeId="0" xr:uid="{C79929D3-E0A3-46FF-996D-2A2CEA121394}">
      <text>
        <r>
          <rPr>
            <b/>
            <sz val="9"/>
            <color indexed="81"/>
            <rFont val="Tahoma"/>
            <charset val="1"/>
          </rPr>
          <t>Ahmed Wael:</t>
        </r>
        <r>
          <rPr>
            <sz val="9"/>
            <color indexed="81"/>
            <rFont val="Tahoma"/>
            <charset val="1"/>
          </rPr>
          <t xml:space="preserve">
country-risk premium - Egypt's total ERP</t>
        </r>
      </text>
    </comment>
  </commentList>
</comments>
</file>

<file path=xl/sharedStrings.xml><?xml version="1.0" encoding="utf-8"?>
<sst xmlns="http://schemas.openxmlformats.org/spreadsheetml/2006/main" count="394" uniqueCount="289">
  <si>
    <t>Company Name</t>
  </si>
  <si>
    <t>Ticker</t>
  </si>
  <si>
    <t>Last Historical Year</t>
  </si>
  <si>
    <t>ASSETS</t>
  </si>
  <si>
    <t>Current Assets</t>
  </si>
  <si>
    <t>Total Current Assets</t>
  </si>
  <si>
    <t>Non-Current Assets</t>
  </si>
  <si>
    <t>Total Non-Current Assets</t>
  </si>
  <si>
    <t>Total Assets</t>
  </si>
  <si>
    <t>LIABILITIES AND EQUITY</t>
  </si>
  <si>
    <t>Current Liabilities</t>
  </si>
  <si>
    <t>Total Current Liabilities</t>
  </si>
  <si>
    <t>Non-Current Liabilities</t>
  </si>
  <si>
    <t>Total Non-Current Liabilities</t>
  </si>
  <si>
    <t>Total Liabilities</t>
  </si>
  <si>
    <t>Equity</t>
  </si>
  <si>
    <t>Total Equity</t>
  </si>
  <si>
    <t>Total Liabilites &amp; Equity</t>
  </si>
  <si>
    <t>Balance Check</t>
  </si>
  <si>
    <t>Cash Generated from Operations</t>
  </si>
  <si>
    <t>CASH FLOWS FROM INVESTING ACTIVITIES</t>
  </si>
  <si>
    <t>CASH FLOWS FROM FINANCING ACTIVITIES</t>
  </si>
  <si>
    <t>Reconciliation Check vs BS Cash</t>
  </si>
  <si>
    <t>Depreciation &amp; amortization</t>
  </si>
  <si>
    <t>EBITDA</t>
  </si>
  <si>
    <t>Revenue growth</t>
  </si>
  <si>
    <t>Tax rate</t>
  </si>
  <si>
    <t>Growth Rates &amp; Margins</t>
  </si>
  <si>
    <t>Latest Closing Share Price</t>
  </si>
  <si>
    <t>Latest Closing Share Price Date</t>
  </si>
  <si>
    <t>Shares outstanding</t>
  </si>
  <si>
    <t>PROPERTY, PLANT &amp; EQUIPMENT</t>
  </si>
  <si>
    <t>Beginning of period</t>
  </si>
  <si>
    <t>Plus: Capital expenditures</t>
  </si>
  <si>
    <t>Less: Depreciation</t>
  </si>
  <si>
    <t>End of period</t>
  </si>
  <si>
    <t>IMPUTING TOTAL DEPRECIATION &amp; AMORTIZATION</t>
  </si>
  <si>
    <t>D&amp;A not related to PP&amp;E</t>
  </si>
  <si>
    <t>as % of revenue</t>
  </si>
  <si>
    <t xml:space="preserve">Depreciation &amp; Amortization - Total </t>
  </si>
  <si>
    <t>% growth</t>
  </si>
  <si>
    <t>INCOME STATEMENT</t>
  </si>
  <si>
    <t xml:space="preserve">Fiscal year  </t>
  </si>
  <si>
    <t>Fiscal year end date</t>
  </si>
  <si>
    <t>BALANCE SHEET</t>
  </si>
  <si>
    <t>CASH FLOW STATEMENT</t>
  </si>
  <si>
    <t>Discounted Cash Flow Valuation</t>
  </si>
  <si>
    <t>Most recent fiscal year end</t>
  </si>
  <si>
    <t>Discount rate (WACC)</t>
  </si>
  <si>
    <t>Link from WACC</t>
  </si>
  <si>
    <t>End of first fiscal year</t>
  </si>
  <si>
    <t>Share price (Public Co)</t>
  </si>
  <si>
    <t>Most recent quarter end date</t>
  </si>
  <si>
    <t>Share price date</t>
  </si>
  <si>
    <t xml:space="preserve">Valuation date </t>
  </si>
  <si>
    <t>Portion of First Year Cash Flows</t>
  </si>
  <si>
    <t>Unlevered Free Cash Flows</t>
  </si>
  <si>
    <t>LTM</t>
  </si>
  <si>
    <t>Actual</t>
  </si>
  <si>
    <t>Forecasts</t>
  </si>
  <si>
    <t>Fiscal year ended</t>
  </si>
  <si>
    <t>Revenue</t>
  </si>
  <si>
    <t>% margin</t>
  </si>
  <si>
    <t>EBIT</t>
  </si>
  <si>
    <t>Tax on EBIT</t>
  </si>
  <si>
    <t>NOPAT (aka EBIAT)</t>
  </si>
  <si>
    <t>Changes in net working capital</t>
  </si>
  <si>
    <t>Capital expenditures</t>
  </si>
  <si>
    <t>Unlevered free cash flows (UFCF)</t>
  </si>
  <si>
    <t>Net working capital (WC Assets - WC liabilities)</t>
  </si>
  <si>
    <t>Val date</t>
  </si>
  <si>
    <t xml:space="preserve">Yr 1 - Stub </t>
  </si>
  <si>
    <t>Year 2</t>
  </si>
  <si>
    <t>Year 3</t>
  </si>
  <si>
    <t>Year 4</t>
  </si>
  <si>
    <t>Year 5</t>
  </si>
  <si>
    <t>Date for discounting cash flows</t>
  </si>
  <si>
    <t>Unlevered free cash flows (UFCF) stub adjusted</t>
  </si>
  <si>
    <t>Present value of of unlevered free cash flows</t>
  </si>
  <si>
    <t>Terminal value - growth in perpetuity approach</t>
  </si>
  <si>
    <t>Terminal value - EBITDA multiple approach</t>
  </si>
  <si>
    <t>Long term growth rate</t>
  </si>
  <si>
    <t>Terminal year EBITDA</t>
  </si>
  <si>
    <t>EBITDA multiple</t>
  </si>
  <si>
    <t>Present value of terminal value</t>
  </si>
  <si>
    <t>Present value of stage 1 cash flows</t>
  </si>
  <si>
    <t>Total enterprise value (TEV)</t>
  </si>
  <si>
    <t>Enterprise value (stage 1 + 2)</t>
  </si>
  <si>
    <t>Terminal value as % of TEV</t>
  </si>
  <si>
    <t>Stage 1 cash flows as % of TEV</t>
  </si>
  <si>
    <t>Cash flows as % of TEV</t>
  </si>
  <si>
    <t>Implied TV exit EBITDA multiple</t>
  </si>
  <si>
    <t>Implied terminal growth rate</t>
  </si>
  <si>
    <t>Net debt</t>
  </si>
  <si>
    <t>Source doc</t>
  </si>
  <si>
    <t>Source date</t>
  </si>
  <si>
    <t>Date</t>
  </si>
  <si>
    <t>Shares</t>
  </si>
  <si>
    <t>Gross debt and equivalents</t>
  </si>
  <si>
    <t>Basic shares</t>
  </si>
  <si>
    <t>Debt</t>
  </si>
  <si>
    <t>Restricted stock / RSUs</t>
  </si>
  <si>
    <t>Convertible debt</t>
  </si>
  <si>
    <t>Options / warrants</t>
  </si>
  <si>
    <t>Preferred stock</t>
  </si>
  <si>
    <t>Noncontrolling (minority) interests</t>
  </si>
  <si>
    <t>Convertible preferred stock</t>
  </si>
  <si>
    <t>Nonoperating assets</t>
  </si>
  <si>
    <t>Net diluted shares outstanding</t>
  </si>
  <si>
    <t xml:space="preserve">Cash </t>
  </si>
  <si>
    <t xml:space="preserve">Equity investments </t>
  </si>
  <si>
    <t>Valuation</t>
  </si>
  <si>
    <t>Perpetuity</t>
  </si>
  <si>
    <t>Enterprise value</t>
  </si>
  <si>
    <t xml:space="preserve">Equity value </t>
  </si>
  <si>
    <t>Equity value per share</t>
  </si>
  <si>
    <t>Last twelve months (LTM)</t>
  </si>
  <si>
    <t>EV / Revenue</t>
  </si>
  <si>
    <t xml:space="preserve">EV / EBITDA </t>
  </si>
  <si>
    <t>EV / EBIT</t>
  </si>
  <si>
    <t>Year 1</t>
  </si>
  <si>
    <t>Outputs</t>
  </si>
  <si>
    <t>LTM EBITDA multiple</t>
  </si>
  <si>
    <t>Long term growth rate (g):</t>
  </si>
  <si>
    <t>WACC:</t>
  </si>
  <si>
    <t xml:space="preserve">Data </t>
  </si>
  <si>
    <t>Tables</t>
  </si>
  <si>
    <t>Exit EBITDA Multiple</t>
  </si>
  <si>
    <t>Equity value range</t>
  </si>
  <si>
    <t>Football field</t>
  </si>
  <si>
    <t>Low</t>
  </si>
  <si>
    <t>Diff.</t>
  </si>
  <si>
    <t>High</t>
  </si>
  <si>
    <t>52 Week Market High/Low</t>
  </si>
  <si>
    <t>WACC Buildup</t>
  </si>
  <si>
    <t>Cost of capital assumptions</t>
  </si>
  <si>
    <t>Cost of debt</t>
  </si>
  <si>
    <t>Cost of debt (after tax)</t>
  </si>
  <si>
    <t xml:space="preserve">Risk free rate </t>
  </si>
  <si>
    <t xml:space="preserve">Beta </t>
  </si>
  <si>
    <t>Market risk premium</t>
  </si>
  <si>
    <t>Cost of equity</t>
  </si>
  <si>
    <t>Capital weights (capital structure)</t>
  </si>
  <si>
    <t xml:space="preserve">Target </t>
  </si>
  <si>
    <t xml:space="preserve">Current </t>
  </si>
  <si>
    <t>(override)</t>
  </si>
  <si>
    <t>% of total</t>
  </si>
  <si>
    <t>Cost of capital (WACC)</t>
  </si>
  <si>
    <t>CapEx % of revenue</t>
  </si>
  <si>
    <t>EBITDA margin %</t>
  </si>
  <si>
    <t>Implied Share Price</t>
  </si>
  <si>
    <t>Upside / (Downside)</t>
  </si>
  <si>
    <t>Finance costs</t>
  </si>
  <si>
    <t>Changes in Working Capital</t>
  </si>
  <si>
    <t>Net change in cash and cash equivalents</t>
  </si>
  <si>
    <t>Cash and cash equivalents at 1 January</t>
  </si>
  <si>
    <t>Cash and cash equivalents at 31 December</t>
  </si>
  <si>
    <t>WORKING CAPITAL SCHEDULE</t>
  </si>
  <si>
    <t>Operating Working Capital Assets</t>
  </si>
  <si>
    <t>Total Operating WC Assets</t>
  </si>
  <si>
    <t>Net Working Capital</t>
  </si>
  <si>
    <t>NWC as % of revenue</t>
  </si>
  <si>
    <t>Change in NWC (− = cash used)</t>
  </si>
  <si>
    <t>Operating Working Capital Liabilities</t>
  </si>
  <si>
    <t>Total Operating WC Liabilities</t>
  </si>
  <si>
    <t>DEBT &amp; INTEREST SCHEDULE</t>
  </si>
  <si>
    <t>Average debt</t>
  </si>
  <si>
    <t>Effective interest rate</t>
  </si>
  <si>
    <t>EQUITY &amp; NCI ROLL-FORWARD</t>
  </si>
  <si>
    <t>Retained Earnings</t>
  </si>
  <si>
    <t>Less: Dividends &amp; distributions</t>
  </si>
  <si>
    <t>End of period (= BS)</t>
  </si>
  <si>
    <t>Debt securities (optional cash asset)</t>
  </si>
  <si>
    <t>Operating cash flow before working capital</t>
  </si>
  <si>
    <t>Net cash flow from financing activities</t>
  </si>
  <si>
    <t>Net cash flows used in investing activities</t>
  </si>
  <si>
    <t>Net cash flows from operating activities</t>
  </si>
  <si>
    <t>PP&amp;E depreciation as % of revenue</t>
  </si>
  <si>
    <t>Consolidated FS 2025</t>
  </si>
  <si>
    <t>12/31/2025</t>
  </si>
  <si>
    <t>Gross Margin % of Revenue</t>
  </si>
  <si>
    <t>Midyear adjustment?</t>
  </si>
  <si>
    <t>WC DRIVERS (DAYS)</t>
  </si>
  <si>
    <t>DIO (days, off COGS)</t>
  </si>
  <si>
    <t>DSO (days, off revenue)</t>
  </si>
  <si>
    <t>DPO (days, off COGS)</t>
  </si>
  <si>
    <t>Plus: Additions</t>
  </si>
  <si>
    <t>Additions % revenue</t>
  </si>
  <si>
    <t>LEASE SCHEDULE</t>
  </si>
  <si>
    <t>ROU — Beginning</t>
  </si>
  <si>
    <t>ROU — End</t>
  </si>
  <si>
    <t>Lease liab — Beginning</t>
  </si>
  <si>
    <t>Lease liab — End</t>
  </si>
  <si>
    <t>ST share of liability</t>
  </si>
  <si>
    <t>Retained earnings</t>
  </si>
  <si>
    <t>Depreciation of property, plant and equipment</t>
  </si>
  <si>
    <t>Paid to purchase property, plant and equipment</t>
  </si>
  <si>
    <t>Proceeds from short term borrowings</t>
  </si>
  <si>
    <t>Lease payments</t>
  </si>
  <si>
    <t>Paid dividends</t>
  </si>
  <si>
    <t>Dividend payout ratio % of Net Income</t>
  </si>
  <si>
    <t>Net income</t>
  </si>
  <si>
    <t>Total Debt</t>
  </si>
  <si>
    <t>Total</t>
  </si>
  <si>
    <t>Check vs IS (row 16)</t>
  </si>
  <si>
    <t>REVENUE BUILD BY SEGMENT (EGP)</t>
  </si>
  <si>
    <t>All amounts are shown in EGP, except per-share data, ratios, and shares outstanding</t>
  </si>
  <si>
    <t>Provisions</t>
  </si>
  <si>
    <t>Deferred tax liabilities</t>
  </si>
  <si>
    <t>Interest income</t>
  </si>
  <si>
    <t>Average earning assets</t>
  </si>
  <si>
    <t>Effective yield</t>
  </si>
  <si>
    <t>Finance income</t>
  </si>
  <si>
    <t>Net finance costs</t>
  </si>
  <si>
    <t>Interest-earning assets</t>
  </si>
  <si>
    <t>Non-controlling Interests</t>
  </si>
  <si>
    <t>Plus: NCI share of net income</t>
  </si>
  <si>
    <t>NCI % of total net income</t>
  </si>
  <si>
    <t>Plus: Net income to parent</t>
  </si>
  <si>
    <t>ROU</t>
  </si>
  <si>
    <t>Less: ROU Amortization</t>
  </si>
  <si>
    <t>ROU Amortization % revenue</t>
  </si>
  <si>
    <t>Additons</t>
  </si>
  <si>
    <t>Additons leases % revenue</t>
  </si>
  <si>
    <t>Less: Lease Cash Payments</t>
  </si>
  <si>
    <t>Lease Cash Payments % revenue</t>
  </si>
  <si>
    <t>Plus: Lease Interest Accrued</t>
  </si>
  <si>
    <t>Lease Interest Accrued % revenue</t>
  </si>
  <si>
    <t>Dividends paid to non-controlling interests</t>
  </si>
  <si>
    <t>Net Profit for the Year</t>
  </si>
  <si>
    <t>Net Profit Before Income Tax (EBT)</t>
  </si>
  <si>
    <t>Operating Profit (EBIT)</t>
  </si>
  <si>
    <t>Gross Profit</t>
  </si>
  <si>
    <t>Dividends payable</t>
  </si>
  <si>
    <t>Total Revenue</t>
  </si>
  <si>
    <t>Less: Dividends Paid to NCI</t>
  </si>
  <si>
    <t>NCI share % of net income</t>
  </si>
  <si>
    <t>Net change in working capital</t>
  </si>
  <si>
    <t>Lease Interest Accrued</t>
  </si>
  <si>
    <t>Share of profit/(loss) of joint venture</t>
  </si>
  <si>
    <t>Impairment / disposal adjustments on JV</t>
  </si>
  <si>
    <t>Sales (Net)</t>
  </si>
  <si>
    <t>Owners of the Parent Company</t>
  </si>
  <si>
    <t>Non-controlling interests</t>
  </si>
  <si>
    <t>General and administrative expenses</t>
  </si>
  <si>
    <t>Other income</t>
  </si>
  <si>
    <t>Gain on disposal of PP&amp;E</t>
  </si>
  <si>
    <t>Cost of Sales</t>
  </si>
  <si>
    <t>Provisions formed</t>
  </si>
  <si>
    <t>Expected credit losses on trade receivables</t>
  </si>
  <si>
    <t>Reversal of expected credit losses</t>
  </si>
  <si>
    <t>Bad debts</t>
  </si>
  <si>
    <t>Foreign currency exchange differences</t>
  </si>
  <si>
    <t>Income tax expense</t>
  </si>
  <si>
    <t>Property, plant and equipment (net)</t>
  </si>
  <si>
    <t>Assets under construction</t>
  </si>
  <si>
    <t>Intangible assets (net)</t>
  </si>
  <si>
    <t>Other assets (net)</t>
  </si>
  <si>
    <t>Right of use assets (net)</t>
  </si>
  <si>
    <t>Investment in a joint venture (net)</t>
  </si>
  <si>
    <t>Inventories</t>
  </si>
  <si>
    <t>Trade receivables (net)</t>
  </si>
  <si>
    <t>Debtors and other debit balances (net)</t>
  </si>
  <si>
    <t>Due from related parties</t>
  </si>
  <si>
    <t>Cash and bank balances</t>
  </si>
  <si>
    <t>Issued and paid-up capital</t>
  </si>
  <si>
    <t>Treasury shares</t>
  </si>
  <si>
    <t>Legal reserve</t>
  </si>
  <si>
    <t>Equity attributable to owners of Parent</t>
  </si>
  <si>
    <t>Borrowings</t>
  </si>
  <si>
    <t>Lease liabilities</t>
  </si>
  <si>
    <t>Creditors and other credit balances (NC)</t>
  </si>
  <si>
    <t>Trade and notes payable</t>
  </si>
  <si>
    <t>Credit facilities</t>
  </si>
  <si>
    <t>Current income tax liability</t>
  </si>
  <si>
    <t>Current portion of long term borrowings</t>
  </si>
  <si>
    <t>Creditors and other credit balances</t>
  </si>
  <si>
    <t>Local</t>
  </si>
  <si>
    <t>Export</t>
  </si>
  <si>
    <t>Sales</t>
  </si>
  <si>
    <t>Services</t>
  </si>
  <si>
    <t>Local %</t>
  </si>
  <si>
    <t>Export %</t>
  </si>
  <si>
    <t>Arabian Cement Company</t>
  </si>
  <si>
    <t>ARCC.CA</t>
  </si>
  <si>
    <t>x</t>
  </si>
  <si>
    <t>INTANGIBLE ASSETS</t>
  </si>
  <si>
    <t>Less: Amortization</t>
  </si>
  <si>
    <t>Amortization of right-of-use assets and intangible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</si>
</sst>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3" formatCode="_-* #,##0.00_-;\-* #,##0.00_-;_-* &quot;-&quot;??_-;_-@_-"/>
    <numFmt numFmtId="164" formatCode="&quot;$&quot;#,##0.00_);\(&quot;$&quot;#,##0.00\)"/>
    <numFmt numFmtId="165" formatCode="_(* #,##0_);_(* \(#,##0\);_(* &quot;-&quot;_);_(@_)"/>
    <numFmt numFmtId="166" formatCode="&quot;FY&quot;yy"/>
    <numFmt numFmtId="167" formatCode="0.0%"/>
    <numFmt numFmtId="168" formatCode="_(* #,##0.00_);_(* \(#,##0.00\);_(* \-??_);_(@_)"/>
    <numFmt numFmtId="169" formatCode="_(* #,##0_);_(* \(#,##0\);_(* \-??_);_(@_)"/>
    <numFmt numFmtId="170" formatCode="_(* #,##0_);_(* \(#,##0\);_(* \-_);_(@_)"/>
    <numFmt numFmtId="171" formatCode="_(* #,##0_);_(* \(#,##0\);_(* &quot;-&quot;??_);_(@_)"/>
    <numFmt numFmtId="172" formatCode="#,##0.000_);\(#,##0.000\)"/>
    <numFmt numFmtId="173" formatCode="m/d/yy;@"/>
    <numFmt numFmtId="174" formatCode="0\A;[Red]0\A"/>
    <numFmt numFmtId="175" formatCode="0\P_);\(0\P\)"/>
    <numFmt numFmtId="176" formatCode="0.0%_);\(0.0%\);@_)"/>
    <numFmt numFmtId="177" formatCode="_(#,##0.0%_);\(#,##0.0%\);_(&quot;–&quot;_)_%;_(@_)_%"/>
    <numFmt numFmtId="178" formatCode="0000\A"/>
    <numFmt numFmtId="179" formatCode="0000\P"/>
    <numFmt numFmtId="180" formatCode="#,##0_);\(#,##0\);@_)"/>
    <numFmt numFmtId="181" formatCode="0.0\x_);\(0.0\x\);@_)"/>
    <numFmt numFmtId="182" formatCode="0.000%_);\(0.000%\);@_)"/>
    <numFmt numFmtId="183" formatCode="#,##0.000_);\(#,##0.000\);@_)"/>
    <numFmt numFmtId="184" formatCode="_([$$]#,##0_)_%;\([$$]#,##0\)_%;_(&quot;–&quot;_)_%;_(@_)_%"/>
    <numFmt numFmtId="185" formatCode="&quot;$&quot;#,##0.00_);\(&quot;$&quot;#,##0.00\);@_)"/>
    <numFmt numFmtId="186" formatCode="_(0.0\x_)_';_(\(0.0\x\)_';_(&quot;–&quot;_)_%;_(@_)_%"/>
    <numFmt numFmtId="187" formatCode="_(0.0_)_'_x;_(\(0.0\)_';_(&quot;–&quot;_)_%;_(@_)_%"/>
    <numFmt numFmtId="188" formatCode="#,##0.00_);\(#,##0.00\);\-_);@_)"/>
    <numFmt numFmtId="189" formatCode="#,##0.0_);\(#,##0.0\);\-_);@_)"/>
    <numFmt numFmtId="190" formatCode="_(#,##0.00%_);\(#,##0.00%\);_(&quot;–&quot;_)_%;_(@_)_%"/>
    <numFmt numFmtId="191" formatCode="_(* #,##0.0_);_(* \(#,##0.0\);_(* \-??_);_(@_)"/>
    <numFmt numFmtId="192" formatCode="d/m/yy;@"/>
    <numFmt numFmtId="193" formatCode="[$-409]mmmmm/yy;@"/>
    <numFmt numFmtId="194" formatCode="[$EGP]\ #,##0.00_);[Red]\([$EGP]\ #,##0.00\)"/>
    <numFmt numFmtId="195" formatCode="&quot;EGP&quot;\ #,##0.00"/>
  </numFmts>
  <fonts count="4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11"/>
      <color theme="4" tint="-0.249977111117893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</font>
    <font>
      <i/>
      <sz val="11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10"/>
      <name val="Times New Roman"/>
      <family val="1"/>
    </font>
    <font>
      <sz val="11"/>
      <color rgb="FF008000"/>
      <name val="Calibri"/>
      <family val="2"/>
      <scheme val="minor"/>
    </font>
    <font>
      <u/>
      <sz val="11"/>
      <color theme="1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 val="singleAccounting"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</font>
    <font>
      <sz val="11"/>
      <color theme="4" tint="-0.249977111117893"/>
      <name val="Calibri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sz val="11"/>
      <color rgb="FF0000FF"/>
      <name val="Calibri"/>
      <family val="2"/>
    </font>
    <font>
      <b/>
      <i/>
      <sz val="11"/>
      <color theme="1"/>
      <name val="Calibri"/>
      <family val="2"/>
    </font>
    <font>
      <i/>
      <sz val="11"/>
      <name val="Calibri"/>
      <family val="2"/>
    </font>
    <font>
      <sz val="11"/>
      <color theme="4" tint="-0.249977111117893"/>
      <name val="Calibri"/>
      <family val="2"/>
      <scheme val="minor"/>
    </font>
    <font>
      <sz val="11"/>
      <color rgb="FF00000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D2F2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8" fontId="6" fillId="0" borderId="0"/>
    <xf numFmtId="9" fontId="6" fillId="0" borderId="0"/>
    <xf numFmtId="0" fontId="5" fillId="0" borderId="0"/>
    <xf numFmtId="37" fontId="21" fillId="0" borderId="0"/>
    <xf numFmtId="0" fontId="23" fillId="0" borderId="0" applyNumberFormat="0" applyFill="0" applyBorder="0" applyAlignment="0" applyProtection="0"/>
    <xf numFmtId="193" fontId="35" fillId="0" borderId="0"/>
  </cellStyleXfs>
  <cellXfs count="284">
    <xf numFmtId="0" fontId="0" fillId="0" borderId="0" xfId="0"/>
    <xf numFmtId="167" fontId="6" fillId="0" borderId="0" xfId="2" applyNumberFormat="1"/>
    <xf numFmtId="0" fontId="7" fillId="0" borderId="4" xfId="0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0" borderId="4" xfId="0" applyFont="1" applyBorder="1"/>
    <xf numFmtId="0" fontId="10" fillId="0" borderId="5" xfId="0" applyFont="1" applyBorder="1"/>
    <xf numFmtId="170" fontId="14" fillId="0" borderId="0" xfId="1" applyNumberFormat="1" applyFont="1"/>
    <xf numFmtId="0" fontId="15" fillId="0" borderId="1" xfId="0" applyFont="1" applyBorder="1"/>
    <xf numFmtId="169" fontId="15" fillId="0" borderId="1" xfId="1" applyNumberFormat="1" applyFont="1" applyBorder="1"/>
    <xf numFmtId="0" fontId="15" fillId="0" borderId="0" xfId="0" applyFont="1"/>
    <xf numFmtId="169" fontId="15" fillId="0" borderId="0" xfId="1" applyNumberFormat="1" applyFont="1"/>
    <xf numFmtId="167" fontId="11" fillId="0" borderId="0" xfId="2" applyNumberFormat="1" applyFont="1"/>
    <xf numFmtId="0" fontId="15" fillId="0" borderId="3" xfId="0" applyFont="1" applyBorder="1"/>
    <xf numFmtId="0" fontId="10" fillId="0" borderId="0" xfId="0" applyFont="1" applyAlignment="1">
      <alignment horizontal="left" indent="1"/>
    </xf>
    <xf numFmtId="169" fontId="10" fillId="0" borderId="0" xfId="0" applyNumberFormat="1" applyFont="1"/>
    <xf numFmtId="169" fontId="10" fillId="0" borderId="0" xfId="1" applyNumberFormat="1" applyFont="1"/>
    <xf numFmtId="0" fontId="17" fillId="0" borderId="2" xfId="0" applyFont="1" applyBorder="1"/>
    <xf numFmtId="169" fontId="15" fillId="0" borderId="2" xfId="1" applyNumberFormat="1" applyFont="1" applyBorder="1"/>
    <xf numFmtId="167" fontId="10" fillId="0" borderId="0" xfId="2" applyNumberFormat="1" applyFont="1"/>
    <xf numFmtId="1" fontId="10" fillId="0" borderId="0" xfId="2" applyNumberFormat="1" applyFont="1"/>
    <xf numFmtId="0" fontId="13" fillId="0" borderId="0" xfId="0" applyFont="1" applyAlignment="1">
      <alignment horizontal="left" indent="1"/>
    </xf>
    <xf numFmtId="169" fontId="15" fillId="0" borderId="0" xfId="0" applyNumberFormat="1" applyFont="1"/>
    <xf numFmtId="0" fontId="15" fillId="0" borderId="1" xfId="0" applyFont="1" applyBorder="1" applyAlignment="1">
      <alignment horizontal="left"/>
    </xf>
    <xf numFmtId="170" fontId="10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indent="2"/>
    </xf>
    <xf numFmtId="170" fontId="16" fillId="0" borderId="3" xfId="1" applyNumberFormat="1" applyFont="1" applyBorder="1"/>
    <xf numFmtId="0" fontId="18" fillId="0" borderId="0" xfId="0" applyFont="1"/>
    <xf numFmtId="0" fontId="12" fillId="0" borderId="0" xfId="0" applyFont="1"/>
    <xf numFmtId="0" fontId="18" fillId="0" borderId="0" xfId="0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0" fontId="13" fillId="0" borderId="0" xfId="0" applyFont="1"/>
    <xf numFmtId="170" fontId="13" fillId="0" borderId="0" xfId="0" applyNumberFormat="1" applyFont="1" applyAlignment="1">
      <alignment horizontal="center" vertical="center"/>
    </xf>
    <xf numFmtId="10" fontId="10" fillId="0" borderId="0" xfId="2" applyNumberFormat="1" applyFont="1"/>
    <xf numFmtId="0" fontId="15" fillId="0" borderId="3" xfId="0" applyFont="1" applyBorder="1" applyAlignment="1">
      <alignment horizontal="left"/>
    </xf>
    <xf numFmtId="0" fontId="7" fillId="0" borderId="6" xfId="0" applyFont="1" applyBorder="1"/>
    <xf numFmtId="0" fontId="0" fillId="0" borderId="6" xfId="0" applyBorder="1"/>
    <xf numFmtId="174" fontId="7" fillId="0" borderId="0" xfId="0" applyNumberFormat="1" applyFont="1"/>
    <xf numFmtId="175" fontId="7" fillId="0" borderId="0" xfId="0" applyNumberFormat="1" applyFont="1"/>
    <xf numFmtId="0" fontId="19" fillId="0" borderId="6" xfId="0" applyFont="1" applyBorder="1"/>
    <xf numFmtId="173" fontId="19" fillId="0" borderId="2" xfId="0" applyNumberFormat="1" applyFont="1" applyBorder="1"/>
    <xf numFmtId="0" fontId="16" fillId="0" borderId="0" xfId="0" applyFont="1"/>
    <xf numFmtId="173" fontId="19" fillId="0" borderId="6" xfId="0" applyNumberFormat="1" applyFont="1" applyBorder="1"/>
    <xf numFmtId="166" fontId="16" fillId="0" borderId="0" xfId="0" applyNumberFormat="1" applyFont="1" applyAlignment="1">
      <alignment horizontal="center" vertical="center"/>
    </xf>
    <xf numFmtId="0" fontId="0" fillId="0" borderId="3" xfId="0" applyBorder="1"/>
    <xf numFmtId="174" fontId="7" fillId="0" borderId="3" xfId="0" applyNumberFormat="1" applyFont="1" applyBorder="1"/>
    <xf numFmtId="175" fontId="7" fillId="0" borderId="3" xfId="0" applyNumberFormat="1" applyFont="1" applyBorder="1"/>
    <xf numFmtId="0" fontId="5" fillId="0" borderId="0" xfId="3"/>
    <xf numFmtId="0" fontId="7" fillId="0" borderId="4" xfId="3" applyFont="1" applyBorder="1"/>
    <xf numFmtId="0" fontId="5" fillId="0" borderId="4" xfId="3" applyBorder="1"/>
    <xf numFmtId="0" fontId="20" fillId="0" borderId="5" xfId="3" applyFont="1" applyBorder="1"/>
    <xf numFmtId="14" fontId="9" fillId="0" borderId="0" xfId="4" applyNumberFormat="1" applyFont="1" applyAlignment="1">
      <alignment horizontal="right"/>
    </xf>
    <xf numFmtId="176" fontId="22" fillId="0" borderId="0" xfId="3" applyNumberFormat="1" applyFont="1"/>
    <xf numFmtId="14" fontId="8" fillId="0" borderId="0" xfId="4" applyNumberFormat="1" applyFont="1" applyAlignment="1">
      <alignment horizontal="right"/>
    </xf>
    <xf numFmtId="14" fontId="9" fillId="0" borderId="0" xfId="3" applyNumberFormat="1" applyFont="1" applyAlignment="1">
      <alignment horizontal="right"/>
    </xf>
    <xf numFmtId="0" fontId="23" fillId="0" borderId="0" xfId="5" applyBorder="1"/>
    <xf numFmtId="177" fontId="8" fillId="0" borderId="0" xfId="3" applyNumberFormat="1" applyFont="1"/>
    <xf numFmtId="164" fontId="22" fillId="0" borderId="0" xfId="3" applyNumberFormat="1" applyFont="1" applyAlignment="1">
      <alignment horizontal="right"/>
    </xf>
    <xf numFmtId="0" fontId="7" fillId="0" borderId="7" xfId="3" applyFont="1" applyBorder="1"/>
    <xf numFmtId="0" fontId="5" fillId="0" borderId="7" xfId="3" applyBorder="1"/>
    <xf numFmtId="164" fontId="22" fillId="0" borderId="7" xfId="3" applyNumberFormat="1" applyFont="1" applyBorder="1" applyAlignment="1">
      <alignment horizontal="right"/>
    </xf>
    <xf numFmtId="0" fontId="24" fillId="0" borderId="0" xfId="3" applyFont="1" applyAlignment="1">
      <alignment horizontal="centerContinuous"/>
    </xf>
    <xf numFmtId="0" fontId="25" fillId="0" borderId="8" xfId="3" applyFont="1" applyBorder="1" applyAlignment="1">
      <alignment horizontal="centerContinuous"/>
    </xf>
    <xf numFmtId="0" fontId="19" fillId="0" borderId="0" xfId="3" applyFont="1"/>
    <xf numFmtId="14" fontId="5" fillId="0" borderId="0" xfId="3" applyNumberFormat="1" applyAlignment="1">
      <alignment horizontal="center"/>
    </xf>
    <xf numFmtId="180" fontId="8" fillId="0" borderId="0" xfId="3" applyNumberFormat="1" applyFont="1"/>
    <xf numFmtId="180" fontId="22" fillId="0" borderId="0" xfId="3" applyNumberFormat="1" applyFont="1"/>
    <xf numFmtId="0" fontId="5" fillId="0" borderId="0" xfId="3" applyAlignment="1">
      <alignment horizontal="left" indent="1"/>
    </xf>
    <xf numFmtId="0" fontId="7" fillId="0" borderId="0" xfId="3" applyFont="1"/>
    <xf numFmtId="180" fontId="26" fillId="0" borderId="0" xfId="3" applyNumberFormat="1" applyFont="1"/>
    <xf numFmtId="180" fontId="5" fillId="0" borderId="0" xfId="3" applyNumberFormat="1"/>
    <xf numFmtId="37" fontId="8" fillId="0" borderId="0" xfId="3" applyNumberFormat="1" applyFont="1"/>
    <xf numFmtId="180" fontId="22" fillId="0" borderId="7" xfId="3" applyNumberFormat="1" applyFont="1" applyBorder="1"/>
    <xf numFmtId="180" fontId="25" fillId="0" borderId="7" xfId="3" applyNumberFormat="1" applyFont="1" applyBorder="1" applyAlignment="1">
      <alignment horizontal="center"/>
    </xf>
    <xf numFmtId="180" fontId="25" fillId="0" borderId="0" xfId="3" applyNumberFormat="1" applyFont="1"/>
    <xf numFmtId="14" fontId="5" fillId="0" borderId="0" xfId="3" applyNumberFormat="1"/>
    <xf numFmtId="177" fontId="5" fillId="0" borderId="0" xfId="3" applyNumberFormat="1" applyAlignment="1">
      <alignment horizontal="center"/>
    </xf>
    <xf numFmtId="180" fontId="8" fillId="0" borderId="7" xfId="3" applyNumberFormat="1" applyFont="1" applyBorder="1"/>
    <xf numFmtId="0" fontId="26" fillId="0" borderId="0" xfId="3" applyFont="1"/>
    <xf numFmtId="177" fontId="9" fillId="0" borderId="0" xfId="3" applyNumberFormat="1" applyFont="1"/>
    <xf numFmtId="179" fontId="5" fillId="0" borderId="0" xfId="3" applyNumberFormat="1"/>
    <xf numFmtId="181" fontId="9" fillId="0" borderId="0" xfId="3" applyNumberFormat="1" applyFont="1"/>
    <xf numFmtId="180" fontId="7" fillId="0" borderId="0" xfId="3" applyNumberFormat="1" applyFont="1"/>
    <xf numFmtId="0" fontId="19" fillId="0" borderId="0" xfId="3" applyFont="1" applyAlignment="1">
      <alignment horizontal="left"/>
    </xf>
    <xf numFmtId="177" fontId="19" fillId="0" borderId="0" xfId="3" applyNumberFormat="1" applyFont="1"/>
    <xf numFmtId="182" fontId="19" fillId="0" borderId="0" xfId="3" applyNumberFormat="1" applyFont="1"/>
    <xf numFmtId="177" fontId="5" fillId="0" borderId="0" xfId="3" applyNumberFormat="1"/>
    <xf numFmtId="181" fontId="19" fillId="0" borderId="0" xfId="3" applyNumberFormat="1" applyFont="1"/>
    <xf numFmtId="176" fontId="5" fillId="0" borderId="0" xfId="3" quotePrefix="1" applyNumberFormat="1"/>
    <xf numFmtId="0" fontId="5" fillId="0" borderId="0" xfId="3" applyAlignment="1">
      <alignment horizontal="left"/>
    </xf>
    <xf numFmtId="0" fontId="27" fillId="0" borderId="0" xfId="3" applyFont="1"/>
    <xf numFmtId="0" fontId="27" fillId="0" borderId="0" xfId="3" applyFont="1" applyAlignment="1">
      <alignment horizontal="right"/>
    </xf>
    <xf numFmtId="0" fontId="27" fillId="0" borderId="0" xfId="3" applyFont="1" applyAlignment="1">
      <alignment horizontal="left" vertical="center"/>
    </xf>
    <xf numFmtId="14" fontId="8" fillId="0" borderId="0" xfId="3" applyNumberFormat="1" applyFont="1"/>
    <xf numFmtId="183" fontId="9" fillId="0" borderId="0" xfId="3" applyNumberFormat="1" applyFont="1"/>
    <xf numFmtId="172" fontId="9" fillId="0" borderId="0" xfId="3" applyNumberFormat="1" applyFont="1"/>
    <xf numFmtId="37" fontId="22" fillId="0" borderId="0" xfId="3" applyNumberFormat="1" applyFont="1"/>
    <xf numFmtId="0" fontId="8" fillId="0" borderId="0" xfId="3" applyFont="1" applyAlignment="1">
      <alignment horizontal="left" indent="1"/>
    </xf>
    <xf numFmtId="0" fontId="7" fillId="0" borderId="0" xfId="3" applyFont="1" applyAlignment="1">
      <alignment horizontal="left"/>
    </xf>
    <xf numFmtId="184" fontId="9" fillId="0" borderId="0" xfId="3" applyNumberFormat="1" applyFont="1"/>
    <xf numFmtId="0" fontId="5" fillId="0" borderId="0" xfId="3" applyAlignment="1">
      <alignment horizontal="left" vertical="center" indent="1"/>
    </xf>
    <xf numFmtId="172" fontId="5" fillId="0" borderId="0" xfId="3" applyNumberFormat="1"/>
    <xf numFmtId="183" fontId="28" fillId="0" borderId="0" xfId="3" applyNumberFormat="1" applyFont="1"/>
    <xf numFmtId="0" fontId="7" fillId="0" borderId="0" xfId="3" applyFont="1" applyAlignment="1">
      <alignment vertical="center"/>
    </xf>
    <xf numFmtId="0" fontId="24" fillId="0" borderId="0" xfId="3" applyFont="1" applyAlignment="1">
      <alignment horizontal="right"/>
    </xf>
    <xf numFmtId="180" fontId="5" fillId="0" borderId="0" xfId="3" applyNumberFormat="1" applyAlignment="1">
      <alignment horizontal="right"/>
    </xf>
    <xf numFmtId="37" fontId="19" fillId="0" borderId="7" xfId="3" applyNumberFormat="1" applyFont="1" applyBorder="1" applyAlignment="1">
      <alignment horizontal="right"/>
    </xf>
    <xf numFmtId="37" fontId="5" fillId="0" borderId="0" xfId="3" applyNumberFormat="1" applyAlignment="1">
      <alignment horizontal="right"/>
    </xf>
    <xf numFmtId="187" fontId="5" fillId="0" borderId="0" xfId="3" applyNumberFormat="1" applyAlignment="1">
      <alignment horizontal="right"/>
    </xf>
    <xf numFmtId="0" fontId="8" fillId="2" borderId="0" xfId="3" applyFont="1" applyFill="1"/>
    <xf numFmtId="0" fontId="29" fillId="0" borderId="0" xfId="3" applyFont="1" applyAlignment="1">
      <alignment horizontal="centerContinuous"/>
    </xf>
    <xf numFmtId="0" fontId="24" fillId="0" borderId="9" xfId="3" applyFont="1" applyBorder="1" applyAlignment="1">
      <alignment horizontal="centerContinuous"/>
    </xf>
    <xf numFmtId="0" fontId="5" fillId="0" borderId="0" xfId="3" applyAlignment="1">
      <alignment horizontal="centerContinuous"/>
    </xf>
    <xf numFmtId="0" fontId="5" fillId="0" borderId="9" xfId="3" applyBorder="1" applyAlignment="1">
      <alignment horizontal="centerContinuous"/>
    </xf>
    <xf numFmtId="0" fontId="5" fillId="0" borderId="0" xfId="3" applyAlignment="1">
      <alignment horizontal="right"/>
    </xf>
    <xf numFmtId="167" fontId="9" fillId="3" borderId="11" xfId="3" applyNumberFormat="1" applyFont="1" applyFill="1" applyBorder="1"/>
    <xf numFmtId="181" fontId="5" fillId="0" borderId="12" xfId="3" applyNumberFormat="1" applyBorder="1" applyAlignment="1">
      <alignment horizontal="right"/>
    </xf>
    <xf numFmtId="188" fontId="5" fillId="0" borderId="0" xfId="3" applyNumberFormat="1"/>
    <xf numFmtId="188" fontId="5" fillId="0" borderId="9" xfId="3" applyNumberFormat="1" applyBorder="1"/>
    <xf numFmtId="181" fontId="5" fillId="0" borderId="0" xfId="3" applyNumberFormat="1" applyAlignment="1">
      <alignment horizontal="right"/>
    </xf>
    <xf numFmtId="167" fontId="9" fillId="3" borderId="14" xfId="3" applyNumberFormat="1" applyFont="1" applyFill="1" applyBorder="1" applyAlignment="1">
      <alignment horizontal="right"/>
    </xf>
    <xf numFmtId="0" fontId="26" fillId="2" borderId="0" xfId="3" applyFont="1" applyFill="1" applyAlignment="1">
      <alignment horizontal="center"/>
    </xf>
    <xf numFmtId="189" fontId="5" fillId="0" borderId="0" xfId="3" applyNumberFormat="1"/>
    <xf numFmtId="181" fontId="9" fillId="3" borderId="11" xfId="3" applyNumberFormat="1" applyFont="1" applyFill="1" applyBorder="1"/>
    <xf numFmtId="0" fontId="5" fillId="0" borderId="9" xfId="3" applyBorder="1"/>
    <xf numFmtId="0" fontId="7" fillId="4" borderId="0" xfId="3" applyFont="1" applyFill="1"/>
    <xf numFmtId="0" fontId="7" fillId="4" borderId="9" xfId="3" applyFont="1" applyFill="1" applyBorder="1"/>
    <xf numFmtId="190" fontId="5" fillId="0" borderId="0" xfId="3" applyNumberFormat="1"/>
    <xf numFmtId="0" fontId="5" fillId="0" borderId="10" xfId="3" applyBorder="1"/>
    <xf numFmtId="0" fontId="5" fillId="0" borderId="11" xfId="3" applyBorder="1" applyAlignment="1">
      <alignment horizontal="right"/>
    </xf>
    <xf numFmtId="0" fontId="5" fillId="0" borderId="13" xfId="3" applyBorder="1" applyAlignment="1">
      <alignment horizontal="right"/>
    </xf>
    <xf numFmtId="0" fontId="5" fillId="0" borderId="11" xfId="3" applyBorder="1"/>
    <xf numFmtId="0" fontId="5" fillId="0" borderId="15" xfId="3" applyBorder="1"/>
    <xf numFmtId="177" fontId="8" fillId="0" borderId="0" xfId="0" applyNumberFormat="1" applyFont="1"/>
    <xf numFmtId="0" fontId="26" fillId="0" borderId="7" xfId="3" applyFont="1" applyBorder="1"/>
    <xf numFmtId="0" fontId="8" fillId="0" borderId="7" xfId="3" applyFont="1" applyBorder="1"/>
    <xf numFmtId="0" fontId="26" fillId="0" borderId="7" xfId="3" applyFont="1" applyBorder="1" applyAlignment="1">
      <alignment horizontal="right"/>
    </xf>
    <xf numFmtId="0" fontId="27" fillId="0" borderId="0" xfId="3" applyFont="1" applyAlignment="1">
      <alignment horizontal="left"/>
    </xf>
    <xf numFmtId="0" fontId="7" fillId="0" borderId="6" xfId="3" applyFont="1" applyBorder="1"/>
    <xf numFmtId="0" fontId="7" fillId="0" borderId="10" xfId="3" applyFont="1" applyBorder="1"/>
    <xf numFmtId="190" fontId="8" fillId="0" borderId="0" xfId="3" applyNumberFormat="1" applyFont="1"/>
    <xf numFmtId="10" fontId="9" fillId="0" borderId="7" xfId="3" applyNumberFormat="1" applyFont="1" applyBorder="1"/>
    <xf numFmtId="10" fontId="8" fillId="0" borderId="0" xfId="3" applyNumberFormat="1" applyFont="1"/>
    <xf numFmtId="167" fontId="8" fillId="0" borderId="0" xfId="3" applyNumberFormat="1" applyFont="1"/>
    <xf numFmtId="0" fontId="5" fillId="0" borderId="6" xfId="3" applyBorder="1"/>
    <xf numFmtId="167" fontId="25" fillId="0" borderId="0" xfId="3" applyNumberFormat="1" applyFont="1" applyAlignment="1">
      <alignment horizontal="right"/>
    </xf>
    <xf numFmtId="9" fontId="9" fillId="0" borderId="0" xfId="3" applyNumberFormat="1" applyFont="1"/>
    <xf numFmtId="176" fontId="5" fillId="0" borderId="0" xfId="3" applyNumberFormat="1"/>
    <xf numFmtId="9" fontId="8" fillId="0" borderId="0" xfId="3" applyNumberFormat="1" applyFont="1"/>
    <xf numFmtId="0" fontId="7" fillId="0" borderId="11" xfId="3" applyFont="1" applyBorder="1"/>
    <xf numFmtId="176" fontId="7" fillId="0" borderId="13" xfId="3" applyNumberFormat="1" applyFont="1" applyBorder="1"/>
    <xf numFmtId="180" fontId="8" fillId="0" borderId="0" xfId="0" applyNumberFormat="1" applyFont="1"/>
    <xf numFmtId="14" fontId="0" fillId="0" borderId="0" xfId="0" applyNumberFormat="1"/>
    <xf numFmtId="39" fontId="9" fillId="0" borderId="0" xfId="3" applyNumberFormat="1" applyFont="1"/>
    <xf numFmtId="170" fontId="16" fillId="0" borderId="0" xfId="1" applyNumberFormat="1" applyFont="1"/>
    <xf numFmtId="170" fontId="15" fillId="0" borderId="0" xfId="0" applyNumberFormat="1" applyFont="1"/>
    <xf numFmtId="185" fontId="0" fillId="0" borderId="6" xfId="0" applyNumberFormat="1" applyBorder="1" applyAlignment="1">
      <alignment horizontal="right"/>
    </xf>
    <xf numFmtId="185" fontId="0" fillId="0" borderId="12" xfId="0" applyNumberFormat="1" applyBorder="1"/>
    <xf numFmtId="181" fontId="30" fillId="3" borderId="11" xfId="3" applyNumberFormat="1" applyFont="1" applyFill="1" applyBorder="1"/>
    <xf numFmtId="0" fontId="0" fillId="0" borderId="16" xfId="0" quotePrefix="1" applyBorder="1"/>
    <xf numFmtId="39" fontId="0" fillId="0" borderId="0" xfId="0" applyNumberFormat="1"/>
    <xf numFmtId="39" fontId="0" fillId="0" borderId="17" xfId="0" applyNumberFormat="1" applyBorder="1"/>
    <xf numFmtId="0" fontId="0" fillId="0" borderId="16" xfId="0" applyBorder="1"/>
    <xf numFmtId="0" fontId="0" fillId="0" borderId="18" xfId="0" applyBorder="1"/>
    <xf numFmtId="39" fontId="0" fillId="0" borderId="6" xfId="0" applyNumberFormat="1" applyBorder="1"/>
    <xf numFmtId="39" fontId="8" fillId="0" borderId="6" xfId="0" applyNumberFormat="1" applyFont="1" applyBorder="1"/>
    <xf numFmtId="39" fontId="0" fillId="0" borderId="12" xfId="0" applyNumberFormat="1" applyBorder="1"/>
    <xf numFmtId="0" fontId="0" fillId="0" borderId="9" xfId="0" applyBorder="1"/>
    <xf numFmtId="39" fontId="8" fillId="0" borderId="0" xfId="0" applyNumberFormat="1" applyFont="1"/>
    <xf numFmtId="39" fontId="8" fillId="0" borderId="17" xfId="0" applyNumberFormat="1" applyFont="1" applyBorder="1"/>
    <xf numFmtId="0" fontId="0" fillId="0" borderId="19" xfId="0" applyBorder="1"/>
    <xf numFmtId="39" fontId="8" fillId="0" borderId="12" xfId="0" applyNumberFormat="1" applyFont="1" applyBorder="1"/>
    <xf numFmtId="178" fontId="7" fillId="0" borderId="20" xfId="3" applyNumberFormat="1" applyFont="1" applyBorder="1"/>
    <xf numFmtId="180" fontId="22" fillId="0" borderId="21" xfId="3" applyNumberFormat="1" applyFont="1" applyBorder="1"/>
    <xf numFmtId="9" fontId="6" fillId="0" borderId="21" xfId="2" applyBorder="1"/>
    <xf numFmtId="180" fontId="8" fillId="0" borderId="21" xfId="3" applyNumberFormat="1" applyFont="1" applyBorder="1"/>
    <xf numFmtId="176" fontId="22" fillId="0" borderId="21" xfId="3" applyNumberFormat="1" applyFont="1" applyBorder="1"/>
    <xf numFmtId="180" fontId="26" fillId="0" borderId="22" xfId="3" applyNumberFormat="1" applyFont="1" applyBorder="1"/>
    <xf numFmtId="179" fontId="7" fillId="0" borderId="23" xfId="3" applyNumberFormat="1" applyFont="1" applyBorder="1"/>
    <xf numFmtId="179" fontId="7" fillId="0" borderId="20" xfId="3" applyNumberFormat="1" applyFont="1" applyBorder="1"/>
    <xf numFmtId="14" fontId="20" fillId="0" borderId="5" xfId="3" applyNumberFormat="1" applyFont="1" applyBorder="1"/>
    <xf numFmtId="169" fontId="6" fillId="0" borderId="0" xfId="1" applyNumberFormat="1"/>
    <xf numFmtId="170" fontId="10" fillId="0" borderId="0" xfId="0" applyNumberFormat="1" applyFont="1" applyAlignment="1">
      <alignment horizontal="center" vertical="center"/>
    </xf>
    <xf numFmtId="170" fontId="0" fillId="0" borderId="0" xfId="0" applyNumberFormat="1"/>
    <xf numFmtId="169" fontId="32" fillId="0" borderId="0" xfId="1" applyNumberFormat="1" applyFont="1"/>
    <xf numFmtId="180" fontId="9" fillId="0" borderId="0" xfId="3" applyNumberFormat="1" applyFont="1"/>
    <xf numFmtId="3" fontId="7" fillId="0" borderId="0" xfId="3" applyNumberFormat="1" applyFont="1"/>
    <xf numFmtId="14" fontId="9" fillId="0" borderId="0" xfId="3" applyNumberFormat="1" applyFont="1" applyAlignment="1">
      <alignment horizontal="left" vertical="center"/>
    </xf>
    <xf numFmtId="0" fontId="9" fillId="0" borderId="0" xfId="3" applyFont="1" applyAlignment="1">
      <alignment horizontal="left" vertical="center"/>
    </xf>
    <xf numFmtId="167" fontId="8" fillId="3" borderId="14" xfId="0" applyNumberFormat="1" applyFont="1" applyFill="1" applyBorder="1" applyAlignment="1">
      <alignment horizontal="right"/>
    </xf>
    <xf numFmtId="167" fontId="8" fillId="3" borderId="24" xfId="0" applyNumberFormat="1" applyFont="1" applyFill="1" applyBorder="1" applyAlignment="1">
      <alignment horizontal="right"/>
    </xf>
    <xf numFmtId="167" fontId="8" fillId="3" borderId="10" xfId="0" applyNumberFormat="1" applyFont="1" applyFill="1" applyBorder="1"/>
    <xf numFmtId="167" fontId="8" fillId="3" borderId="11" xfId="0" applyNumberFormat="1" applyFont="1" applyFill="1" applyBorder="1"/>
    <xf numFmtId="191" fontId="6" fillId="0" borderId="0" xfId="1" applyNumberFormat="1"/>
    <xf numFmtId="0" fontId="15" fillId="0" borderId="0" xfId="0" applyFont="1" applyAlignment="1">
      <alignment horizontal="left"/>
    </xf>
    <xf numFmtId="171" fontId="14" fillId="0" borderId="0" xfId="0" applyNumberFormat="1" applyFont="1"/>
    <xf numFmtId="165" fontId="15" fillId="0" borderId="0" xfId="0" applyNumberFormat="1" applyFont="1" applyAlignment="1">
      <alignment horizontal="center" vertical="center"/>
    </xf>
    <xf numFmtId="165" fontId="13" fillId="0" borderId="0" xfId="1" applyNumberFormat="1" applyFont="1"/>
    <xf numFmtId="165" fontId="10" fillId="0" borderId="0" xfId="0" applyNumberFormat="1" applyFont="1" applyAlignment="1">
      <alignment horizontal="center" vertical="center"/>
    </xf>
    <xf numFmtId="165" fontId="10" fillId="0" borderId="0" xfId="0" applyNumberFormat="1" applyFont="1"/>
    <xf numFmtId="165" fontId="16" fillId="0" borderId="0" xfId="1" applyNumberFormat="1" applyFont="1"/>
    <xf numFmtId="165" fontId="15" fillId="0" borderId="0" xfId="1" applyNumberFormat="1" applyFont="1"/>
    <xf numFmtId="165" fontId="13" fillId="0" borderId="0" xfId="0" applyNumberFormat="1" applyFont="1"/>
    <xf numFmtId="165" fontId="16" fillId="0" borderId="0" xfId="0" applyNumberFormat="1" applyFont="1" applyAlignment="1">
      <alignment horizontal="center" vertical="center"/>
    </xf>
    <xf numFmtId="9" fontId="6" fillId="0" borderId="0" xfId="2"/>
    <xf numFmtId="9" fontId="32" fillId="0" borderId="0" xfId="2" applyFont="1"/>
    <xf numFmtId="167" fontId="13" fillId="0" borderId="3" xfId="2" applyNumberFormat="1" applyFont="1" applyBorder="1"/>
    <xf numFmtId="167" fontId="8" fillId="0" borderId="0" xfId="0" applyNumberFormat="1" applyFont="1"/>
    <xf numFmtId="167" fontId="32" fillId="0" borderId="0" xfId="2" applyNumberFormat="1" applyFont="1"/>
    <xf numFmtId="170" fontId="15" fillId="0" borderId="0" xfId="0" applyNumberFormat="1" applyFont="1" applyAlignment="1">
      <alignment horizontal="center" vertical="center"/>
    </xf>
    <xf numFmtId="0" fontId="4" fillId="0" borderId="0" xfId="3" applyFont="1"/>
    <xf numFmtId="37" fontId="4" fillId="0" borderId="0" xfId="3" applyNumberFormat="1" applyFont="1" applyAlignment="1">
      <alignment horizontal="right"/>
    </xf>
    <xf numFmtId="169" fontId="15" fillId="0" borderId="0" xfId="0" applyNumberFormat="1" applyFont="1" applyAlignment="1">
      <alignment horizontal="center" vertical="center"/>
    </xf>
    <xf numFmtId="169" fontId="16" fillId="0" borderId="0" xfId="0" applyNumberFormat="1" applyFont="1" applyAlignment="1">
      <alignment horizontal="center" vertical="center"/>
    </xf>
    <xf numFmtId="169" fontId="16" fillId="0" borderId="0" xfId="1" applyNumberFormat="1" applyFont="1"/>
    <xf numFmtId="176" fontId="0" fillId="0" borderId="0" xfId="0" quotePrefix="1" applyNumberFormat="1"/>
    <xf numFmtId="167" fontId="8" fillId="3" borderId="25" xfId="0" applyNumberFormat="1" applyFont="1" applyFill="1" applyBorder="1"/>
    <xf numFmtId="181" fontId="8" fillId="0" borderId="0" xfId="3" applyNumberFormat="1" applyFont="1"/>
    <xf numFmtId="181" fontId="30" fillId="3" borderId="25" xfId="3" applyNumberFormat="1" applyFont="1" applyFill="1" applyBorder="1"/>
    <xf numFmtId="0" fontId="7" fillId="0" borderId="0" xfId="0" applyFont="1"/>
    <xf numFmtId="165" fontId="19" fillId="0" borderId="0" xfId="0" applyNumberFormat="1" applyFont="1"/>
    <xf numFmtId="169" fontId="13" fillId="0" borderId="0" xfId="1" applyNumberFormat="1" applyFont="1"/>
    <xf numFmtId="171" fontId="10" fillId="0" borderId="0" xfId="0" applyNumberFormat="1" applyFont="1"/>
    <xf numFmtId="167" fontId="10" fillId="0" borderId="0" xfId="2" applyNumberFormat="1" applyFont="1" applyAlignment="1">
      <alignment horizontal="left"/>
    </xf>
    <xf numFmtId="0" fontId="10" fillId="0" borderId="0" xfId="0" applyFont="1" applyAlignment="1">
      <alignment horizontal="left"/>
    </xf>
    <xf numFmtId="171" fontId="15" fillId="0" borderId="0" xfId="1" applyNumberFormat="1" applyFont="1"/>
    <xf numFmtId="0" fontId="17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192" fontId="19" fillId="0" borderId="2" xfId="0" applyNumberFormat="1" applyFont="1" applyBorder="1"/>
    <xf numFmtId="192" fontId="3" fillId="0" borderId="2" xfId="0" applyNumberFormat="1" applyFont="1" applyBorder="1" applyAlignment="1">
      <alignment horizontal="center"/>
    </xf>
    <xf numFmtId="170" fontId="15" fillId="0" borderId="3" xfId="0" applyNumberFormat="1" applyFont="1" applyBorder="1" applyAlignment="1">
      <alignment horizontal="center" vertical="center"/>
    </xf>
    <xf numFmtId="14" fontId="20" fillId="0" borderId="0" xfId="0" applyNumberFormat="1" applyFont="1" applyAlignment="1">
      <alignment horizontal="left"/>
    </xf>
    <xf numFmtId="170" fontId="13" fillId="0" borderId="0" xfId="1" applyNumberFormat="1" applyFont="1"/>
    <xf numFmtId="170" fontId="14" fillId="0" borderId="0" xfId="0" applyNumberFormat="1" applyFont="1"/>
    <xf numFmtId="186" fontId="0" fillId="0" borderId="0" xfId="0" applyNumberFormat="1" applyAlignment="1">
      <alignment horizontal="right"/>
    </xf>
    <xf numFmtId="187" fontId="0" fillId="0" borderId="0" xfId="0" applyNumberFormat="1" applyAlignment="1">
      <alignment horizontal="right"/>
    </xf>
    <xf numFmtId="169" fontId="14" fillId="0" borderId="0" xfId="1" applyNumberFormat="1" applyFont="1"/>
    <xf numFmtId="1" fontId="10" fillId="0" borderId="0" xfId="0" applyNumberFormat="1" applyFont="1"/>
    <xf numFmtId="1" fontId="10" fillId="0" borderId="0" xfId="0" applyNumberFormat="1" applyFont="1" applyAlignment="1">
      <alignment horizontal="center" vertical="center"/>
    </xf>
    <xf numFmtId="0" fontId="19" fillId="0" borderId="0" xfId="0" applyFont="1"/>
    <xf numFmtId="173" fontId="19" fillId="0" borderId="0" xfId="0" applyNumberFormat="1" applyFont="1"/>
    <xf numFmtId="1" fontId="10" fillId="0" borderId="0" xfId="0" applyNumberFormat="1" applyFont="1" applyAlignment="1">
      <alignment horizontal="right" vertical="center"/>
    </xf>
    <xf numFmtId="0" fontId="36" fillId="0" borderId="0" xfId="0" applyFont="1" applyAlignment="1">
      <alignment horizontal="center"/>
    </xf>
    <xf numFmtId="167" fontId="14" fillId="0" borderId="0" xfId="2" applyNumberFormat="1" applyFont="1"/>
    <xf numFmtId="169" fontId="37" fillId="0" borderId="0" xfId="1" applyNumberFormat="1" applyFont="1" applyAlignment="1">
      <alignment horizontal="center" vertical="center"/>
    </xf>
    <xf numFmtId="0" fontId="10" fillId="0" borderId="6" xfId="0" applyFont="1" applyBorder="1"/>
    <xf numFmtId="192" fontId="2" fillId="0" borderId="2" xfId="0" applyNumberFormat="1" applyFont="1" applyBorder="1"/>
    <xf numFmtId="173" fontId="2" fillId="0" borderId="6" xfId="0" applyNumberFormat="1" applyFont="1" applyBorder="1"/>
    <xf numFmtId="0" fontId="13" fillId="0" borderId="0" xfId="0" applyFont="1" applyAlignment="1">
      <alignment horizontal="center" vertical="center"/>
    </xf>
    <xf numFmtId="173" fontId="2" fillId="0" borderId="2" xfId="0" applyNumberFormat="1" applyFont="1" applyBorder="1"/>
    <xf numFmtId="165" fontId="2" fillId="0" borderId="0" xfId="0" applyNumberFormat="1" applyFont="1"/>
    <xf numFmtId="165" fontId="13" fillId="0" borderId="0" xfId="0" applyNumberFormat="1" applyFont="1" applyAlignment="1">
      <alignment horizontal="center" vertical="center"/>
    </xf>
    <xf numFmtId="9" fontId="10" fillId="0" borderId="0" xfId="2" applyFont="1"/>
    <xf numFmtId="173" fontId="2" fillId="0" borderId="0" xfId="0" applyNumberFormat="1" applyFont="1"/>
    <xf numFmtId="194" fontId="9" fillId="0" borderId="0" xfId="0" applyNumberFormat="1" applyFont="1" applyAlignment="1">
      <alignment horizontal="center"/>
    </xf>
    <xf numFmtId="195" fontId="30" fillId="0" borderId="0" xfId="0" applyNumberFormat="1" applyFont="1" applyAlignment="1">
      <alignment horizontal="right" vertical="center"/>
    </xf>
    <xf numFmtId="195" fontId="9" fillId="0" borderId="0" xfId="0" applyNumberFormat="1" applyFont="1" applyAlignment="1">
      <alignment horizontal="right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65" fontId="16" fillId="0" borderId="3" xfId="1" applyNumberFormat="1" applyFont="1" applyBorder="1"/>
    <xf numFmtId="0" fontId="15" fillId="0" borderId="0" xfId="0" applyFont="1" applyAlignment="1">
      <alignment horizontal="left" indent="1"/>
    </xf>
    <xf numFmtId="43" fontId="13" fillId="0" borderId="0" xfId="0" applyNumberFormat="1" applyFont="1"/>
    <xf numFmtId="1" fontId="14" fillId="0" borderId="0" xfId="0" applyNumberFormat="1" applyFont="1" applyAlignment="1">
      <alignment horizontal="right" vertical="center"/>
    </xf>
    <xf numFmtId="10" fontId="6" fillId="0" borderId="0" xfId="2" applyNumberFormat="1"/>
    <xf numFmtId="10" fontId="32" fillId="0" borderId="0" xfId="2" applyNumberFormat="1" applyFont="1"/>
    <xf numFmtId="190" fontId="40" fillId="0" borderId="7" xfId="3" applyNumberFormat="1" applyFont="1" applyBorder="1"/>
    <xf numFmtId="9" fontId="5" fillId="0" borderId="0" xfId="3" applyNumberFormat="1"/>
    <xf numFmtId="169" fontId="10" fillId="0" borderId="0" xfId="0" applyNumberFormat="1" applyFont="1" applyAlignment="1">
      <alignment horizontal="center" vertical="center"/>
    </xf>
    <xf numFmtId="165" fontId="14" fillId="0" borderId="0" xfId="1" applyNumberFormat="1" applyFont="1"/>
    <xf numFmtId="169" fontId="0" fillId="0" borderId="0" xfId="0" applyNumberFormat="1"/>
    <xf numFmtId="169" fontId="6" fillId="0" borderId="0" xfId="1" applyNumberFormat="1" applyAlignment="1">
      <alignment vertical="center"/>
    </xf>
    <xf numFmtId="194" fontId="9" fillId="0" borderId="0" xfId="0" applyNumberFormat="1" applyFont="1" applyAlignment="1">
      <alignment horizontal="right" vertical="center"/>
    </xf>
    <xf numFmtId="169" fontId="41" fillId="0" borderId="0" xfId="1" applyNumberFormat="1" applyFont="1"/>
    <xf numFmtId="10" fontId="9" fillId="0" borderId="0" xfId="3" applyNumberFormat="1" applyFont="1" applyAlignment="1">
      <alignment vertical="center"/>
    </xf>
    <xf numFmtId="181" fontId="9" fillId="0" borderId="0" xfId="3" applyNumberFormat="1" applyFont="1" applyAlignment="1">
      <alignment vertical="center"/>
    </xf>
    <xf numFmtId="190" fontId="22" fillId="0" borderId="7" xfId="3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192" fontId="1" fillId="0" borderId="2" xfId="0" applyNumberFormat="1" applyFont="1" applyBorder="1"/>
    <xf numFmtId="173" fontId="1" fillId="0" borderId="0" xfId="0" applyNumberFormat="1" applyFont="1"/>
  </cellXfs>
  <cellStyles count="7">
    <cellStyle name="Comma" xfId="1" builtinId="3"/>
    <cellStyle name="Hyperlink" xfId="5" builtinId="8"/>
    <cellStyle name="Normal" xfId="0" builtinId="0"/>
    <cellStyle name="Normal 15" xfId="6" xr:uid="{6DDD7A4B-57F6-404C-BA97-B891B271587B}"/>
    <cellStyle name="Normal 2" xfId="3" xr:uid="{937EC6E3-AE83-4BBC-ACEF-6FAAD38BC45D}"/>
    <cellStyle name="Normal_DCF_Model" xfId="4" xr:uid="{EB47B55B-6DFA-4D8F-B164-61C0BEC4F72F}"/>
    <cellStyle name="Percent" xfId="2" builtinId="5"/>
  </cellStyles>
  <dxfs count="2">
    <dxf>
      <font>
        <b/>
        <i val="0"/>
      </font>
      <fill>
        <patternFill patternType="solid">
          <bgColor theme="2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F4F"/>
      <rgbColor rgb="FF222A3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DCF Equity Valuation Range </a:t>
            </a:r>
          </a:p>
        </c:rich>
      </c:tx>
      <c:layout>
        <c:manualLayout>
          <c:xMode val="edge"/>
          <c:yMode val="edge"/>
          <c:x val="0.31291626892699836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DCF!$B$128:$B$130</c:f>
              <c:strCache>
                <c:ptCount val="3"/>
                <c:pt idx="0">
                  <c:v>DCF Value at 5.4x-7.4x Exit EBITDA Range at 21.5% WACC</c:v>
                </c:pt>
                <c:pt idx="1">
                  <c:v>DCF Value at 9.0%-11.0% Perpetuity Range at 21.5%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DCF!$C$128:$C$130</c:f>
              <c:numCache>
                <c:formatCode>#,##0.00_);\(#,##0.00\)</c:formatCode>
                <c:ptCount val="3"/>
                <c:pt idx="0">
                  <c:v>71.091790453088436</c:v>
                </c:pt>
                <c:pt idx="1">
                  <c:v>75.8772481041822</c:v>
                </c:pt>
                <c:pt idx="2">
                  <c:v>30.5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83-4E91-8D66-944AAAC33F38}"/>
            </c:ext>
          </c:extLst>
        </c:ser>
        <c:ser>
          <c:idx val="1"/>
          <c:order val="1"/>
          <c:invertIfNegative val="0"/>
          <c:cat>
            <c:strRef>
              <c:f>DCF!$B$128:$B$130</c:f>
              <c:strCache>
                <c:ptCount val="3"/>
                <c:pt idx="0">
                  <c:v>DCF Value at 5.4x-7.4x Exit EBITDA Range at 21.5% WACC</c:v>
                </c:pt>
                <c:pt idx="1">
                  <c:v>DCF Value at 9.0%-11.0% Perpetuity Range at 21.5%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DCF!$D$128:$D$130</c:f>
              <c:numCache>
                <c:formatCode>#,##0.00_);\(#,##0.00\)</c:formatCode>
                <c:ptCount val="3"/>
                <c:pt idx="0">
                  <c:v>6.9914374236398942</c:v>
                </c:pt>
                <c:pt idx="1">
                  <c:v>4.1100779488175334</c:v>
                </c:pt>
                <c:pt idx="2">
                  <c:v>29.9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83-4E91-8D66-944AAAC33F38}"/>
            </c:ext>
          </c:extLst>
        </c:ser>
        <c:ser>
          <c:idx val="2"/>
          <c:order val="2"/>
          <c:spPr>
            <a:noFill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DCF!$B$128:$B$130</c:f>
              <c:strCache>
                <c:ptCount val="3"/>
                <c:pt idx="0">
                  <c:v>DCF Value at 5.4x-7.4x Exit EBITDA Range at 21.5% WACC</c:v>
                </c:pt>
                <c:pt idx="1">
                  <c:v>DCF Value at 9.0%-11.0% Perpetuity Range at 21.5%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DCF!$E$128:$E$130</c:f>
              <c:numCache>
                <c:formatCode>#,##0.00_);\(#,##0.00\)</c:formatCode>
                <c:ptCount val="3"/>
                <c:pt idx="0">
                  <c:v>78.08322787672833</c:v>
                </c:pt>
                <c:pt idx="1">
                  <c:v>79.987326052999734</c:v>
                </c:pt>
                <c:pt idx="2">
                  <c:v>60.4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83-4E91-8D66-944AAAC33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639680"/>
        <c:axId val="99641216"/>
      </c:barChart>
      <c:catAx>
        <c:axId val="9963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9641216"/>
        <c:crosses val="autoZero"/>
        <c:auto val="1"/>
        <c:lblAlgn val="ctr"/>
        <c:lblOffset val="100"/>
        <c:noMultiLvlLbl val="0"/>
      </c:catAx>
      <c:valAx>
        <c:axId val="99641216"/>
        <c:scaling>
          <c:orientation val="minMax"/>
          <c:max val="400"/>
          <c:min val="100"/>
        </c:scaling>
        <c:delete val="0"/>
        <c:axPos val="l"/>
        <c:numFmt formatCode="#,##0.00_);\(#,##0.00\)" sourceLinked="1"/>
        <c:majorTickMark val="out"/>
        <c:minorTickMark val="none"/>
        <c:tickLblPos val="nextTo"/>
        <c:crossAx val="99639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LTM EBITDA Multiple Range</a:t>
            </a:r>
          </a:p>
        </c:rich>
      </c:tx>
      <c:layout>
        <c:manualLayout>
          <c:xMode val="edge"/>
          <c:yMode val="edge"/>
          <c:x val="0.31291626892699836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numFmt formatCode="#,##0.0\x;\-#,##0.0\x" sourceLinked="0"/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DCF!$G$128:$G$130</c:f>
              <c:strCache>
                <c:ptCount val="3"/>
                <c:pt idx="0">
                  <c:v>LTM EBITDA Purchase Multiple at 9.0%-11.0% Perpetuity Growth at 21.5% WACC</c:v>
                </c:pt>
                <c:pt idx="1">
                  <c:v>LTM EBITDA Purchase Multiple at 5.5x-6.1x Exit EBITDA Multiple at 21.5% WACC</c:v>
                </c:pt>
                <c:pt idx="2">
                  <c:v>LTM EBITDA Purchase Multiple at 19.5%-23.5% WACC at 6.4x Exit EBITDA</c:v>
                </c:pt>
              </c:strCache>
            </c:strRef>
          </c:cat>
          <c:val>
            <c:numRef>
              <c:f>DCF!$O$128:$O$130</c:f>
              <c:numCache>
                <c:formatCode>#,##0.00_);\(#,##0.00\)</c:formatCode>
                <c:ptCount val="3"/>
                <c:pt idx="0">
                  <c:v>5.8672520692128138</c:v>
                </c:pt>
                <c:pt idx="1">
                  <c:v>5.4646542374602767</c:v>
                </c:pt>
                <c:pt idx="2">
                  <c:v>4.9103553529256851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D5-4FE9-8BD7-0E0161403D7A}"/>
            </c:ext>
          </c:extLst>
        </c:ser>
        <c:ser>
          <c:idx val="1"/>
          <c:order val="1"/>
          <c:spPr>
            <a:solidFill>
              <a:schemeClr val="tx2"/>
            </a:solidFill>
          </c:spPr>
          <c:invertIfNegative val="0"/>
          <c:cat>
            <c:strRef>
              <c:f>DCF!$G$128:$G$130</c:f>
              <c:strCache>
                <c:ptCount val="3"/>
                <c:pt idx="0">
                  <c:v>LTM EBITDA Purchase Multiple at 9.0%-11.0% Perpetuity Growth at 21.5% WACC</c:v>
                </c:pt>
                <c:pt idx="1">
                  <c:v>LTM EBITDA Purchase Multiple at 5.5x-6.1x Exit EBITDA Multiple at 21.5% WACC</c:v>
                </c:pt>
                <c:pt idx="2">
                  <c:v>LTM EBITDA Purchase Multiple at 19.5%-23.5% WACC at 6.4x Exit EBITDA</c:v>
                </c:pt>
              </c:strCache>
            </c:strRef>
          </c:cat>
          <c:val>
            <c:numRef>
              <c:f>DCF!$P$128:$P$130</c:f>
              <c:numCache>
                <c:formatCode>#,##0.00_);\(#,##0.00\)</c:formatCode>
                <c:ptCount val="3"/>
                <c:pt idx="0">
                  <c:v>0.3457785213394704</c:v>
                </c:pt>
                <c:pt idx="1">
                  <c:v>0.58818565596283801</c:v>
                </c:pt>
                <c:pt idx="2">
                  <c:v>0.54132123157405676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D5-4FE9-8BD7-0E0161403D7A}"/>
            </c:ext>
          </c:extLst>
        </c:ser>
        <c:ser>
          <c:idx val="2"/>
          <c:order val="2"/>
          <c:spPr>
            <a:noFill/>
          </c:spPr>
          <c:invertIfNegative val="0"/>
          <c:dLbls>
            <c:numFmt formatCode="#,##0.0\x;\-#,##0.0\x" sourceLinked="0"/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DCF!$G$128:$G$130</c:f>
              <c:strCache>
                <c:ptCount val="3"/>
                <c:pt idx="0">
                  <c:v>LTM EBITDA Purchase Multiple at 9.0%-11.0% Perpetuity Growth at 21.5% WACC</c:v>
                </c:pt>
                <c:pt idx="1">
                  <c:v>LTM EBITDA Purchase Multiple at 5.5x-6.1x Exit EBITDA Multiple at 21.5% WACC</c:v>
                </c:pt>
                <c:pt idx="2">
                  <c:v>LTM EBITDA Purchase Multiple at 19.5%-23.5% WACC at 6.4x Exit EBITDA</c:v>
                </c:pt>
              </c:strCache>
            </c:strRef>
          </c:cat>
          <c:val>
            <c:numRef>
              <c:f>DCF!$Q$128:$Q$130</c:f>
              <c:numCache>
                <c:formatCode>#,##0.00_);\(#,##0.00\)</c:formatCode>
                <c:ptCount val="3"/>
                <c:pt idx="0">
                  <c:v>6.2130305905522842</c:v>
                </c:pt>
                <c:pt idx="1">
                  <c:v>6.0528398934231147</c:v>
                </c:pt>
                <c:pt idx="2">
                  <c:v>5.4516765844997419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D5-4FE9-8BD7-0E0161403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639680"/>
        <c:axId val="99641216"/>
      </c:barChart>
      <c:catAx>
        <c:axId val="9963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9641216"/>
        <c:crosses val="autoZero"/>
        <c:auto val="1"/>
        <c:lblAlgn val="ctr"/>
        <c:lblOffset val="100"/>
        <c:noMultiLvlLbl val="0"/>
      </c:catAx>
      <c:valAx>
        <c:axId val="99641216"/>
        <c:scaling>
          <c:orientation val="minMax"/>
          <c:max val="20"/>
          <c:min val="10"/>
        </c:scaling>
        <c:delete val="0"/>
        <c:axPos val="l"/>
        <c:numFmt formatCode="#,##0.0\x;\-#,##0.0\x" sourceLinked="0"/>
        <c:majorTickMark val="out"/>
        <c:minorTickMark val="none"/>
        <c:tickLblPos val="nextTo"/>
        <c:crossAx val="99639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53578</xdr:colOff>
      <xdr:row>106</xdr:row>
      <xdr:rowOff>149424</xdr:rowOff>
    </xdr:from>
    <xdr:to>
      <xdr:col>4</xdr:col>
      <xdr:colOff>654844</xdr:colOff>
      <xdr:row>125</xdr:row>
      <xdr:rowOff>53578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529BCA-2888-434E-AC7E-5B03FCA5B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47228</xdr:colOff>
      <xdr:row>106</xdr:row>
      <xdr:rowOff>149424</xdr:rowOff>
    </xdr:from>
    <xdr:to>
      <xdr:col>16</xdr:col>
      <xdr:colOff>1121</xdr:colOff>
      <xdr:row>125</xdr:row>
      <xdr:rowOff>47228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A38233F-A324-4062-8E99-2AF6A530E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0973C-64E9-46C3-8015-F083BA56F634}">
  <dimension ref="A1:L285"/>
  <sheetViews>
    <sheetView showGridLines="0" tabSelected="1" zoomScaleNormal="100" workbookViewId="0">
      <selection activeCell="D5" sqref="D5"/>
    </sheetView>
  </sheetViews>
  <sheetFormatPr defaultColWidth="9.140625" defaultRowHeight="15" x14ac:dyDescent="0.25"/>
  <cols>
    <col min="1" max="2" width="1.7109375" style="6" customWidth="1"/>
    <col min="3" max="3" width="66.42578125" style="6" bestFit="1" customWidth="1"/>
    <col min="4" max="4" width="17.140625" style="28" customWidth="1"/>
    <col min="5" max="11" width="17.140625" style="6" customWidth="1"/>
    <col min="12" max="12" width="2.7109375" style="6" customWidth="1"/>
    <col min="13" max="16384" width="9.140625" style="6"/>
  </cols>
  <sheetData>
    <row r="1" spans="1:11" ht="15" customHeight="1" thickBot="1" x14ac:dyDescent="0.3"/>
    <row r="2" spans="1:11" ht="15.75" thickBot="1" x14ac:dyDescent="0.3">
      <c r="C2" s="2" t="str">
        <f>Company_Name&amp;" - Financial Statement Model"</f>
        <v>Arabian Cement Company - Financial Statement Model</v>
      </c>
      <c r="D2" s="8"/>
      <c r="E2" s="8"/>
      <c r="F2" s="8"/>
      <c r="G2" s="8"/>
      <c r="H2" s="8"/>
      <c r="I2" s="8"/>
      <c r="J2" s="8"/>
      <c r="K2" s="8"/>
    </row>
    <row r="3" spans="1:11" x14ac:dyDescent="0.25">
      <c r="C3" s="235" t="s">
        <v>206</v>
      </c>
      <c r="D3" s="9"/>
      <c r="E3" s="9"/>
      <c r="F3" s="9"/>
      <c r="G3" s="9"/>
      <c r="H3" s="9"/>
    </row>
    <row r="4" spans="1:11" ht="15" customHeight="1" x14ac:dyDescent="0.25"/>
    <row r="5" spans="1:11" x14ac:dyDescent="0.25">
      <c r="C5" s="3" t="s">
        <v>0</v>
      </c>
      <c r="D5" s="281" t="s">
        <v>283</v>
      </c>
    </row>
    <row r="6" spans="1:11" x14ac:dyDescent="0.25">
      <c r="C6" s="3" t="s">
        <v>1</v>
      </c>
      <c r="D6" s="4" t="s">
        <v>284</v>
      </c>
    </row>
    <row r="7" spans="1:11" x14ac:dyDescent="0.25">
      <c r="C7" s="6" t="s">
        <v>28</v>
      </c>
      <c r="D7" s="258">
        <v>56.11</v>
      </c>
    </row>
    <row r="8" spans="1:11" x14ac:dyDescent="0.25">
      <c r="C8" s="6" t="s">
        <v>29</v>
      </c>
      <c r="D8" s="5">
        <v>46189</v>
      </c>
    </row>
    <row r="9" spans="1:11" x14ac:dyDescent="0.25">
      <c r="C9" s="3" t="s">
        <v>2</v>
      </c>
      <c r="D9" s="5">
        <v>46022</v>
      </c>
    </row>
    <row r="10" spans="1:11" ht="15" customHeight="1" x14ac:dyDescent="0.25">
      <c r="C10" s="6" t="s">
        <v>30</v>
      </c>
      <c r="D10" s="248">
        <v>378739700</v>
      </c>
    </row>
    <row r="11" spans="1:11" ht="15" customHeight="1" x14ac:dyDescent="0.25"/>
    <row r="12" spans="1:11" customFormat="1" x14ac:dyDescent="0.25">
      <c r="A12" t="s">
        <v>285</v>
      </c>
      <c r="C12" s="39" t="s">
        <v>41</v>
      </c>
      <c r="D12" s="249"/>
      <c r="E12" s="40"/>
      <c r="F12" s="40"/>
      <c r="G12" s="40"/>
      <c r="H12" s="40"/>
      <c r="I12" s="40"/>
      <c r="J12" s="40"/>
      <c r="K12" s="40"/>
    </row>
    <row r="13" spans="1:11" customFormat="1" x14ac:dyDescent="0.25">
      <c r="C13" t="s">
        <v>42</v>
      </c>
      <c r="D13" s="41">
        <f>E13-1</f>
        <v>2023</v>
      </c>
      <c r="E13" s="41">
        <f>F13-1</f>
        <v>2024</v>
      </c>
      <c r="F13" s="41">
        <f>YEAR(D9)</f>
        <v>2025</v>
      </c>
      <c r="G13" s="42">
        <f>F13+1</f>
        <v>2026</v>
      </c>
      <c r="H13" s="42">
        <f>G13+1</f>
        <v>2027</v>
      </c>
      <c r="I13" s="42">
        <f>H13+1</f>
        <v>2028</v>
      </c>
      <c r="J13" s="42">
        <f>I13+1</f>
        <v>2029</v>
      </c>
      <c r="K13" s="42">
        <f>J13+1</f>
        <v>2030</v>
      </c>
    </row>
    <row r="14" spans="1:11" customFormat="1" x14ac:dyDescent="0.25">
      <c r="C14" s="43" t="s">
        <v>43</v>
      </c>
      <c r="D14" s="250">
        <f>EOMONTH(E14,-12)</f>
        <v>45291</v>
      </c>
      <c r="E14" s="232">
        <f>EOMONTH(F14,-12)</f>
        <v>45657</v>
      </c>
      <c r="F14" s="232">
        <f>D9</f>
        <v>46022</v>
      </c>
      <c r="G14" s="232">
        <f>EOMONTH(F14,12)</f>
        <v>46387</v>
      </c>
      <c r="H14" s="232">
        <f>EOMONTH(G14,12)</f>
        <v>46752</v>
      </c>
      <c r="I14" s="232">
        <f>EOMONTH(H14,12)</f>
        <v>47118</v>
      </c>
      <c r="J14" s="232">
        <f>EOMONTH(I14,12)</f>
        <v>47483</v>
      </c>
      <c r="K14" s="232">
        <f>EOMONTH(J14,12)</f>
        <v>47848</v>
      </c>
    </row>
    <row r="15" spans="1:11" ht="15" customHeight="1" x14ac:dyDescent="0.25"/>
    <row r="16" spans="1:11" ht="15" customHeight="1" x14ac:dyDescent="0.25">
      <c r="C16" s="280" t="s">
        <v>241</v>
      </c>
      <c r="D16" s="10">
        <v>6042831338</v>
      </c>
      <c r="E16" s="10">
        <v>8729782821</v>
      </c>
      <c r="F16" s="10">
        <v>12447320081</v>
      </c>
      <c r="G16" s="236">
        <f>G174</f>
        <v>14181664378.970001</v>
      </c>
      <c r="H16" s="236">
        <f t="shared" ref="H16:K16" si="0">H174</f>
        <v>15835695632.436199</v>
      </c>
      <c r="I16" s="236">
        <f t="shared" si="0"/>
        <v>17544432793.315929</v>
      </c>
      <c r="J16" s="236">
        <f t="shared" si="0"/>
        <v>19150855573.205475</v>
      </c>
      <c r="K16" s="236">
        <f t="shared" si="0"/>
        <v>20775316549.194115</v>
      </c>
    </row>
    <row r="17" spans="3:11" ht="15" customHeight="1" x14ac:dyDescent="0.25">
      <c r="C17" s="6" t="s">
        <v>247</v>
      </c>
      <c r="D17" s="10">
        <v>-4759815212</v>
      </c>
      <c r="E17" s="10">
        <v>-6642972487</v>
      </c>
      <c r="F17" s="10">
        <v>-7389054416</v>
      </c>
      <c r="G17" s="236">
        <f>G18-G16</f>
        <v>-10126941396.203959</v>
      </c>
      <c r="H17" s="236">
        <f t="shared" ref="H17:K17" si="1">H18-H16</f>
        <v>-11308063521.487148</v>
      </c>
      <c r="I17" s="236">
        <f t="shared" si="1"/>
        <v>-12528250421.087276</v>
      </c>
      <c r="J17" s="236">
        <f t="shared" si="1"/>
        <v>-13675375956.901855</v>
      </c>
      <c r="K17" s="236">
        <f t="shared" si="1"/>
        <v>-14835382333.068264</v>
      </c>
    </row>
    <row r="18" spans="3:11" s="13" customFormat="1" ht="15" customHeight="1" x14ac:dyDescent="0.25">
      <c r="C18" s="13" t="s">
        <v>232</v>
      </c>
      <c r="D18" s="14">
        <f>SUM(D16:D17)</f>
        <v>1283016126</v>
      </c>
      <c r="E18" s="14">
        <f t="shared" ref="E18:F18" si="2">SUM(E16:E17)</f>
        <v>2086810334</v>
      </c>
      <c r="F18" s="14">
        <f t="shared" si="2"/>
        <v>5058265665</v>
      </c>
      <c r="G18" s="14">
        <f>G16*G43</f>
        <v>4054722982.7660422</v>
      </c>
      <c r="H18" s="14">
        <f t="shared" ref="H18:K18" si="3">H16*H43</f>
        <v>4527632110.9490499</v>
      </c>
      <c r="I18" s="14">
        <f t="shared" si="3"/>
        <v>5016182372.228653</v>
      </c>
      <c r="J18" s="14">
        <f t="shared" si="3"/>
        <v>5475479616.3036203</v>
      </c>
      <c r="K18" s="14">
        <f t="shared" si="3"/>
        <v>5939934216.1258507</v>
      </c>
    </row>
    <row r="19" spans="3:11" s="15" customFormat="1" ht="15" customHeight="1" x14ac:dyDescent="0.25">
      <c r="C19" s="227" t="s">
        <v>244</v>
      </c>
      <c r="D19" s="240">
        <v>-183940276</v>
      </c>
      <c r="E19" s="188">
        <v>-267798104</v>
      </c>
      <c r="F19" s="188">
        <v>-384332833</v>
      </c>
      <c r="G19" s="225">
        <f>G$16*G44</f>
        <v>-434869151.86228347</v>
      </c>
      <c r="H19" s="225">
        <f t="shared" ref="H19:K19" si="4">H$16*H44</f>
        <v>-485588668.91806614</v>
      </c>
      <c r="I19" s="225">
        <f t="shared" si="4"/>
        <v>-537985697.93034792</v>
      </c>
      <c r="J19" s="225">
        <f t="shared" si="4"/>
        <v>-587245340.03968656</v>
      </c>
      <c r="K19" s="225">
        <f t="shared" si="4"/>
        <v>-637058108.69532609</v>
      </c>
    </row>
    <row r="20" spans="3:11" s="15" customFormat="1" ht="15" customHeight="1" x14ac:dyDescent="0.25">
      <c r="C20" s="227" t="s">
        <v>245</v>
      </c>
      <c r="D20" s="240">
        <v>14913053</v>
      </c>
      <c r="E20" s="188">
        <v>18292936</v>
      </c>
      <c r="F20" s="188">
        <v>53339508</v>
      </c>
      <c r="G20" s="225">
        <f t="shared" ref="G20:K20" si="5">G$16*G45</f>
        <v>41829172.640174456</v>
      </c>
      <c r="H20" s="225">
        <f t="shared" si="5"/>
        <v>46707779.057914734</v>
      </c>
      <c r="I20" s="225">
        <f t="shared" si="5"/>
        <v>51747741.913410753</v>
      </c>
      <c r="J20" s="225">
        <f t="shared" si="5"/>
        <v>56485925.951438956</v>
      </c>
      <c r="K20" s="225">
        <f t="shared" si="5"/>
        <v>61277314.098560669</v>
      </c>
    </row>
    <row r="21" spans="3:11" s="15" customFormat="1" ht="15" customHeight="1" x14ac:dyDescent="0.25">
      <c r="C21" s="227" t="s">
        <v>246</v>
      </c>
      <c r="D21" s="240">
        <v>87675</v>
      </c>
      <c r="E21" s="188">
        <v>0</v>
      </c>
      <c r="F21" s="188">
        <v>1140000</v>
      </c>
      <c r="G21" s="225">
        <v>0</v>
      </c>
      <c r="H21" s="225">
        <v>0</v>
      </c>
      <c r="I21" s="225">
        <v>0</v>
      </c>
      <c r="J21" s="225">
        <v>0</v>
      </c>
      <c r="K21" s="225">
        <v>0</v>
      </c>
    </row>
    <row r="22" spans="3:11" s="15" customFormat="1" ht="15" customHeight="1" x14ac:dyDescent="0.25">
      <c r="C22" s="227" t="s">
        <v>248</v>
      </c>
      <c r="D22" s="240">
        <v>-15220195</v>
      </c>
      <c r="E22" s="188">
        <v>-56052950</v>
      </c>
      <c r="F22" s="188">
        <v>-74505707</v>
      </c>
      <c r="G22" s="225">
        <f>G16*G46</f>
        <v>-70555145.702393532</v>
      </c>
      <c r="H22" s="225">
        <f t="shared" ref="H22:K22" si="6">H16*H46</f>
        <v>-78784110.439260051</v>
      </c>
      <c r="I22" s="225">
        <f t="shared" si="6"/>
        <v>-87285242.332618237</v>
      </c>
      <c r="J22" s="225">
        <f t="shared" si="6"/>
        <v>-95277350.329675689</v>
      </c>
      <c r="K22" s="225">
        <f t="shared" si="6"/>
        <v>-103359200.08905177</v>
      </c>
    </row>
    <row r="23" spans="3:11" s="15" customFormat="1" ht="15" customHeight="1" x14ac:dyDescent="0.25">
      <c r="C23" s="227" t="s">
        <v>249</v>
      </c>
      <c r="D23" s="240">
        <v>-4745753</v>
      </c>
      <c r="E23" s="188">
        <v>0</v>
      </c>
      <c r="F23" s="188">
        <v>-3603563</v>
      </c>
      <c r="G23" s="225">
        <f>G16*G47</f>
        <v>-5081090.283654849</v>
      </c>
      <c r="H23" s="225">
        <f t="shared" ref="H23:K23" si="7">H16*H47</f>
        <v>-5673706.3480507368</v>
      </c>
      <c r="I23" s="225">
        <f t="shared" si="7"/>
        <v>-6285922.7673266632</v>
      </c>
      <c r="J23" s="225">
        <f t="shared" si="7"/>
        <v>-6861481.3872614698</v>
      </c>
      <c r="K23" s="225">
        <f t="shared" si="7"/>
        <v>-7443502.8383904546</v>
      </c>
    </row>
    <row r="24" spans="3:11" s="15" customFormat="1" ht="15" customHeight="1" x14ac:dyDescent="0.25">
      <c r="C24" s="227" t="s">
        <v>250</v>
      </c>
      <c r="D24" s="240">
        <v>0</v>
      </c>
      <c r="E24" s="188">
        <v>1106452</v>
      </c>
      <c r="F24" s="188">
        <v>0</v>
      </c>
      <c r="G24" s="225">
        <v>0</v>
      </c>
      <c r="H24" s="225">
        <v>0</v>
      </c>
      <c r="I24" s="225">
        <v>0</v>
      </c>
      <c r="J24" s="225">
        <v>0</v>
      </c>
      <c r="K24" s="225">
        <v>0</v>
      </c>
    </row>
    <row r="25" spans="3:11" ht="15" customHeight="1" x14ac:dyDescent="0.25">
      <c r="C25" s="228" t="s">
        <v>251</v>
      </c>
      <c r="D25" s="240">
        <v>0</v>
      </c>
      <c r="E25" s="188">
        <v>0</v>
      </c>
      <c r="F25" s="188">
        <v>0</v>
      </c>
      <c r="G25" s="225">
        <v>0</v>
      </c>
      <c r="H25" s="225">
        <v>0</v>
      </c>
      <c r="I25" s="225">
        <v>0</v>
      </c>
      <c r="J25" s="225">
        <v>0</v>
      </c>
      <c r="K25" s="225">
        <v>0</v>
      </c>
    </row>
    <row r="26" spans="3:11" ht="15" customHeight="1" x14ac:dyDescent="0.25">
      <c r="C26" s="228" t="s">
        <v>239</v>
      </c>
      <c r="D26" s="240">
        <v>-1789276</v>
      </c>
      <c r="E26" s="188">
        <v>0</v>
      </c>
      <c r="F26" s="188">
        <v>0</v>
      </c>
      <c r="G26" s="225">
        <v>0</v>
      </c>
      <c r="H26" s="225">
        <v>0</v>
      </c>
      <c r="I26" s="225">
        <v>0</v>
      </c>
      <c r="J26" s="225">
        <v>0</v>
      </c>
      <c r="K26" s="225">
        <v>0</v>
      </c>
    </row>
    <row r="27" spans="3:11" ht="15" customHeight="1" x14ac:dyDescent="0.25">
      <c r="C27" s="228" t="s">
        <v>240</v>
      </c>
      <c r="D27" s="240">
        <v>-780000</v>
      </c>
      <c r="E27" s="188">
        <v>2050000</v>
      </c>
      <c r="F27" s="188">
        <v>0</v>
      </c>
      <c r="G27" s="225">
        <v>0</v>
      </c>
      <c r="H27" s="225">
        <v>0</v>
      </c>
      <c r="I27" s="225">
        <v>0</v>
      </c>
      <c r="J27" s="225">
        <v>0</v>
      </c>
      <c r="K27" s="225">
        <v>0</v>
      </c>
    </row>
    <row r="28" spans="3:11" ht="15" customHeight="1" x14ac:dyDescent="0.25">
      <c r="C28" s="198" t="s">
        <v>231</v>
      </c>
      <c r="D28" s="218">
        <f>SUM(D18:D27)</f>
        <v>1091541354</v>
      </c>
      <c r="E28" s="218">
        <f t="shared" ref="E28:K28" si="8">SUM(E18:E27)</f>
        <v>1784408668</v>
      </c>
      <c r="F28" s="218">
        <f t="shared" si="8"/>
        <v>4650303070</v>
      </c>
      <c r="G28" s="218">
        <f t="shared" si="8"/>
        <v>3586046767.5578852</v>
      </c>
      <c r="H28" s="218">
        <f t="shared" si="8"/>
        <v>4004293404.3015881</v>
      </c>
      <c r="I28" s="218">
        <f t="shared" si="8"/>
        <v>4436373251.1117725</v>
      </c>
      <c r="J28" s="218">
        <f t="shared" si="8"/>
        <v>4842581370.498436</v>
      </c>
      <c r="K28" s="218">
        <f t="shared" si="8"/>
        <v>5253350718.6016426</v>
      </c>
    </row>
    <row r="29" spans="3:11" ht="15" customHeight="1" x14ac:dyDescent="0.25">
      <c r="C29" s="228" t="s">
        <v>209</v>
      </c>
      <c r="D29" s="240">
        <v>30813502</v>
      </c>
      <c r="E29" s="188">
        <v>56458493</v>
      </c>
      <c r="F29" s="188">
        <v>226274781</v>
      </c>
      <c r="G29" s="225">
        <f ca="1">G228</f>
        <v>285910594.5189957</v>
      </c>
      <c r="H29" s="225">
        <f t="shared" ref="H29:K29" ca="1" si="9">H228</f>
        <v>379686204.8467527</v>
      </c>
      <c r="I29" s="225">
        <f t="shared" ca="1" si="9"/>
        <v>479305627.05901879</v>
      </c>
      <c r="J29" s="225">
        <f t="shared" ca="1" si="9"/>
        <v>590678499.14952695</v>
      </c>
      <c r="K29" s="225">
        <f t="shared" ca="1" si="9"/>
        <v>713086754.67707884</v>
      </c>
    </row>
    <row r="30" spans="3:11" ht="15" customHeight="1" x14ac:dyDescent="0.25">
      <c r="C30" s="228" t="s">
        <v>152</v>
      </c>
      <c r="D30" s="240">
        <v>-76979253</v>
      </c>
      <c r="E30" s="188">
        <v>-91188916</v>
      </c>
      <c r="F30" s="188">
        <v>-49841733</v>
      </c>
      <c r="G30" s="225">
        <f>G227</f>
        <v>-151334431.12216645</v>
      </c>
      <c r="H30" s="225">
        <f t="shared" ref="H30:K30" si="10">H227</f>
        <v>-151334431.12216645</v>
      </c>
      <c r="I30" s="225">
        <f t="shared" si="10"/>
        <v>-151334431.12216645</v>
      </c>
      <c r="J30" s="225">
        <f t="shared" si="10"/>
        <v>-151334431.12216645</v>
      </c>
      <c r="K30" s="225">
        <f t="shared" si="10"/>
        <v>-151334431.12216645</v>
      </c>
    </row>
    <row r="31" spans="3:11" ht="15" customHeight="1" x14ac:dyDescent="0.25">
      <c r="C31" s="228" t="s">
        <v>252</v>
      </c>
      <c r="D31" s="240">
        <v>-115144171</v>
      </c>
      <c r="E31" s="188">
        <v>-243812127</v>
      </c>
      <c r="F31" s="188">
        <v>-101578240</v>
      </c>
      <c r="G31" s="225">
        <v>0</v>
      </c>
      <c r="H31" s="225">
        <v>0</v>
      </c>
      <c r="I31" s="225">
        <v>0</v>
      </c>
      <c r="J31" s="225">
        <v>0</v>
      </c>
      <c r="K31" s="225">
        <v>0</v>
      </c>
    </row>
    <row r="32" spans="3:11" s="13" customFormat="1" ht="15" customHeight="1" x14ac:dyDescent="0.25">
      <c r="C32" s="13" t="s">
        <v>230</v>
      </c>
      <c r="D32" s="218">
        <f>SUM(D28:D31)</f>
        <v>930231432</v>
      </c>
      <c r="E32" s="218">
        <f t="shared" ref="E32:K32" si="11">SUM(E28:E31)</f>
        <v>1505866118</v>
      </c>
      <c r="F32" s="218">
        <f t="shared" si="11"/>
        <v>4725157878</v>
      </c>
      <c r="G32" s="218">
        <f t="shared" ca="1" si="11"/>
        <v>3720622930.9547143</v>
      </c>
      <c r="H32" s="218">
        <f t="shared" ca="1" si="11"/>
        <v>4232645178.0261745</v>
      </c>
      <c r="I32" s="218">
        <f t="shared" ca="1" si="11"/>
        <v>4764344447.048625</v>
      </c>
      <c r="J32" s="218">
        <f t="shared" ca="1" si="11"/>
        <v>5281925438.5257959</v>
      </c>
      <c r="K32" s="218">
        <f t="shared" ca="1" si="11"/>
        <v>5815103042.1565552</v>
      </c>
    </row>
    <row r="33" spans="3:11" ht="15" customHeight="1" x14ac:dyDescent="0.25">
      <c r="C33" s="6" t="s">
        <v>253</v>
      </c>
      <c r="D33" s="240">
        <v>-232732802</v>
      </c>
      <c r="E33" s="240">
        <v>-345730996</v>
      </c>
      <c r="F33" s="240">
        <v>-1125467657</v>
      </c>
      <c r="G33" s="276">
        <f ca="1">G32*G48</f>
        <v>-890424173.14333057</v>
      </c>
      <c r="H33" s="276">
        <f t="shared" ref="H33:K33" ca="1" si="12">H32*H48</f>
        <v>-1012961983.1929522</v>
      </c>
      <c r="I33" s="276">
        <f t="shared" ca="1" si="12"/>
        <v>-1140208922.9570804</v>
      </c>
      <c r="J33" s="276">
        <f t="shared" ca="1" si="12"/>
        <v>-1264077058.7298465</v>
      </c>
      <c r="K33" s="276">
        <f t="shared" ca="1" si="12"/>
        <v>-1391677795.3972514</v>
      </c>
    </row>
    <row r="34" spans="3:11" ht="15" customHeight="1" x14ac:dyDescent="0.25">
      <c r="C34" s="13" t="s">
        <v>229</v>
      </c>
      <c r="D34" s="218">
        <f>SUM(D32:D33)</f>
        <v>697498630</v>
      </c>
      <c r="E34" s="218">
        <f t="shared" ref="E34:K34" si="13">SUM(E32:E33)</f>
        <v>1160135122</v>
      </c>
      <c r="F34" s="218">
        <f t="shared" si="13"/>
        <v>3599690221</v>
      </c>
      <c r="G34" s="218">
        <f t="shared" ca="1" si="13"/>
        <v>2830198757.8113837</v>
      </c>
      <c r="H34" s="218">
        <f t="shared" ca="1" si="13"/>
        <v>3219683194.8332224</v>
      </c>
      <c r="I34" s="218">
        <f t="shared" ca="1" si="13"/>
        <v>3624135524.0915446</v>
      </c>
      <c r="J34" s="218">
        <f t="shared" ca="1" si="13"/>
        <v>4017848379.7959495</v>
      </c>
      <c r="K34" s="218">
        <f t="shared" ca="1" si="13"/>
        <v>4423425246.759304</v>
      </c>
    </row>
    <row r="35" spans="3:11" ht="15" customHeight="1" x14ac:dyDescent="0.25">
      <c r="C35" s="6" t="s">
        <v>242</v>
      </c>
      <c r="D35" s="225">
        <f>D34-D36</f>
        <v>697488741</v>
      </c>
      <c r="E35" s="225">
        <f t="shared" ref="E35:K35" si="14">E34-E36</f>
        <v>1160129411</v>
      </c>
      <c r="F35" s="225">
        <f t="shared" si="14"/>
        <v>3599585937</v>
      </c>
      <c r="G35" s="225">
        <f t="shared" ca="1" si="14"/>
        <v>2830116766.1873441</v>
      </c>
      <c r="H35" s="225">
        <f t="shared" ca="1" si="14"/>
        <v>3219589919.7396235</v>
      </c>
      <c r="I35" s="225">
        <f t="shared" ca="1" si="14"/>
        <v>3624030531.9044976</v>
      </c>
      <c r="J35" s="225">
        <f t="shared" ca="1" si="14"/>
        <v>4017731981.6409097</v>
      </c>
      <c r="K35" s="225">
        <f t="shared" ca="1" si="14"/>
        <v>4423297098.9326544</v>
      </c>
    </row>
    <row r="36" spans="3:11" ht="15" customHeight="1" x14ac:dyDescent="0.25">
      <c r="C36" s="6" t="s">
        <v>243</v>
      </c>
      <c r="D36" s="240">
        <v>9889</v>
      </c>
      <c r="E36" s="240">
        <v>5711</v>
      </c>
      <c r="F36" s="240">
        <v>104284</v>
      </c>
      <c r="G36" s="226">
        <f ca="1">G243</f>
        <v>81991.624039696035</v>
      </c>
      <c r="H36" s="226">
        <f t="shared" ref="H36:K36" ca="1" si="15">H243</f>
        <v>93275.093598668798</v>
      </c>
      <c r="I36" s="226">
        <f t="shared" ca="1" si="15"/>
        <v>104992.18704696496</v>
      </c>
      <c r="J36" s="226">
        <f t="shared" ca="1" si="15"/>
        <v>116398.15503964189</v>
      </c>
      <c r="K36" s="226">
        <f t="shared" ca="1" si="15"/>
        <v>128147.82664962193</v>
      </c>
    </row>
    <row r="37" spans="3:11" ht="15" customHeight="1" x14ac:dyDescent="0.25">
      <c r="D37" s="14"/>
      <c r="E37" s="14"/>
      <c r="F37" s="14"/>
      <c r="G37" s="226"/>
      <c r="H37" s="229"/>
      <c r="I37" s="229"/>
      <c r="J37" s="229"/>
      <c r="K37" s="229"/>
    </row>
    <row r="38" spans="3:11" s="13" customFormat="1" ht="15" customHeight="1" x14ac:dyDescent="0.25">
      <c r="C38" s="230" t="s">
        <v>24</v>
      </c>
      <c r="D38" s="14">
        <f>D28+D158</f>
        <v>1341965875</v>
      </c>
      <c r="E38" s="14">
        <f t="shared" ref="E38:K38" si="16">E28+E158</f>
        <v>2041210195</v>
      </c>
      <c r="F38" s="14">
        <f t="shared" si="16"/>
        <v>4940074365</v>
      </c>
      <c r="G38" s="14">
        <f t="shared" si="16"/>
        <v>4001063384.3501816</v>
      </c>
      <c r="H38" s="14">
        <f t="shared" si="16"/>
        <v>4464430193.3075752</v>
      </c>
      <c r="I38" s="14">
        <f t="shared" si="16"/>
        <v>4943122529.939374</v>
      </c>
      <c r="J38" s="14">
        <f t="shared" si="16"/>
        <v>5387326735.2014551</v>
      </c>
      <c r="K38" s="14">
        <f t="shared" si="16"/>
        <v>5820078740.5354366</v>
      </c>
    </row>
    <row r="39" spans="3:11" ht="15" customHeight="1" x14ac:dyDescent="0.25">
      <c r="C39" s="231" t="s">
        <v>149</v>
      </c>
      <c r="D39" s="15">
        <f>D38/D16</f>
        <v>0.22207567941887177</v>
      </c>
      <c r="E39" s="15">
        <f t="shared" ref="E39:K39" si="17">E38/E16</f>
        <v>0.23382141765196612</v>
      </c>
      <c r="F39" s="15">
        <f t="shared" si="17"/>
        <v>0.39687855159607349</v>
      </c>
      <c r="G39" s="15">
        <f t="shared" si="17"/>
        <v>0.28212932399411178</v>
      </c>
      <c r="H39" s="15">
        <f t="shared" si="17"/>
        <v>0.28192195006344395</v>
      </c>
      <c r="I39" s="15">
        <f t="shared" si="17"/>
        <v>0.28174877969395529</v>
      </c>
      <c r="J39" s="15">
        <f t="shared" si="17"/>
        <v>0.28130997670615943</v>
      </c>
      <c r="K39" s="15">
        <f t="shared" si="17"/>
        <v>0.28014392593027426</v>
      </c>
    </row>
    <row r="40" spans="3:11" ht="15" customHeight="1" x14ac:dyDescent="0.25">
      <c r="C40" s="17"/>
      <c r="D40" s="14"/>
      <c r="E40" s="14"/>
      <c r="F40" s="14"/>
      <c r="G40" s="197"/>
      <c r="H40" s="14"/>
      <c r="I40" s="14"/>
      <c r="J40" s="14"/>
      <c r="K40" s="14"/>
    </row>
    <row r="41" spans="3:11" ht="15" customHeight="1" x14ac:dyDescent="0.25">
      <c r="C41" s="20" t="s">
        <v>27</v>
      </c>
      <c r="D41" s="21"/>
      <c r="E41" s="21"/>
      <c r="F41" s="14"/>
      <c r="H41" s="21"/>
      <c r="I41" s="21"/>
      <c r="J41" s="21"/>
      <c r="K41" s="21"/>
    </row>
    <row r="42" spans="3:11" ht="15" customHeight="1" x14ac:dyDescent="0.25">
      <c r="C42" s="17" t="s">
        <v>25</v>
      </c>
      <c r="D42" s="210"/>
      <c r="E42" s="210">
        <f>E16/D16-1</f>
        <v>0.44465108038069157</v>
      </c>
      <c r="F42" s="210">
        <f t="shared" ref="F42:K42" si="18">F16/E16-1</f>
        <v>0.42584533157654825</v>
      </c>
      <c r="G42" s="210">
        <f t="shared" si="18"/>
        <v>0.13933475532756345</v>
      </c>
      <c r="H42" s="210">
        <f t="shared" si="18"/>
        <v>0.11663167377723038</v>
      </c>
      <c r="I42" s="210">
        <f t="shared" si="18"/>
        <v>0.10790414267496584</v>
      </c>
      <c r="J42" s="210">
        <f t="shared" si="18"/>
        <v>9.1563107158503243E-2</v>
      </c>
      <c r="K42" s="210">
        <f t="shared" si="18"/>
        <v>8.4824459658161322E-2</v>
      </c>
    </row>
    <row r="43" spans="3:11" ht="15" customHeight="1" x14ac:dyDescent="0.25">
      <c r="C43" s="17" t="s">
        <v>180</v>
      </c>
      <c r="D43" s="22">
        <f>D18/D16</f>
        <v>0.21232036014836725</v>
      </c>
      <c r="E43" s="22">
        <f t="shared" ref="E43:F43" si="19">E18/E16</f>
        <v>0.23904493121868467</v>
      </c>
      <c r="F43" s="22">
        <f t="shared" si="19"/>
        <v>0.40637387261544783</v>
      </c>
      <c r="G43" s="247">
        <f>AVERAGE(D43:F43)</f>
        <v>0.28591305466083328</v>
      </c>
      <c r="H43" s="247">
        <f>G43</f>
        <v>0.28591305466083328</v>
      </c>
      <c r="I43" s="247">
        <f t="shared" ref="I43:K43" si="20">H43</f>
        <v>0.28591305466083328</v>
      </c>
      <c r="J43" s="247">
        <f t="shared" si="20"/>
        <v>0.28591305466083328</v>
      </c>
      <c r="K43" s="247">
        <f t="shared" si="20"/>
        <v>0.28591305466083328</v>
      </c>
    </row>
    <row r="44" spans="3:11" ht="15" customHeight="1" x14ac:dyDescent="0.25">
      <c r="C44" s="17" t="s">
        <v>244</v>
      </c>
      <c r="D44" s="22">
        <f>D19/D16</f>
        <v>-3.0439419158251543E-2</v>
      </c>
      <c r="E44" s="22">
        <f t="shared" ref="E44:F44" si="21">E19/E16</f>
        <v>-3.0676376433534647E-2</v>
      </c>
      <c r="F44" s="22">
        <f t="shared" si="21"/>
        <v>-3.0876753429572228E-2</v>
      </c>
      <c r="G44" s="247">
        <f t="shared" ref="G44:G48" si="22">AVERAGE(D44:F44)</f>
        <v>-3.0664183007119473E-2</v>
      </c>
      <c r="H44" s="247">
        <f t="shared" ref="H44:K44" si="23">G44</f>
        <v>-3.0664183007119473E-2</v>
      </c>
      <c r="I44" s="247">
        <f t="shared" si="23"/>
        <v>-3.0664183007119473E-2</v>
      </c>
      <c r="J44" s="247">
        <f t="shared" si="23"/>
        <v>-3.0664183007119473E-2</v>
      </c>
      <c r="K44" s="247">
        <f t="shared" si="23"/>
        <v>-3.0664183007119473E-2</v>
      </c>
    </row>
    <row r="45" spans="3:11" ht="15" customHeight="1" x14ac:dyDescent="0.25">
      <c r="C45" s="17" t="s">
        <v>245</v>
      </c>
      <c r="D45" s="22">
        <f>D20/D16</f>
        <v>2.4678916497669094E-3</v>
      </c>
      <c r="E45" s="22">
        <f t="shared" ref="E45:F45" si="24">E20/E16</f>
        <v>2.0954628969686714E-3</v>
      </c>
      <c r="F45" s="22">
        <f t="shared" si="24"/>
        <v>4.2852202444298984E-3</v>
      </c>
      <c r="G45" s="247">
        <f t="shared" si="22"/>
        <v>2.9495249303884926E-3</v>
      </c>
      <c r="H45" s="247">
        <f t="shared" ref="H45:K45" si="25">G45</f>
        <v>2.9495249303884926E-3</v>
      </c>
      <c r="I45" s="247">
        <f t="shared" si="25"/>
        <v>2.9495249303884926E-3</v>
      </c>
      <c r="J45" s="247">
        <f t="shared" si="25"/>
        <v>2.9495249303884926E-3</v>
      </c>
      <c r="K45" s="247">
        <f t="shared" si="25"/>
        <v>2.9495249303884926E-3</v>
      </c>
    </row>
    <row r="46" spans="3:11" ht="15" customHeight="1" x14ac:dyDescent="0.25">
      <c r="C46" s="17" t="s">
        <v>248</v>
      </c>
      <c r="D46" s="22">
        <f>D22/D16</f>
        <v>-2.5187191481398251E-3</v>
      </c>
      <c r="E46" s="22">
        <f t="shared" ref="E46:F46" si="26">E22/E16</f>
        <v>-6.4208871113221018E-3</v>
      </c>
      <c r="F46" s="22">
        <f t="shared" si="26"/>
        <v>-5.9856825818858771E-3</v>
      </c>
      <c r="G46" s="247">
        <f t="shared" si="22"/>
        <v>-4.975096280449268E-3</v>
      </c>
      <c r="H46" s="247">
        <f t="shared" ref="H46:K46" si="27">G46</f>
        <v>-4.975096280449268E-3</v>
      </c>
      <c r="I46" s="247">
        <f t="shared" si="27"/>
        <v>-4.975096280449268E-3</v>
      </c>
      <c r="J46" s="247">
        <f t="shared" si="27"/>
        <v>-4.975096280449268E-3</v>
      </c>
      <c r="K46" s="247">
        <f t="shared" si="27"/>
        <v>-4.975096280449268E-3</v>
      </c>
    </row>
    <row r="47" spans="3:11" ht="15" customHeight="1" x14ac:dyDescent="0.25">
      <c r="C47" s="17" t="s">
        <v>249</v>
      </c>
      <c r="D47" s="22">
        <f>D23/D16</f>
        <v>-7.8535254991424349E-4</v>
      </c>
      <c r="E47" s="22">
        <f t="shared" ref="E47:F47" si="28">E23/E16</f>
        <v>0</v>
      </c>
      <c r="F47" s="22">
        <f t="shared" si="28"/>
        <v>-2.8950512853771613E-4</v>
      </c>
      <c r="G47" s="247">
        <f t="shared" si="22"/>
        <v>-3.5828589281731987E-4</v>
      </c>
      <c r="H47" s="247">
        <f t="shared" ref="H47:K47" si="29">G47</f>
        <v>-3.5828589281731987E-4</v>
      </c>
      <c r="I47" s="247">
        <f t="shared" si="29"/>
        <v>-3.5828589281731987E-4</v>
      </c>
      <c r="J47" s="247">
        <f t="shared" si="29"/>
        <v>-3.5828589281731987E-4</v>
      </c>
      <c r="K47" s="247">
        <f t="shared" si="29"/>
        <v>-3.5828589281731987E-4</v>
      </c>
    </row>
    <row r="48" spans="3:11" ht="15" customHeight="1" x14ac:dyDescent="0.25">
      <c r="C48" s="17" t="s">
        <v>26</v>
      </c>
      <c r="D48" s="211">
        <f>D33/D32</f>
        <v>-0.25018806502767155</v>
      </c>
      <c r="E48" s="211">
        <f t="shared" ref="E48:F48" si="30">E33/E32</f>
        <v>-0.22958946473885669</v>
      </c>
      <c r="F48" s="211">
        <f t="shared" si="30"/>
        <v>-0.23818625452497527</v>
      </c>
      <c r="G48" s="247">
        <f t="shared" si="22"/>
        <v>-0.23932126143050114</v>
      </c>
      <c r="H48" s="247">
        <f t="shared" ref="H48:K48" si="31">G48</f>
        <v>-0.23932126143050114</v>
      </c>
      <c r="I48" s="247">
        <f t="shared" si="31"/>
        <v>-0.23932126143050114</v>
      </c>
      <c r="J48" s="247">
        <f t="shared" si="31"/>
        <v>-0.23932126143050114</v>
      </c>
      <c r="K48" s="247">
        <f t="shared" si="31"/>
        <v>-0.23932126143050114</v>
      </c>
    </row>
    <row r="49" spans="1:11" ht="15" customHeight="1" x14ac:dyDescent="0.25">
      <c r="C49" s="17"/>
      <c r="D49" s="23"/>
      <c r="E49" s="23"/>
      <c r="F49" s="23"/>
      <c r="G49" s="23"/>
      <c r="H49" s="23"/>
      <c r="I49" s="23"/>
      <c r="J49" s="23"/>
      <c r="K49" s="23"/>
    </row>
    <row r="50" spans="1:11" customFormat="1" x14ac:dyDescent="0.25">
      <c r="A50" t="s">
        <v>285</v>
      </c>
      <c r="C50" s="39" t="s">
        <v>44</v>
      </c>
      <c r="D50" s="251"/>
      <c r="E50" s="46"/>
      <c r="F50" s="46"/>
      <c r="G50" s="40"/>
      <c r="H50" s="40"/>
      <c r="I50" s="40"/>
      <c r="J50" s="40"/>
      <c r="K50" s="40"/>
    </row>
    <row r="51" spans="1:11" customFormat="1" x14ac:dyDescent="0.25">
      <c r="C51" t="s">
        <v>42</v>
      </c>
      <c r="D51" s="41">
        <f>D$13</f>
        <v>2023</v>
      </c>
      <c r="E51" s="41">
        <f t="shared" ref="E51:K51" si="32">E$13</f>
        <v>2024</v>
      </c>
      <c r="F51" s="41">
        <f t="shared" si="32"/>
        <v>2025</v>
      </c>
      <c r="G51" s="42">
        <f t="shared" si="32"/>
        <v>2026</v>
      </c>
      <c r="H51" s="42">
        <f t="shared" si="32"/>
        <v>2027</v>
      </c>
      <c r="I51" s="42">
        <f t="shared" si="32"/>
        <v>2028</v>
      </c>
      <c r="J51" s="42">
        <f t="shared" si="32"/>
        <v>2029</v>
      </c>
      <c r="K51" s="42">
        <f t="shared" si="32"/>
        <v>2030</v>
      </c>
    </row>
    <row r="52" spans="1:11" customFormat="1" x14ac:dyDescent="0.25">
      <c r="C52" s="43" t="s">
        <v>43</v>
      </c>
      <c r="D52" s="250">
        <f>D$14</f>
        <v>45291</v>
      </c>
      <c r="E52" s="232">
        <f t="shared" ref="E52:K52" si="33">E$14</f>
        <v>45657</v>
      </c>
      <c r="F52" s="232">
        <f t="shared" si="33"/>
        <v>46022</v>
      </c>
      <c r="G52" s="232">
        <f t="shared" si="33"/>
        <v>46387</v>
      </c>
      <c r="H52" s="232">
        <f t="shared" si="33"/>
        <v>46752</v>
      </c>
      <c r="I52" s="232">
        <f t="shared" si="33"/>
        <v>47118</v>
      </c>
      <c r="J52" s="232">
        <f t="shared" si="33"/>
        <v>47483</v>
      </c>
      <c r="K52" s="232">
        <f t="shared" si="33"/>
        <v>47848</v>
      </c>
    </row>
    <row r="53" spans="1:11" s="35" customFormat="1" ht="15" customHeight="1" x14ac:dyDescent="0.25">
      <c r="C53" s="45" t="s">
        <v>3</v>
      </c>
    </row>
    <row r="54" spans="1:11" ht="15" customHeight="1" x14ac:dyDescent="0.25"/>
    <row r="55" spans="1:11" ht="15" customHeight="1" x14ac:dyDescent="0.25">
      <c r="B55" s="6" t="s">
        <v>285</v>
      </c>
      <c r="C55" s="13" t="s">
        <v>4</v>
      </c>
    </row>
    <row r="56" spans="1:11" ht="15" customHeight="1" x14ac:dyDescent="0.25">
      <c r="C56" s="17" t="s">
        <v>260</v>
      </c>
      <c r="D56" s="10">
        <v>986106029</v>
      </c>
      <c r="E56" s="10">
        <v>852490043</v>
      </c>
      <c r="F56" s="10">
        <v>1053646218</v>
      </c>
      <c r="G56" s="185">
        <f>G191</f>
        <v>1613891232.1993179</v>
      </c>
      <c r="H56" s="185">
        <f t="shared" ref="H56:K56" si="34">H191</f>
        <v>1802122067.9051211</v>
      </c>
      <c r="I56" s="185">
        <f t="shared" si="34"/>
        <v>1996578504.6380603</v>
      </c>
      <c r="J56" s="185">
        <f t="shared" si="34"/>
        <v>2179391436.2085991</v>
      </c>
      <c r="K56" s="185">
        <f t="shared" si="34"/>
        <v>2364257137.1686177</v>
      </c>
    </row>
    <row r="57" spans="1:11" ht="15" customHeight="1" x14ac:dyDescent="0.25">
      <c r="C57" s="17" t="s">
        <v>261</v>
      </c>
      <c r="D57" s="10">
        <v>228615932</v>
      </c>
      <c r="E57" s="10">
        <v>160048158</v>
      </c>
      <c r="F57" s="10">
        <v>244416417</v>
      </c>
      <c r="G57" s="19">
        <f>G192</f>
        <v>358333933.99286252</v>
      </c>
      <c r="H57" s="19">
        <f t="shared" ref="H57:K57" si="35">H192</f>
        <v>400127020.48562968</v>
      </c>
      <c r="I57" s="19">
        <f t="shared" si="35"/>
        <v>443302383.59222007</v>
      </c>
      <c r="J57" s="19">
        <f t="shared" si="35"/>
        <v>483892527.24469441</v>
      </c>
      <c r="K57" s="19">
        <f t="shared" si="35"/>
        <v>524938449.40084767</v>
      </c>
    </row>
    <row r="58" spans="1:11" ht="15" customHeight="1" x14ac:dyDescent="0.25">
      <c r="C58" s="17" t="s">
        <v>262</v>
      </c>
      <c r="D58" s="10">
        <v>249566135</v>
      </c>
      <c r="E58" s="10">
        <v>632979976</v>
      </c>
      <c r="F58" s="10">
        <v>1004779062</v>
      </c>
      <c r="G58" s="19">
        <f>G193</f>
        <v>1144779706.7620287</v>
      </c>
      <c r="H58" s="19">
        <f t="shared" ref="H58:K58" si="36">H193</f>
        <v>1278297280.0678911</v>
      </c>
      <c r="I58" s="19">
        <f t="shared" si="36"/>
        <v>1416230852.1573577</v>
      </c>
      <c r="J58" s="19">
        <f t="shared" si="36"/>
        <v>1545905349.4346201</v>
      </c>
      <c r="K58" s="19">
        <f t="shared" si="36"/>
        <v>1677035935.3830726</v>
      </c>
    </row>
    <row r="59" spans="1:11" ht="15" customHeight="1" x14ac:dyDescent="0.25">
      <c r="C59" s="17" t="s">
        <v>263</v>
      </c>
      <c r="D59" s="10">
        <v>95368</v>
      </c>
      <c r="E59" s="10">
        <v>156657</v>
      </c>
      <c r="F59" s="10">
        <v>0</v>
      </c>
      <c r="G59" s="19">
        <f>G194</f>
        <v>0</v>
      </c>
      <c r="H59" s="19">
        <f t="shared" ref="H59:K59" si="37">H194</f>
        <v>0</v>
      </c>
      <c r="I59" s="19">
        <f t="shared" si="37"/>
        <v>0</v>
      </c>
      <c r="J59" s="19">
        <f t="shared" si="37"/>
        <v>0</v>
      </c>
      <c r="K59" s="19">
        <f t="shared" si="37"/>
        <v>0</v>
      </c>
    </row>
    <row r="60" spans="1:11" ht="15" customHeight="1" x14ac:dyDescent="0.25">
      <c r="C60" s="17" t="s">
        <v>264</v>
      </c>
      <c r="D60" s="10">
        <v>561096680</v>
      </c>
      <c r="E60" s="10">
        <v>1687062873</v>
      </c>
      <c r="F60" s="10">
        <v>3459391229</v>
      </c>
      <c r="G60" s="19">
        <f ca="1">G138</f>
        <v>4818235703.7195482</v>
      </c>
      <c r="H60" s="19">
        <f t="shared" ref="H60:K60" ca="1" si="38">H138</f>
        <v>6174364135.0833473</v>
      </c>
      <c r="I60" s="19">
        <f t="shared" ca="1" si="38"/>
        <v>7702397494.623127</v>
      </c>
      <c r="J60" s="19">
        <f t="shared" ca="1" si="38"/>
        <v>9398809480.1104946</v>
      </c>
      <c r="K60" s="19">
        <f t="shared" ca="1" si="38"/>
        <v>11246337076.31904</v>
      </c>
    </row>
    <row r="61" spans="1:11" ht="15" customHeight="1" x14ac:dyDescent="0.25">
      <c r="C61" s="11" t="s">
        <v>5</v>
      </c>
      <c r="D61" s="12">
        <f>SUM(D56:D60)</f>
        <v>2025480144</v>
      </c>
      <c r="E61" s="12">
        <f t="shared" ref="E61:G61" si="39">SUM(E56:E60)</f>
        <v>3332737707</v>
      </c>
      <c r="F61" s="12">
        <f t="shared" si="39"/>
        <v>5762232926</v>
      </c>
      <c r="G61" s="12">
        <f t="shared" ca="1" si="39"/>
        <v>7935240576.6737576</v>
      </c>
      <c r="H61" s="12">
        <f t="shared" ref="H61" ca="1" si="40">SUM(H56:H60)</f>
        <v>9654910503.5419884</v>
      </c>
      <c r="I61" s="12">
        <f t="shared" ref="I61" ca="1" si="41">SUM(I56:I60)</f>
        <v>11558509235.010765</v>
      </c>
      <c r="J61" s="12">
        <f t="shared" ref="J61" ca="1" si="42">SUM(J56:J60)</f>
        <v>13607998792.998409</v>
      </c>
      <c r="K61" s="12">
        <f t="shared" ref="K61" ca="1" si="43">SUM(K56:K60)</f>
        <v>15812568598.27158</v>
      </c>
    </row>
    <row r="62" spans="1:11" ht="15" customHeight="1" x14ac:dyDescent="0.25">
      <c r="E62" s="18"/>
      <c r="F62" s="18"/>
      <c r="G62" s="18"/>
      <c r="H62" s="18"/>
      <c r="I62" s="18"/>
      <c r="J62" s="18"/>
      <c r="K62" s="18"/>
    </row>
    <row r="63" spans="1:11" ht="15" customHeight="1" x14ac:dyDescent="0.25">
      <c r="B63" s="6" t="s">
        <v>285</v>
      </c>
      <c r="C63" s="13" t="s">
        <v>6</v>
      </c>
      <c r="E63" s="18"/>
      <c r="F63" s="18"/>
      <c r="G63" s="18"/>
      <c r="H63" s="18"/>
      <c r="I63" s="18"/>
      <c r="J63" s="18"/>
      <c r="K63" s="18"/>
    </row>
    <row r="64" spans="1:11" ht="15" customHeight="1" x14ac:dyDescent="0.25">
      <c r="C64" s="24" t="s">
        <v>254</v>
      </c>
      <c r="D64" s="10">
        <v>1683607099</v>
      </c>
      <c r="E64" s="10">
        <v>1669630565</v>
      </c>
      <c r="F64" s="10">
        <v>2522323523</v>
      </c>
      <c r="G64" s="19">
        <f>G149</f>
        <v>2417033562.9155965</v>
      </c>
      <c r="H64" s="19">
        <f t="shared" ref="H64:K64" si="44">H149</f>
        <v>2299463458.5546107</v>
      </c>
      <c r="I64" s="19">
        <f t="shared" si="44"/>
        <v>2169207052.8783469</v>
      </c>
      <c r="J64" s="19">
        <f t="shared" si="44"/>
        <v>2027023965.971066</v>
      </c>
      <c r="K64" s="19">
        <f t="shared" si="44"/>
        <v>1872780275.5443459</v>
      </c>
    </row>
    <row r="65" spans="2:11" ht="15" customHeight="1" x14ac:dyDescent="0.25">
      <c r="C65" s="17" t="s">
        <v>255</v>
      </c>
      <c r="D65" s="10">
        <v>2426563</v>
      </c>
      <c r="E65" s="10">
        <v>706855633</v>
      </c>
      <c r="F65" s="10">
        <v>391543753</v>
      </c>
      <c r="G65" s="19">
        <f>F65</f>
        <v>391543753</v>
      </c>
      <c r="H65" s="19">
        <f t="shared" ref="H65:K65" si="45">G65</f>
        <v>391543753</v>
      </c>
      <c r="I65" s="19">
        <f t="shared" si="45"/>
        <v>391543753</v>
      </c>
      <c r="J65" s="19">
        <f t="shared" si="45"/>
        <v>391543753</v>
      </c>
      <c r="K65" s="19">
        <f t="shared" si="45"/>
        <v>391543753</v>
      </c>
    </row>
    <row r="66" spans="2:11" ht="15" customHeight="1" x14ac:dyDescent="0.25">
      <c r="C66" s="17" t="s">
        <v>256</v>
      </c>
      <c r="D66" s="10">
        <v>163112115</v>
      </c>
      <c r="E66" s="10">
        <v>134955866</v>
      </c>
      <c r="F66" s="10">
        <v>106799617</v>
      </c>
      <c r="G66" s="19">
        <f>G285</f>
        <v>78643368</v>
      </c>
      <c r="H66" s="19">
        <f t="shared" ref="H66:K66" si="46">H285</f>
        <v>50487119</v>
      </c>
      <c r="I66" s="19">
        <f t="shared" si="46"/>
        <v>22330870</v>
      </c>
      <c r="J66" s="19">
        <f t="shared" si="46"/>
        <v>0</v>
      </c>
      <c r="K66" s="19">
        <f t="shared" si="46"/>
        <v>0</v>
      </c>
    </row>
    <row r="67" spans="2:11" ht="15" customHeight="1" x14ac:dyDescent="0.25">
      <c r="C67" s="17" t="s">
        <v>257</v>
      </c>
      <c r="D67" s="10">
        <v>0</v>
      </c>
      <c r="E67" s="10">
        <v>0</v>
      </c>
      <c r="F67" s="10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</row>
    <row r="68" spans="2:11" ht="15" customHeight="1" x14ac:dyDescent="0.25">
      <c r="C68" s="17" t="s">
        <v>258</v>
      </c>
      <c r="D68" s="10">
        <v>12901506</v>
      </c>
      <c r="E68" s="10">
        <v>4436332</v>
      </c>
      <c r="F68" s="10">
        <v>822030</v>
      </c>
      <c r="G68" s="19">
        <f>G258</f>
        <v>822030</v>
      </c>
      <c r="H68" s="19">
        <f t="shared" ref="H68:K68" si="47">H258</f>
        <v>822030</v>
      </c>
      <c r="I68" s="19">
        <f t="shared" si="47"/>
        <v>822030</v>
      </c>
      <c r="J68" s="19">
        <f t="shared" si="47"/>
        <v>822030</v>
      </c>
      <c r="K68" s="19">
        <f t="shared" si="47"/>
        <v>822030</v>
      </c>
    </row>
    <row r="69" spans="2:11" ht="15" customHeight="1" x14ac:dyDescent="0.25">
      <c r="C69" s="17" t="s">
        <v>259</v>
      </c>
      <c r="D69" s="10">
        <v>0</v>
      </c>
      <c r="E69" s="10">
        <v>0</v>
      </c>
      <c r="F69" s="10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</row>
    <row r="70" spans="2:11" ht="15" customHeight="1" x14ac:dyDescent="0.25">
      <c r="C70" s="11" t="s">
        <v>7</v>
      </c>
      <c r="D70" s="12">
        <f>SUM(D64:D69)</f>
        <v>1862047283</v>
      </c>
      <c r="E70" s="12">
        <f t="shared" ref="E70:G70" si="48">SUM(E64:E69)</f>
        <v>2515878396</v>
      </c>
      <c r="F70" s="12">
        <f t="shared" si="48"/>
        <v>3021488923</v>
      </c>
      <c r="G70" s="12">
        <f t="shared" si="48"/>
        <v>2888042713.9155965</v>
      </c>
      <c r="H70" s="12">
        <f t="shared" ref="H70" si="49">SUM(H64:H69)</f>
        <v>2742316360.5546107</v>
      </c>
      <c r="I70" s="12">
        <f t="shared" ref="I70" si="50">SUM(I64:I69)</f>
        <v>2583903705.8783469</v>
      </c>
      <c r="J70" s="12">
        <f t="shared" ref="J70" si="51">SUM(J64:J69)</f>
        <v>2419389748.971066</v>
      </c>
      <c r="K70" s="12">
        <f t="shared" ref="K70" si="52">SUM(K64:K69)</f>
        <v>2265146058.5443459</v>
      </c>
    </row>
    <row r="71" spans="2:11" ht="15" customHeight="1" x14ac:dyDescent="0.25">
      <c r="E71" s="19"/>
      <c r="F71" s="19"/>
      <c r="G71" s="19"/>
      <c r="H71" s="19"/>
      <c r="I71" s="19"/>
      <c r="J71" s="19"/>
      <c r="K71" s="19"/>
    </row>
    <row r="72" spans="2:11" ht="15" customHeight="1" x14ac:dyDescent="0.25">
      <c r="C72" s="13" t="s">
        <v>8</v>
      </c>
      <c r="D72" s="14">
        <f>D61+D70</f>
        <v>3887527427</v>
      </c>
      <c r="E72" s="14">
        <f t="shared" ref="E72:G72" si="53">E61+E70</f>
        <v>5848616103</v>
      </c>
      <c r="F72" s="14">
        <f t="shared" si="53"/>
        <v>8783721849</v>
      </c>
      <c r="G72" s="14">
        <f t="shared" ca="1" si="53"/>
        <v>10823283290.589354</v>
      </c>
      <c r="H72" s="14">
        <f t="shared" ref="H72:K72" ca="1" si="54">H61+H70</f>
        <v>12397226864.0966</v>
      </c>
      <c r="I72" s="14">
        <f t="shared" ca="1" si="54"/>
        <v>14142412940.889112</v>
      </c>
      <c r="J72" s="14">
        <f t="shared" ca="1" si="54"/>
        <v>16027388541.969475</v>
      </c>
      <c r="K72" s="14">
        <f t="shared" ca="1" si="54"/>
        <v>18077714656.815926</v>
      </c>
    </row>
    <row r="73" spans="2:11" ht="15" customHeight="1" x14ac:dyDescent="0.25">
      <c r="E73" s="18"/>
      <c r="F73" s="18"/>
      <c r="G73" s="18"/>
      <c r="H73" s="18"/>
      <c r="I73" s="18"/>
      <c r="J73" s="18"/>
      <c r="K73" s="18"/>
    </row>
    <row r="74" spans="2:11" s="35" customFormat="1" ht="15" customHeight="1" x14ac:dyDescent="0.25">
      <c r="C74" s="45" t="s">
        <v>9</v>
      </c>
      <c r="D74" s="252"/>
      <c r="E74" s="47"/>
      <c r="F74" s="47"/>
      <c r="G74" s="217"/>
      <c r="H74" s="217"/>
      <c r="I74" s="217"/>
      <c r="J74" s="217"/>
      <c r="K74" s="217"/>
    </row>
    <row r="75" spans="2:11" ht="15" customHeight="1" x14ac:dyDescent="0.25">
      <c r="E75" s="18"/>
      <c r="F75" s="18"/>
      <c r="G75" s="18"/>
      <c r="H75" s="18"/>
      <c r="I75" s="18"/>
      <c r="J75" s="18"/>
      <c r="K75" s="18"/>
    </row>
    <row r="76" spans="2:11" ht="15" customHeight="1" x14ac:dyDescent="0.25">
      <c r="B76" s="6" t="s">
        <v>285</v>
      </c>
      <c r="C76" s="13" t="s">
        <v>10</v>
      </c>
      <c r="E76" s="18"/>
      <c r="F76" s="18"/>
      <c r="G76" s="18"/>
      <c r="H76" s="18"/>
      <c r="I76" s="18"/>
      <c r="J76" s="18"/>
      <c r="K76" s="18"/>
    </row>
    <row r="77" spans="2:11" ht="15" customHeight="1" x14ac:dyDescent="0.25">
      <c r="C77" s="17" t="s">
        <v>272</v>
      </c>
      <c r="D77" s="10">
        <v>1067664610</v>
      </c>
      <c r="E77" s="10">
        <v>839311693</v>
      </c>
      <c r="F77" s="10">
        <v>720176243</v>
      </c>
      <c r="G77" s="19">
        <f>G198</f>
        <v>1512691876.0077937</v>
      </c>
      <c r="H77" s="19">
        <f t="shared" ref="H77:K77" si="55">H198</f>
        <v>1689119661.4158013</v>
      </c>
      <c r="I77" s="19">
        <f t="shared" si="55"/>
        <v>1871382670.3563023</v>
      </c>
      <c r="J77" s="19">
        <f t="shared" si="55"/>
        <v>2042732282.3367026</v>
      </c>
      <c r="K77" s="19">
        <f t="shared" si="55"/>
        <v>2216005944.4121957</v>
      </c>
    </row>
    <row r="78" spans="2:11" ht="15" customHeight="1" x14ac:dyDescent="0.25">
      <c r="C78" s="17" t="s">
        <v>273</v>
      </c>
      <c r="D78" s="10">
        <v>90074273</v>
      </c>
      <c r="E78" s="10">
        <v>615044229</v>
      </c>
      <c r="F78" s="10">
        <v>99916937</v>
      </c>
      <c r="G78" s="19">
        <f>F78</f>
        <v>99916937</v>
      </c>
      <c r="H78" s="19">
        <f t="shared" ref="H78:K78" si="56">G78</f>
        <v>99916937</v>
      </c>
      <c r="I78" s="19">
        <f t="shared" si="56"/>
        <v>99916937</v>
      </c>
      <c r="J78" s="19">
        <f t="shared" si="56"/>
        <v>99916937</v>
      </c>
      <c r="K78" s="19">
        <f t="shared" si="56"/>
        <v>99916937</v>
      </c>
    </row>
    <row r="79" spans="2:11" ht="15" customHeight="1" x14ac:dyDescent="0.25">
      <c r="C79" s="17" t="s">
        <v>274</v>
      </c>
      <c r="D79" s="10">
        <v>216715896</v>
      </c>
      <c r="E79" s="10">
        <v>374014396</v>
      </c>
      <c r="F79" s="10">
        <v>1102259109</v>
      </c>
      <c r="G79" s="19">
        <f>F79</f>
        <v>1102259109</v>
      </c>
      <c r="H79" s="19">
        <f t="shared" ref="H79:K79" si="57">G79</f>
        <v>1102259109</v>
      </c>
      <c r="I79" s="19">
        <f t="shared" si="57"/>
        <v>1102259109</v>
      </c>
      <c r="J79" s="19">
        <f t="shared" si="57"/>
        <v>1102259109</v>
      </c>
      <c r="K79" s="19">
        <f t="shared" si="57"/>
        <v>1102259109</v>
      </c>
    </row>
    <row r="80" spans="2:11" ht="15" customHeight="1" x14ac:dyDescent="0.25">
      <c r="C80" s="17" t="s">
        <v>275</v>
      </c>
      <c r="D80" s="10">
        <v>0</v>
      </c>
      <c r="E80" s="10">
        <v>25481075</v>
      </c>
      <c r="F80" s="10">
        <v>145493141</v>
      </c>
      <c r="G80" s="19">
        <f>F80</f>
        <v>145493141</v>
      </c>
      <c r="H80" s="19">
        <f t="shared" ref="H80:K80" si="58">G80</f>
        <v>145493141</v>
      </c>
      <c r="I80" s="19">
        <f t="shared" si="58"/>
        <v>145493141</v>
      </c>
      <c r="J80" s="19">
        <f t="shared" si="58"/>
        <v>145493141</v>
      </c>
      <c r="K80" s="19">
        <f t="shared" si="58"/>
        <v>145493141</v>
      </c>
    </row>
    <row r="81" spans="2:12" ht="15" customHeight="1" x14ac:dyDescent="0.25">
      <c r="C81" s="17" t="s">
        <v>270</v>
      </c>
      <c r="D81" s="10">
        <v>9481649</v>
      </c>
      <c r="E81" s="10">
        <v>3625821</v>
      </c>
      <c r="F81" s="10">
        <v>1176042</v>
      </c>
      <c r="G81" s="19">
        <f>G272*G271</f>
        <v>1176042</v>
      </c>
      <c r="H81" s="19">
        <f t="shared" ref="H81:K81" si="59">H272*H271</f>
        <v>1176042</v>
      </c>
      <c r="I81" s="19">
        <f t="shared" si="59"/>
        <v>1176042</v>
      </c>
      <c r="J81" s="19">
        <f t="shared" si="59"/>
        <v>1176042</v>
      </c>
      <c r="K81" s="19">
        <f t="shared" si="59"/>
        <v>1176042</v>
      </c>
    </row>
    <row r="82" spans="2:12" ht="15" customHeight="1" x14ac:dyDescent="0.25">
      <c r="C82" s="17" t="s">
        <v>276</v>
      </c>
      <c r="D82" s="10">
        <v>309899324</v>
      </c>
      <c r="E82" s="10">
        <v>345087344</v>
      </c>
      <c r="F82" s="10">
        <v>713424488</v>
      </c>
      <c r="G82" s="19">
        <f>G199</f>
        <v>812829314.48017216</v>
      </c>
      <c r="H82" s="19">
        <f t="shared" ref="H82:K82" si="60">H199</f>
        <v>907630957.92319345</v>
      </c>
      <c r="I82" s="19">
        <f t="shared" si="60"/>
        <v>1005568098.3031538</v>
      </c>
      <c r="J82" s="19">
        <f t="shared" si="60"/>
        <v>1097641037.8432577</v>
      </c>
      <c r="K82" s="19">
        <f t="shared" si="60"/>
        <v>1190747845.7769353</v>
      </c>
    </row>
    <row r="83" spans="2:12" ht="15" customHeight="1" x14ac:dyDescent="0.25">
      <c r="C83" s="17" t="s">
        <v>233</v>
      </c>
      <c r="D83" s="10">
        <v>99229802</v>
      </c>
      <c r="E83" s="10">
        <v>600302425</v>
      </c>
      <c r="F83" s="10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</row>
    <row r="84" spans="2:12" ht="15" customHeight="1" x14ac:dyDescent="0.25">
      <c r="C84" s="17" t="s">
        <v>207</v>
      </c>
      <c r="D84" s="10">
        <v>54445334</v>
      </c>
      <c r="E84" s="10">
        <v>77899139</v>
      </c>
      <c r="F84" s="10">
        <v>111684116</v>
      </c>
      <c r="G84" s="19">
        <f>G200</f>
        <v>127245594.97683521</v>
      </c>
      <c r="H84" s="19">
        <f t="shared" ref="H84:K84" si="61">H200</f>
        <v>142086461.69976303</v>
      </c>
      <c r="I84" s="19">
        <f t="shared" si="61"/>
        <v>157418179.53519535</v>
      </c>
      <c r="J84" s="19">
        <f t="shared" si="61"/>
        <v>171831877.17667297</v>
      </c>
      <c r="K84" s="19">
        <f t="shared" si="61"/>
        <v>186407423.31023178</v>
      </c>
    </row>
    <row r="85" spans="2:12" ht="15" customHeight="1" x14ac:dyDescent="0.25">
      <c r="C85" s="11" t="s">
        <v>11</v>
      </c>
      <c r="D85" s="12">
        <f>SUM(D77:D84)</f>
        <v>1847510888</v>
      </c>
      <c r="E85" s="12">
        <f t="shared" ref="E85:G85" si="62">SUM(E77:E84)</f>
        <v>2880766122</v>
      </c>
      <c r="F85" s="12">
        <f t="shared" si="62"/>
        <v>2894130076</v>
      </c>
      <c r="G85" s="12">
        <f t="shared" si="62"/>
        <v>3801612014.4648008</v>
      </c>
      <c r="H85" s="12">
        <f t="shared" ref="H85" si="63">SUM(H77:H84)</f>
        <v>4087682310.0387573</v>
      </c>
      <c r="I85" s="12">
        <f t="shared" ref="I85" si="64">SUM(I77:I84)</f>
        <v>4383214177.1946516</v>
      </c>
      <c r="J85" s="12">
        <f t="shared" ref="J85" si="65">SUM(J77:J84)</f>
        <v>4661050426.3566332</v>
      </c>
      <c r="K85" s="12">
        <f t="shared" ref="K85" si="66">SUM(K77:K84)</f>
        <v>4942006442.4993629</v>
      </c>
      <c r="L85" s="18"/>
    </row>
    <row r="86" spans="2:12" ht="15" customHeight="1" x14ac:dyDescent="0.25">
      <c r="D86" s="267"/>
      <c r="E86" s="267"/>
      <c r="F86" s="267"/>
      <c r="G86" s="268"/>
      <c r="H86" s="268"/>
      <c r="I86" s="268"/>
      <c r="J86" s="268"/>
      <c r="K86" s="268"/>
    </row>
    <row r="87" spans="2:12" ht="15" customHeight="1" x14ac:dyDescent="0.25">
      <c r="B87" s="6" t="s">
        <v>285</v>
      </c>
      <c r="C87" s="13" t="s">
        <v>12</v>
      </c>
      <c r="E87" s="18"/>
      <c r="F87" s="18"/>
      <c r="G87" s="18"/>
      <c r="H87" s="18"/>
      <c r="I87" s="18"/>
      <c r="J87" s="18"/>
      <c r="K87" s="18"/>
    </row>
    <row r="88" spans="2:12" ht="15" customHeight="1" x14ac:dyDescent="0.25">
      <c r="C88" s="17" t="s">
        <v>269</v>
      </c>
      <c r="D88" s="10">
        <v>0</v>
      </c>
      <c r="E88" s="10">
        <v>120392380</v>
      </c>
      <c r="F88" s="10">
        <v>888522538</v>
      </c>
      <c r="G88" s="19">
        <f>F88</f>
        <v>888522538</v>
      </c>
      <c r="H88" s="19">
        <f t="shared" ref="H88:K88" si="67">G88</f>
        <v>888522538</v>
      </c>
      <c r="I88" s="19">
        <f t="shared" si="67"/>
        <v>888522538</v>
      </c>
      <c r="J88" s="19">
        <f t="shared" si="67"/>
        <v>888522538</v>
      </c>
      <c r="K88" s="19">
        <f t="shared" si="67"/>
        <v>888522538</v>
      </c>
    </row>
    <row r="89" spans="2:12" ht="15" customHeight="1" x14ac:dyDescent="0.25">
      <c r="C89" s="17" t="s">
        <v>208</v>
      </c>
      <c r="D89" s="10">
        <v>282218616</v>
      </c>
      <c r="E89" s="10">
        <v>241146994</v>
      </c>
      <c r="F89" s="10">
        <v>255316160</v>
      </c>
      <c r="G89" s="19">
        <f>F89</f>
        <v>255316160</v>
      </c>
      <c r="H89" s="19">
        <f t="shared" ref="H89:K89" si="68">G89</f>
        <v>255316160</v>
      </c>
      <c r="I89" s="19">
        <f t="shared" si="68"/>
        <v>255316160</v>
      </c>
      <c r="J89" s="19">
        <f t="shared" si="68"/>
        <v>255316160</v>
      </c>
      <c r="K89" s="19">
        <f t="shared" si="68"/>
        <v>255316160</v>
      </c>
    </row>
    <row r="90" spans="2:12" ht="15" customHeight="1" x14ac:dyDescent="0.25">
      <c r="C90" s="17" t="s">
        <v>270</v>
      </c>
      <c r="D90" s="10">
        <v>1739258</v>
      </c>
      <c r="E90" s="10">
        <v>1642532</v>
      </c>
      <c r="F90" s="10">
        <v>0</v>
      </c>
      <c r="G90" s="19">
        <f>(1-G272)*G271</f>
        <v>0</v>
      </c>
      <c r="H90" s="19">
        <f t="shared" ref="H90:K90" si="69">(1-H272)*H271</f>
        <v>0</v>
      </c>
      <c r="I90" s="19">
        <f t="shared" si="69"/>
        <v>0</v>
      </c>
      <c r="J90" s="19">
        <f t="shared" si="69"/>
        <v>0</v>
      </c>
      <c r="K90" s="19">
        <f t="shared" si="69"/>
        <v>0</v>
      </c>
    </row>
    <row r="91" spans="2:12" ht="15" customHeight="1" x14ac:dyDescent="0.25">
      <c r="C91" s="17" t="s">
        <v>271</v>
      </c>
      <c r="D91" s="10">
        <v>0</v>
      </c>
      <c r="E91" s="10">
        <v>0</v>
      </c>
      <c r="F91" s="10">
        <v>103020835</v>
      </c>
      <c r="G91" s="19">
        <f>F91</f>
        <v>103020835</v>
      </c>
      <c r="H91" s="19">
        <f t="shared" ref="H91:K91" si="70">G91</f>
        <v>103020835</v>
      </c>
      <c r="I91" s="19">
        <f t="shared" si="70"/>
        <v>103020835</v>
      </c>
      <c r="J91" s="19">
        <f t="shared" si="70"/>
        <v>103020835</v>
      </c>
      <c r="K91" s="19">
        <f t="shared" si="70"/>
        <v>103020835</v>
      </c>
    </row>
    <row r="92" spans="2:12" ht="15" customHeight="1" x14ac:dyDescent="0.25">
      <c r="C92" s="17" t="s">
        <v>272</v>
      </c>
      <c r="D92" s="10">
        <v>1788996</v>
      </c>
      <c r="E92" s="10">
        <v>301142055</v>
      </c>
      <c r="F92" s="10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</row>
    <row r="93" spans="2:12" ht="15" customHeight="1" x14ac:dyDescent="0.25">
      <c r="C93" s="11" t="s">
        <v>13</v>
      </c>
      <c r="D93" s="12">
        <f>SUM(D88:D92)</f>
        <v>285746870</v>
      </c>
      <c r="E93" s="12">
        <f t="shared" ref="E93:G93" si="71">SUM(E88:E92)</f>
        <v>664323961</v>
      </c>
      <c r="F93" s="12">
        <f t="shared" si="71"/>
        <v>1246859533</v>
      </c>
      <c r="G93" s="12">
        <f t="shared" si="71"/>
        <v>1246859533</v>
      </c>
      <c r="H93" s="12">
        <f t="shared" ref="H93" si="72">SUM(H88:H92)</f>
        <v>1246859533</v>
      </c>
      <c r="I93" s="12">
        <f t="shared" ref="I93" si="73">SUM(I88:I92)</f>
        <v>1246859533</v>
      </c>
      <c r="J93" s="12">
        <f t="shared" ref="J93" si="74">SUM(J88:J92)</f>
        <v>1246859533</v>
      </c>
      <c r="K93" s="12">
        <f t="shared" ref="K93" si="75">SUM(K88:K92)</f>
        <v>1246859533</v>
      </c>
    </row>
    <row r="94" spans="2:12" ht="15" customHeight="1" x14ac:dyDescent="0.25">
      <c r="D94" s="1"/>
      <c r="E94" s="1"/>
      <c r="F94" s="1"/>
      <c r="G94" s="212"/>
      <c r="H94" s="212"/>
      <c r="I94" s="212"/>
      <c r="J94" s="212"/>
      <c r="K94" s="212"/>
    </row>
    <row r="95" spans="2:12" ht="15" customHeight="1" x14ac:dyDescent="0.25">
      <c r="C95" s="13" t="s">
        <v>14</v>
      </c>
      <c r="D95" s="25">
        <f>D85+D93</f>
        <v>2133257758</v>
      </c>
      <c r="E95" s="25">
        <f t="shared" ref="E95:G95" si="76">E85+E93</f>
        <v>3545090083</v>
      </c>
      <c r="F95" s="25">
        <f t="shared" si="76"/>
        <v>4140989609</v>
      </c>
      <c r="G95" s="25">
        <f t="shared" si="76"/>
        <v>5048471547.4648008</v>
      </c>
      <c r="H95" s="25">
        <f t="shared" ref="H95:K95" si="77">H85+H93</f>
        <v>5334541843.0387573</v>
      </c>
      <c r="I95" s="25">
        <f t="shared" si="77"/>
        <v>5630073710.1946516</v>
      </c>
      <c r="J95" s="25">
        <f t="shared" si="77"/>
        <v>5907909959.3566332</v>
      </c>
      <c r="K95" s="25">
        <f t="shared" si="77"/>
        <v>6188865975.4993629</v>
      </c>
    </row>
    <row r="96" spans="2:12" ht="15" customHeight="1" x14ac:dyDescent="0.25">
      <c r="E96" s="18"/>
      <c r="F96" s="18"/>
      <c r="G96" s="18"/>
      <c r="H96" s="18"/>
      <c r="I96" s="18"/>
      <c r="J96" s="18"/>
      <c r="K96" s="18"/>
    </row>
    <row r="97" spans="1:11" ht="15" customHeight="1" x14ac:dyDescent="0.25">
      <c r="B97" s="6" t="s">
        <v>285</v>
      </c>
      <c r="C97" s="13" t="s">
        <v>15</v>
      </c>
      <c r="E97" s="18"/>
      <c r="F97" s="18"/>
      <c r="G97" s="18"/>
      <c r="H97" s="18"/>
      <c r="I97" s="18"/>
      <c r="J97" s="18"/>
      <c r="K97" s="18"/>
    </row>
    <row r="98" spans="1:11" ht="15" customHeight="1" x14ac:dyDescent="0.25">
      <c r="C98" s="17" t="s">
        <v>265</v>
      </c>
      <c r="D98" s="10">
        <v>757479400</v>
      </c>
      <c r="E98" s="10">
        <v>757479400</v>
      </c>
      <c r="F98" s="10">
        <v>757479400</v>
      </c>
      <c r="G98" s="19">
        <f>F98</f>
        <v>757479400</v>
      </c>
      <c r="H98" s="19">
        <f t="shared" ref="H98:K98" si="78">G98</f>
        <v>757479400</v>
      </c>
      <c r="I98" s="19">
        <f t="shared" si="78"/>
        <v>757479400</v>
      </c>
      <c r="J98" s="19">
        <f t="shared" si="78"/>
        <v>757479400</v>
      </c>
      <c r="K98" s="19">
        <f t="shared" si="78"/>
        <v>757479400</v>
      </c>
    </row>
    <row r="99" spans="1:11" ht="15" customHeight="1" x14ac:dyDescent="0.25">
      <c r="C99" s="17" t="s">
        <v>266</v>
      </c>
      <c r="D99" s="10">
        <v>0</v>
      </c>
      <c r="E99" s="10">
        <v>0</v>
      </c>
      <c r="F99" s="10">
        <v>-143327985</v>
      </c>
      <c r="G99" s="19">
        <f>F99</f>
        <v>-143327985</v>
      </c>
      <c r="H99" s="19">
        <f t="shared" ref="H99:K99" si="79">G99</f>
        <v>-143327985</v>
      </c>
      <c r="I99" s="19">
        <f t="shared" si="79"/>
        <v>-143327985</v>
      </c>
      <c r="J99" s="19">
        <f t="shared" si="79"/>
        <v>-143327985</v>
      </c>
      <c r="K99" s="19">
        <f t="shared" si="79"/>
        <v>-143327985</v>
      </c>
    </row>
    <row r="100" spans="1:11" ht="15" customHeight="1" x14ac:dyDescent="0.25">
      <c r="C100" s="17" t="s">
        <v>267</v>
      </c>
      <c r="D100" s="10">
        <v>294829534</v>
      </c>
      <c r="E100" s="10">
        <v>363627770</v>
      </c>
      <c r="F100" s="10">
        <v>379505774</v>
      </c>
      <c r="G100" s="19">
        <f>F100</f>
        <v>379505774</v>
      </c>
      <c r="H100" s="19">
        <f t="shared" ref="H100:K100" si="80">G100</f>
        <v>379505774</v>
      </c>
      <c r="I100" s="19">
        <f t="shared" si="80"/>
        <v>379505774</v>
      </c>
      <c r="J100" s="19">
        <f t="shared" si="80"/>
        <v>379505774</v>
      </c>
      <c r="K100" s="19">
        <f t="shared" si="80"/>
        <v>379505774</v>
      </c>
    </row>
    <row r="101" spans="1:11" ht="15" customHeight="1" x14ac:dyDescent="0.25">
      <c r="C101" s="17" t="s">
        <v>194</v>
      </c>
      <c r="D101" s="10">
        <v>701912725</v>
      </c>
      <c r="E101" s="10">
        <v>1182365129</v>
      </c>
      <c r="F101" s="10">
        <v>3648917046</v>
      </c>
      <c r="G101" s="19">
        <f ca="1">G239</f>
        <v>4780914557.5005131</v>
      </c>
      <c r="H101" s="19">
        <f t="shared" ref="H101:K101" ca="1" si="81">H239</f>
        <v>6068694560.3402042</v>
      </c>
      <c r="I101" s="19">
        <f t="shared" ca="1" si="81"/>
        <v>7518243777.7897749</v>
      </c>
      <c r="J101" s="19">
        <f t="shared" ca="1" si="81"/>
        <v>9125266731.5531158</v>
      </c>
      <c r="K101" s="19">
        <f t="shared" ca="1" si="81"/>
        <v>10894508682.430189</v>
      </c>
    </row>
    <row r="102" spans="1:11" s="13" customFormat="1" ht="15" customHeight="1" x14ac:dyDescent="0.25">
      <c r="C102" s="264" t="s">
        <v>268</v>
      </c>
      <c r="D102" s="158">
        <f>SUM(D98:D101)</f>
        <v>1754221659</v>
      </c>
      <c r="E102" s="158">
        <f t="shared" ref="E102:G102" si="82">SUM(E98:E101)</f>
        <v>2303472299</v>
      </c>
      <c r="F102" s="158">
        <f t="shared" si="82"/>
        <v>4642574235</v>
      </c>
      <c r="G102" s="158">
        <f t="shared" ca="1" si="82"/>
        <v>5774571746.5005131</v>
      </c>
      <c r="H102" s="158">
        <f t="shared" ref="H102" ca="1" si="83">SUM(H98:H101)</f>
        <v>7062351749.3402042</v>
      </c>
      <c r="I102" s="158">
        <f t="shared" ref="I102" ca="1" si="84">SUM(I98:I101)</f>
        <v>8511900966.7897749</v>
      </c>
      <c r="J102" s="158">
        <f t="shared" ref="J102" ca="1" si="85">SUM(J98:J101)</f>
        <v>10118923920.553116</v>
      </c>
      <c r="K102" s="158">
        <f t="shared" ref="K102" ca="1" si="86">SUM(K98:K101)</f>
        <v>11888165871.430189</v>
      </c>
    </row>
    <row r="103" spans="1:11" ht="15" customHeight="1" x14ac:dyDescent="0.25">
      <c r="C103" s="17" t="s">
        <v>243</v>
      </c>
      <c r="D103" s="10">
        <v>48010</v>
      </c>
      <c r="E103" s="10">
        <v>53721</v>
      </c>
      <c r="F103" s="10">
        <v>158005</v>
      </c>
      <c r="G103" s="236">
        <f ca="1">G245</f>
        <v>239996.62403969603</v>
      </c>
      <c r="H103" s="236">
        <f t="shared" ref="H103:K103" ca="1" si="87">H245</f>
        <v>333271.71763836482</v>
      </c>
      <c r="I103" s="236">
        <f t="shared" ca="1" si="87"/>
        <v>438263.90468532976</v>
      </c>
      <c r="J103" s="236">
        <f t="shared" ca="1" si="87"/>
        <v>554662.05972497165</v>
      </c>
      <c r="K103" s="236">
        <f t="shared" ca="1" si="87"/>
        <v>682809.8863745936</v>
      </c>
    </row>
    <row r="104" spans="1:11" ht="15" customHeight="1" x14ac:dyDescent="0.25">
      <c r="C104" s="26" t="s">
        <v>16</v>
      </c>
      <c r="D104" s="12">
        <f>SUM(D102:D103)</f>
        <v>1754269669</v>
      </c>
      <c r="E104" s="12">
        <f t="shared" ref="E104:G104" si="88">SUM(E102:E103)</f>
        <v>2303526020</v>
      </c>
      <c r="F104" s="12">
        <f t="shared" si="88"/>
        <v>4642732240</v>
      </c>
      <c r="G104" s="12">
        <f t="shared" ca="1" si="88"/>
        <v>5774811743.1245527</v>
      </c>
      <c r="H104" s="12">
        <f t="shared" ref="H104" ca="1" si="89">SUM(H102:H103)</f>
        <v>7062685021.0578423</v>
      </c>
      <c r="I104" s="12">
        <f t="shared" ref="I104" ca="1" si="90">SUM(I102:I103)</f>
        <v>8512339230.6944599</v>
      </c>
      <c r="J104" s="12">
        <f t="shared" ref="J104" ca="1" si="91">SUM(J102:J103)</f>
        <v>10119478582.612841</v>
      </c>
      <c r="K104" s="12">
        <f t="shared" ref="K104" ca="1" si="92">SUM(K102:K103)</f>
        <v>11888848681.316565</v>
      </c>
    </row>
    <row r="105" spans="1:11" ht="15" customHeight="1" x14ac:dyDescent="0.25">
      <c r="E105" s="19"/>
      <c r="F105" s="19"/>
      <c r="G105" s="19"/>
      <c r="H105" s="19"/>
      <c r="I105" s="19"/>
      <c r="J105" s="19"/>
      <c r="K105" s="19"/>
    </row>
    <row r="106" spans="1:11" ht="15" customHeight="1" x14ac:dyDescent="0.25">
      <c r="C106" s="13" t="s">
        <v>17</v>
      </c>
      <c r="D106" s="14">
        <f>D95+D104</f>
        <v>3887527427</v>
      </c>
      <c r="E106" s="14">
        <f t="shared" ref="E106:G106" si="93">E95+E104</f>
        <v>5848616103</v>
      </c>
      <c r="F106" s="14">
        <f t="shared" si="93"/>
        <v>8783721849</v>
      </c>
      <c r="G106" s="14">
        <f t="shared" ca="1" si="93"/>
        <v>10823283290.589354</v>
      </c>
      <c r="H106" s="14">
        <f t="shared" ref="H106:K106" ca="1" si="94">H95+H104</f>
        <v>12397226864.0966</v>
      </c>
      <c r="I106" s="14">
        <f t="shared" ca="1" si="94"/>
        <v>14142412940.889111</v>
      </c>
      <c r="J106" s="14">
        <f t="shared" ca="1" si="94"/>
        <v>16027388541.969475</v>
      </c>
      <c r="K106" s="14">
        <f t="shared" ca="1" si="94"/>
        <v>18077714656.815926</v>
      </c>
    </row>
    <row r="107" spans="1:11" ht="15" customHeight="1" x14ac:dyDescent="0.25">
      <c r="E107" s="18"/>
      <c r="F107" s="18"/>
      <c r="G107" s="18"/>
      <c r="H107" s="18"/>
      <c r="I107" s="18"/>
      <c r="J107" s="18"/>
      <c r="K107" s="18"/>
    </row>
    <row r="108" spans="1:11" ht="15" customHeight="1" x14ac:dyDescent="0.25">
      <c r="C108" s="6" t="s">
        <v>18</v>
      </c>
      <c r="D108" s="271">
        <f>D72-D106</f>
        <v>0</v>
      </c>
      <c r="E108" s="271">
        <f t="shared" ref="E108:K108" si="95">E72-E106</f>
        <v>0</v>
      </c>
      <c r="F108" s="271">
        <f t="shared" si="95"/>
        <v>0</v>
      </c>
      <c r="G108" s="271">
        <f t="shared" ca="1" si="95"/>
        <v>0</v>
      </c>
      <c r="H108" s="271">
        <f t="shared" ca="1" si="95"/>
        <v>0</v>
      </c>
      <c r="I108" s="271">
        <f t="shared" ca="1" si="95"/>
        <v>0</v>
      </c>
      <c r="J108" s="271">
        <f t="shared" ca="1" si="95"/>
        <v>0</v>
      </c>
      <c r="K108" s="271">
        <f t="shared" ca="1" si="95"/>
        <v>0</v>
      </c>
    </row>
    <row r="109" spans="1:11" ht="15" customHeight="1" x14ac:dyDescent="0.25"/>
    <row r="110" spans="1:11" customFormat="1" x14ac:dyDescent="0.25">
      <c r="A110" t="s">
        <v>285</v>
      </c>
      <c r="C110" s="39" t="s">
        <v>45</v>
      </c>
      <c r="D110" s="251"/>
      <c r="E110" s="46"/>
      <c r="F110" s="46"/>
      <c r="G110" s="46"/>
      <c r="H110" s="46"/>
      <c r="I110" s="46"/>
      <c r="J110" s="46"/>
      <c r="K110" s="46"/>
    </row>
    <row r="111" spans="1:11" customFormat="1" x14ac:dyDescent="0.25">
      <c r="C111" t="s">
        <v>42</v>
      </c>
      <c r="D111" s="41"/>
      <c r="E111" s="41"/>
      <c r="F111" s="42"/>
      <c r="G111" s="42">
        <f t="shared" ref="G111:K111" si="96">G$13</f>
        <v>2026</v>
      </c>
      <c r="H111" s="42">
        <f t="shared" si="96"/>
        <v>2027</v>
      </c>
      <c r="I111" s="42">
        <f t="shared" si="96"/>
        <v>2028</v>
      </c>
      <c r="J111" s="42">
        <f t="shared" si="96"/>
        <v>2029</v>
      </c>
      <c r="K111" s="42">
        <f t="shared" si="96"/>
        <v>2030</v>
      </c>
    </row>
    <row r="112" spans="1:11" customFormat="1" x14ac:dyDescent="0.25">
      <c r="C112" s="43" t="s">
        <v>43</v>
      </c>
      <c r="D112" s="253"/>
      <c r="E112" s="44"/>
      <c r="F112" s="232"/>
      <c r="G112" s="232">
        <f t="shared" ref="G112:K112" si="97">G$14</f>
        <v>46387</v>
      </c>
      <c r="H112" s="232">
        <f t="shared" si="97"/>
        <v>46752</v>
      </c>
      <c r="I112" s="232">
        <f t="shared" si="97"/>
        <v>47118</v>
      </c>
      <c r="J112" s="232">
        <f t="shared" si="97"/>
        <v>47483</v>
      </c>
      <c r="K112" s="232">
        <f t="shared" si="97"/>
        <v>47848</v>
      </c>
    </row>
    <row r="113" spans="3:11" ht="15" customHeight="1" x14ac:dyDescent="0.25"/>
    <row r="114" spans="3:11" s="13" customFormat="1" ht="15" customHeight="1" x14ac:dyDescent="0.25">
      <c r="C114" s="17" t="s">
        <v>201</v>
      </c>
      <c r="D114" s="200"/>
      <c r="E114" s="200"/>
      <c r="F114" s="202"/>
      <c r="G114" s="200">
        <f ca="1">G34</f>
        <v>2830198757.8113837</v>
      </c>
      <c r="H114" s="200">
        <f t="shared" ref="H114:K114" ca="1" si="98">H34</f>
        <v>3219683194.8332224</v>
      </c>
      <c r="I114" s="200">
        <f t="shared" ca="1" si="98"/>
        <v>3624135524.0915446</v>
      </c>
      <c r="J114" s="200">
        <f t="shared" ca="1" si="98"/>
        <v>4017848379.7959495</v>
      </c>
      <c r="K114" s="200">
        <f t="shared" ca="1" si="98"/>
        <v>4423425246.759304</v>
      </c>
    </row>
    <row r="115" spans="3:11" ht="15" customHeight="1" x14ac:dyDescent="0.25">
      <c r="C115" s="17" t="s">
        <v>195</v>
      </c>
      <c r="D115" s="202"/>
      <c r="E115" s="201"/>
      <c r="F115" s="201"/>
      <c r="G115" s="201">
        <f>G148</f>
        <v>386860367.79229647</v>
      </c>
      <c r="H115" s="201">
        <f t="shared" ref="H115:K115" si="99">H148</f>
        <v>431980540.00598699</v>
      </c>
      <c r="I115" s="201">
        <f t="shared" si="99"/>
        <v>478593029.82760179</v>
      </c>
      <c r="J115" s="201">
        <f t="shared" si="99"/>
        <v>522414494.70301926</v>
      </c>
      <c r="K115" s="201">
        <f t="shared" si="99"/>
        <v>566728021.93379414</v>
      </c>
    </row>
    <row r="116" spans="3:11" ht="15" customHeight="1" x14ac:dyDescent="0.25">
      <c r="C116" s="17" t="s">
        <v>288</v>
      </c>
      <c r="D116" s="202"/>
      <c r="E116" s="201"/>
      <c r="F116" s="201"/>
      <c r="G116" s="201">
        <f>G156</f>
        <v>28156249</v>
      </c>
      <c r="H116" s="201">
        <f t="shared" ref="H116:K116" si="100">H156</f>
        <v>28156249</v>
      </c>
      <c r="I116" s="201">
        <f t="shared" si="100"/>
        <v>28156249</v>
      </c>
      <c r="J116" s="201">
        <f t="shared" si="100"/>
        <v>22330870</v>
      </c>
      <c r="K116" s="201">
        <f t="shared" si="100"/>
        <v>0</v>
      </c>
    </row>
    <row r="117" spans="3:11" ht="15" customHeight="1" x14ac:dyDescent="0.25">
      <c r="C117" s="17" t="s">
        <v>238</v>
      </c>
      <c r="D117" s="202"/>
      <c r="E117" s="201"/>
      <c r="F117" s="201"/>
      <c r="G117" s="201">
        <f>G269</f>
        <v>0</v>
      </c>
      <c r="H117" s="201">
        <f t="shared" ref="H117:K117" si="101">H269</f>
        <v>0</v>
      </c>
      <c r="I117" s="201">
        <f t="shared" si="101"/>
        <v>0</v>
      </c>
      <c r="J117" s="201">
        <f t="shared" si="101"/>
        <v>0</v>
      </c>
      <c r="K117" s="201">
        <f t="shared" si="101"/>
        <v>0</v>
      </c>
    </row>
    <row r="118" spans="3:11" s="13" customFormat="1" ht="15" customHeight="1" x14ac:dyDescent="0.25">
      <c r="C118" s="13" t="s">
        <v>173</v>
      </c>
      <c r="D118" s="200"/>
      <c r="E118" s="200"/>
      <c r="F118" s="200"/>
      <c r="G118" s="200">
        <f ca="1">SUM(G114:G117)</f>
        <v>3245215374.6036801</v>
      </c>
      <c r="H118" s="200">
        <f t="shared" ref="H118:K118" ca="1" si="102">SUM(H114:H117)</f>
        <v>3679819983.8392096</v>
      </c>
      <c r="I118" s="200">
        <f t="shared" ca="1" si="102"/>
        <v>4130884802.9191465</v>
      </c>
      <c r="J118" s="200">
        <f t="shared" ca="1" si="102"/>
        <v>4562593744.4989691</v>
      </c>
      <c r="K118" s="200">
        <f t="shared" ca="1" si="102"/>
        <v>4990153268.6930981</v>
      </c>
    </row>
    <row r="119" spans="3:11" s="13" customFormat="1" ht="15" customHeight="1" x14ac:dyDescent="0.25">
      <c r="D119" s="200"/>
      <c r="E119" s="204"/>
      <c r="F119" s="204"/>
      <c r="G119" s="205"/>
      <c r="H119" s="205"/>
      <c r="I119" s="205"/>
      <c r="J119" s="205"/>
      <c r="K119" s="205"/>
    </row>
    <row r="120" spans="3:11" ht="15" customHeight="1" x14ac:dyDescent="0.25">
      <c r="C120" s="198" t="s">
        <v>153</v>
      </c>
      <c r="D120" s="201"/>
      <c r="E120" s="201"/>
      <c r="F120" s="201"/>
      <c r="G120" s="201"/>
      <c r="H120" s="201"/>
      <c r="I120" s="201"/>
      <c r="J120" s="201"/>
      <c r="K120" s="201"/>
    </row>
    <row r="121" spans="3:11" ht="15" customHeight="1" x14ac:dyDescent="0.25">
      <c r="C121" s="17" t="s">
        <v>237</v>
      </c>
      <c r="D121" s="201"/>
      <c r="E121" s="201"/>
      <c r="F121" s="201"/>
      <c r="G121" s="201">
        <f>G205</f>
        <v>93318762.510591507</v>
      </c>
      <c r="H121" s="201">
        <f t="shared" ref="H121:K121" si="103">H205</f>
        <v>-77471199.930475712</v>
      </c>
      <c r="I121" s="201">
        <f t="shared" si="103"/>
        <v>-80033504.773102283</v>
      </c>
      <c r="J121" s="201">
        <f t="shared" si="103"/>
        <v>-75241323.338294029</v>
      </c>
      <c r="K121" s="201">
        <f t="shared" si="103"/>
        <v>-76086192.921895504</v>
      </c>
    </row>
    <row r="122" spans="3:11" s="13" customFormat="1" ht="15" customHeight="1" x14ac:dyDescent="0.25">
      <c r="C122" s="13" t="s">
        <v>19</v>
      </c>
      <c r="D122" s="204"/>
      <c r="E122" s="204"/>
      <c r="F122" s="204"/>
      <c r="G122" s="204">
        <f>SUM(G121)</f>
        <v>93318762.510591507</v>
      </c>
      <c r="H122" s="204">
        <f t="shared" ref="H122:K122" si="104">SUM(H121)</f>
        <v>-77471199.930475712</v>
      </c>
      <c r="I122" s="204">
        <f t="shared" si="104"/>
        <v>-80033504.773102283</v>
      </c>
      <c r="J122" s="204">
        <f t="shared" si="104"/>
        <v>-75241323.338294029</v>
      </c>
      <c r="K122" s="204">
        <f t="shared" si="104"/>
        <v>-76086192.921895504</v>
      </c>
    </row>
    <row r="123" spans="3:11" s="13" customFormat="1" ht="15" customHeight="1" x14ac:dyDescent="0.25">
      <c r="C123" s="13" t="s">
        <v>176</v>
      </c>
      <c r="D123" s="200"/>
      <c r="E123" s="200"/>
      <c r="F123" s="200"/>
      <c r="G123" s="200">
        <f ca="1">G118+G122</f>
        <v>3338534137.1142716</v>
      </c>
      <c r="H123" s="200">
        <f t="shared" ref="H123:K123" ca="1" si="105">H118+H122</f>
        <v>3602348783.9087338</v>
      </c>
      <c r="I123" s="200">
        <f t="shared" ca="1" si="105"/>
        <v>4050851298.1460443</v>
      </c>
      <c r="J123" s="200">
        <f t="shared" ca="1" si="105"/>
        <v>4487352421.160675</v>
      </c>
      <c r="K123" s="200">
        <f t="shared" ca="1" si="105"/>
        <v>4914067075.7712021</v>
      </c>
    </row>
    <row r="124" spans="3:11" ht="15" customHeight="1" x14ac:dyDescent="0.25">
      <c r="D124" s="202"/>
      <c r="E124" s="203"/>
      <c r="F124" s="203"/>
      <c r="G124" s="203"/>
      <c r="H124" s="203"/>
      <c r="I124" s="203"/>
      <c r="J124" s="203"/>
      <c r="K124" s="203"/>
    </row>
    <row r="125" spans="3:11" customFormat="1" x14ac:dyDescent="0.25">
      <c r="C125" s="223" t="s">
        <v>20</v>
      </c>
      <c r="D125" s="254"/>
      <c r="E125" s="224"/>
      <c r="F125" s="224"/>
      <c r="G125" s="224"/>
      <c r="H125" s="224"/>
      <c r="I125" s="224"/>
      <c r="J125" s="224"/>
      <c r="K125" s="224"/>
    </row>
    <row r="126" spans="3:11" ht="15" customHeight="1" x14ac:dyDescent="0.25">
      <c r="C126" s="17" t="s">
        <v>196</v>
      </c>
      <c r="D126" s="202"/>
      <c r="E126" s="201"/>
      <c r="F126" s="201"/>
      <c r="G126" s="201">
        <f>-G147</f>
        <v>-281570407.70789284</v>
      </c>
      <c r="H126" s="201">
        <f t="shared" ref="H126:K126" si="106">-H147</f>
        <v>-314410435.64500153</v>
      </c>
      <c r="I126" s="201">
        <f t="shared" si="106"/>
        <v>-348336624.15133798</v>
      </c>
      <c r="J126" s="201">
        <f t="shared" si="106"/>
        <v>-380231407.79573822</v>
      </c>
      <c r="K126" s="201">
        <f t="shared" si="106"/>
        <v>-412484331.5070737</v>
      </c>
    </row>
    <row r="127" spans="3:11" ht="15" customHeight="1" x14ac:dyDescent="0.25">
      <c r="C127" s="13" t="s">
        <v>175</v>
      </c>
      <c r="D127" s="202"/>
      <c r="E127" s="204"/>
      <c r="F127" s="204"/>
      <c r="G127" s="204">
        <f>SUM(G126)</f>
        <v>-281570407.70789284</v>
      </c>
      <c r="H127" s="204">
        <f t="shared" ref="H127:K127" si="107">SUM(H126)</f>
        <v>-314410435.64500153</v>
      </c>
      <c r="I127" s="204">
        <f t="shared" si="107"/>
        <v>-348336624.15133798</v>
      </c>
      <c r="J127" s="204">
        <f t="shared" si="107"/>
        <v>-380231407.79573822</v>
      </c>
      <c r="K127" s="204">
        <f t="shared" si="107"/>
        <v>-412484331.5070737</v>
      </c>
    </row>
    <row r="128" spans="3:11" ht="15" customHeight="1" x14ac:dyDescent="0.25">
      <c r="D128" s="202"/>
      <c r="E128" s="206"/>
      <c r="F128" s="206"/>
      <c r="G128" s="203"/>
      <c r="H128" s="203"/>
      <c r="I128" s="203"/>
      <c r="J128" s="203"/>
      <c r="K128" s="203"/>
    </row>
    <row r="129" spans="1:11" s="35" customFormat="1" ht="15" customHeight="1" x14ac:dyDescent="0.25">
      <c r="C129" s="45" t="s">
        <v>21</v>
      </c>
      <c r="D129" s="255"/>
      <c r="E129" s="207"/>
      <c r="F129" s="207"/>
      <c r="G129" s="207"/>
      <c r="H129" s="207"/>
      <c r="I129" s="207"/>
      <c r="J129" s="207"/>
      <c r="K129" s="207"/>
    </row>
    <row r="130" spans="1:11" ht="15" customHeight="1" x14ac:dyDescent="0.25">
      <c r="C130" s="17" t="s">
        <v>197</v>
      </c>
      <c r="D130" s="202"/>
      <c r="E130" s="201"/>
      <c r="F130" s="201"/>
      <c r="G130" s="201">
        <f>G218-F218</f>
        <v>0</v>
      </c>
      <c r="H130" s="201">
        <f t="shared" ref="H130:K130" si="108">H218-G218</f>
        <v>0</v>
      </c>
      <c r="I130" s="201">
        <f t="shared" si="108"/>
        <v>0</v>
      </c>
      <c r="J130" s="201">
        <f t="shared" si="108"/>
        <v>0</v>
      </c>
      <c r="K130" s="201">
        <f t="shared" si="108"/>
        <v>0</v>
      </c>
    </row>
    <row r="131" spans="1:11" ht="15" customHeight="1" x14ac:dyDescent="0.25">
      <c r="C131" s="17" t="s">
        <v>198</v>
      </c>
      <c r="D131" s="202"/>
      <c r="E131" s="201"/>
      <c r="F131" s="201"/>
      <c r="G131" s="201">
        <f>-G270</f>
        <v>0</v>
      </c>
      <c r="H131" s="201">
        <f t="shared" ref="H131:K131" si="109">-H270</f>
        <v>0</v>
      </c>
      <c r="I131" s="201">
        <f t="shared" si="109"/>
        <v>0</v>
      </c>
      <c r="J131" s="201">
        <f t="shared" si="109"/>
        <v>0</v>
      </c>
      <c r="K131" s="201">
        <f t="shared" si="109"/>
        <v>0</v>
      </c>
    </row>
    <row r="132" spans="1:11" ht="15" customHeight="1" x14ac:dyDescent="0.25">
      <c r="C132" s="17" t="s">
        <v>199</v>
      </c>
      <c r="D132" s="202"/>
      <c r="E132" s="201"/>
      <c r="F132" s="201"/>
      <c r="G132" s="201">
        <f ca="1">-G238</f>
        <v>-1698119254.6868303</v>
      </c>
      <c r="H132" s="201">
        <f t="shared" ref="H132:K132" ca="1" si="110">-H238</f>
        <v>-1931809916.8999333</v>
      </c>
      <c r="I132" s="201">
        <f t="shared" ca="1" si="110"/>
        <v>-2174481314.4549265</v>
      </c>
      <c r="J132" s="201">
        <f t="shared" ca="1" si="110"/>
        <v>-2410709027.8775697</v>
      </c>
      <c r="K132" s="201">
        <f t="shared" ca="1" si="110"/>
        <v>-2654055148.0555825</v>
      </c>
    </row>
    <row r="133" spans="1:11" ht="15" customHeight="1" x14ac:dyDescent="0.25">
      <c r="C133" s="17" t="s">
        <v>228</v>
      </c>
      <c r="D133" s="202"/>
      <c r="E133" s="201"/>
      <c r="F133" s="201"/>
      <c r="G133" s="201">
        <f>-G244</f>
        <v>0</v>
      </c>
      <c r="H133" s="201">
        <f t="shared" ref="H133:K133" si="111">-H244</f>
        <v>0</v>
      </c>
      <c r="I133" s="201">
        <f t="shared" si="111"/>
        <v>0</v>
      </c>
      <c r="J133" s="201">
        <f t="shared" si="111"/>
        <v>0</v>
      </c>
      <c r="K133" s="201">
        <f t="shared" si="111"/>
        <v>0</v>
      </c>
    </row>
    <row r="134" spans="1:11" ht="15" customHeight="1" x14ac:dyDescent="0.25">
      <c r="C134" s="13" t="s">
        <v>174</v>
      </c>
      <c r="D134" s="200"/>
      <c r="E134" s="204"/>
      <c r="F134" s="204"/>
      <c r="G134" s="204">
        <f ca="1">SUM(G130:G133)</f>
        <v>-1698119254.6868303</v>
      </c>
      <c r="H134" s="204">
        <f t="shared" ref="H134:K134" ca="1" si="112">SUM(H130:H133)</f>
        <v>-1931809916.8999333</v>
      </c>
      <c r="I134" s="204">
        <f t="shared" ca="1" si="112"/>
        <v>-2174481314.4549265</v>
      </c>
      <c r="J134" s="204">
        <f t="shared" ca="1" si="112"/>
        <v>-2410709027.8775697</v>
      </c>
      <c r="K134" s="204">
        <f t="shared" ca="1" si="112"/>
        <v>-2654055148.0555825</v>
      </c>
    </row>
    <row r="135" spans="1:11" ht="15" customHeight="1" x14ac:dyDescent="0.25">
      <c r="C135" s="13"/>
      <c r="D135" s="200"/>
      <c r="E135" s="204"/>
      <c r="F135" s="204"/>
      <c r="G135" s="204"/>
      <c r="H135" s="204"/>
      <c r="I135" s="204"/>
      <c r="J135" s="204"/>
      <c r="K135" s="204"/>
    </row>
    <row r="136" spans="1:11" ht="15" customHeight="1" x14ac:dyDescent="0.25">
      <c r="C136" s="13" t="s">
        <v>154</v>
      </c>
      <c r="D136" s="200"/>
      <c r="E136" s="204"/>
      <c r="F136" s="204"/>
      <c r="G136" s="204">
        <f ca="1">G123+G127+G134</f>
        <v>1358844474.7195485</v>
      </c>
      <c r="H136" s="204">
        <f t="shared" ref="H136:K136" ca="1" si="113">H123+H127+H134</f>
        <v>1356128431.3637991</v>
      </c>
      <c r="I136" s="204">
        <f t="shared" ca="1" si="113"/>
        <v>1528033359.5397797</v>
      </c>
      <c r="J136" s="204">
        <f t="shared" ca="1" si="113"/>
        <v>1696411985.4873672</v>
      </c>
      <c r="K136" s="204">
        <f t="shared" ca="1" si="113"/>
        <v>1847527596.2085462</v>
      </c>
    </row>
    <row r="137" spans="1:11" ht="15" customHeight="1" x14ac:dyDescent="0.25">
      <c r="C137" s="6" t="s">
        <v>155</v>
      </c>
      <c r="D137" s="200"/>
      <c r="E137" s="204"/>
      <c r="F137" s="204"/>
      <c r="G137" s="204">
        <f>F60</f>
        <v>3459391229</v>
      </c>
      <c r="H137" s="204">
        <f t="shared" ref="H137:K137" ca="1" si="114">G60</f>
        <v>4818235703.7195482</v>
      </c>
      <c r="I137" s="204">
        <f t="shared" ca="1" si="114"/>
        <v>6174364135.0833473</v>
      </c>
      <c r="J137" s="204">
        <f t="shared" ca="1" si="114"/>
        <v>7702397494.623127</v>
      </c>
      <c r="K137" s="204">
        <f t="shared" ca="1" si="114"/>
        <v>9398809480.1104946</v>
      </c>
    </row>
    <row r="138" spans="1:11" ht="15" customHeight="1" x14ac:dyDescent="0.25">
      <c r="C138" s="13" t="s">
        <v>156</v>
      </c>
      <c r="D138" s="202"/>
      <c r="E138" s="204"/>
      <c r="F138" s="204"/>
      <c r="G138" s="204">
        <f ca="1">G136+G137</f>
        <v>4818235703.7195482</v>
      </c>
      <c r="H138" s="204">
        <f t="shared" ref="H138:K138" ca="1" si="115">H136+H137</f>
        <v>6174364135.0833473</v>
      </c>
      <c r="I138" s="204">
        <f t="shared" ca="1" si="115"/>
        <v>7702397494.623127</v>
      </c>
      <c r="J138" s="204">
        <f t="shared" ca="1" si="115"/>
        <v>9398809480.1104946</v>
      </c>
      <c r="K138" s="204">
        <f t="shared" ca="1" si="115"/>
        <v>11246337076.31904</v>
      </c>
    </row>
    <row r="139" spans="1:11" ht="15" customHeight="1" x14ac:dyDescent="0.25">
      <c r="C139" s="13"/>
      <c r="D139" s="202"/>
      <c r="E139" s="205"/>
      <c r="F139" s="204"/>
      <c r="G139" s="205"/>
      <c r="H139" s="205"/>
      <c r="I139" s="205"/>
      <c r="J139" s="205"/>
      <c r="K139" s="205"/>
    </row>
    <row r="140" spans="1:11" ht="15" customHeight="1" x14ac:dyDescent="0.25">
      <c r="C140" s="13" t="s">
        <v>22</v>
      </c>
      <c r="D140" s="237"/>
      <c r="E140" s="237"/>
      <c r="F140" s="201"/>
      <c r="G140" s="201">
        <f ca="1">G138-G60</f>
        <v>0</v>
      </c>
      <c r="H140" s="201">
        <f t="shared" ref="H140:K140" ca="1" si="116">H138-H60</f>
        <v>0</v>
      </c>
      <c r="I140" s="201">
        <f t="shared" ca="1" si="116"/>
        <v>0</v>
      </c>
      <c r="J140" s="201">
        <f t="shared" ca="1" si="116"/>
        <v>0</v>
      </c>
      <c r="K140" s="201">
        <f t="shared" ca="1" si="116"/>
        <v>0</v>
      </c>
    </row>
    <row r="141" spans="1:11" ht="15" customHeight="1" x14ac:dyDescent="0.25"/>
    <row r="142" spans="1:11" customFormat="1" x14ac:dyDescent="0.25">
      <c r="A142" t="s">
        <v>285</v>
      </c>
      <c r="C142" s="39" t="s">
        <v>31</v>
      </c>
      <c r="D142" s="249"/>
      <c r="E142" s="40"/>
      <c r="F142" s="40"/>
      <c r="G142" s="40"/>
      <c r="H142" s="40"/>
      <c r="I142" s="40"/>
      <c r="J142" s="40"/>
      <c r="K142" s="40"/>
    </row>
    <row r="143" spans="1:11" customFormat="1" x14ac:dyDescent="0.25">
      <c r="C143" t="s">
        <v>42</v>
      </c>
      <c r="D143" s="41">
        <f t="shared" ref="D143:K143" si="117">D$13</f>
        <v>2023</v>
      </c>
      <c r="E143" s="41">
        <f t="shared" si="117"/>
        <v>2024</v>
      </c>
      <c r="F143" s="41">
        <f t="shared" si="117"/>
        <v>2025</v>
      </c>
      <c r="G143" s="42">
        <f t="shared" si="117"/>
        <v>2026</v>
      </c>
      <c r="H143" s="42">
        <f t="shared" si="117"/>
        <v>2027</v>
      </c>
      <c r="I143" s="42">
        <f t="shared" si="117"/>
        <v>2028</v>
      </c>
      <c r="J143" s="42">
        <f t="shared" si="117"/>
        <v>2029</v>
      </c>
      <c r="K143" s="42">
        <f t="shared" si="117"/>
        <v>2030</v>
      </c>
    </row>
    <row r="144" spans="1:11" customFormat="1" x14ac:dyDescent="0.25">
      <c r="C144" s="43" t="s">
        <v>43</v>
      </c>
      <c r="D144" s="250">
        <f t="shared" ref="D144:K144" si="118">D$14</f>
        <v>45291</v>
      </c>
      <c r="E144" s="232">
        <f t="shared" si="118"/>
        <v>45657</v>
      </c>
      <c r="F144" s="232">
        <f t="shared" si="118"/>
        <v>46022</v>
      </c>
      <c r="G144" s="232">
        <f t="shared" si="118"/>
        <v>46387</v>
      </c>
      <c r="H144" s="232">
        <f t="shared" si="118"/>
        <v>46752</v>
      </c>
      <c r="I144" s="232">
        <f t="shared" si="118"/>
        <v>47118</v>
      </c>
      <c r="J144" s="232">
        <f t="shared" si="118"/>
        <v>47483</v>
      </c>
      <c r="K144" s="232">
        <f t="shared" si="118"/>
        <v>47848</v>
      </c>
    </row>
    <row r="145" spans="1:11" ht="15" customHeight="1" x14ac:dyDescent="0.25"/>
    <row r="146" spans="1:11" ht="15" customHeight="1" x14ac:dyDescent="0.25">
      <c r="C146" s="17" t="s">
        <v>32</v>
      </c>
      <c r="D146" s="186"/>
      <c r="E146" s="187">
        <f>D149</f>
        <v>1683607099</v>
      </c>
      <c r="F146" s="187">
        <f t="shared" ref="F146:G146" si="119">E149</f>
        <v>1669630565</v>
      </c>
      <c r="G146" s="187">
        <f t="shared" si="119"/>
        <v>2522323523</v>
      </c>
      <c r="H146" s="187">
        <f t="shared" ref="H146:K146" si="120">G149</f>
        <v>2417033562.9155965</v>
      </c>
      <c r="I146" s="187">
        <f t="shared" si="120"/>
        <v>2299463458.5546107</v>
      </c>
      <c r="J146" s="187">
        <f t="shared" si="120"/>
        <v>2169207052.8783469</v>
      </c>
      <c r="K146" s="187">
        <f t="shared" si="120"/>
        <v>2027023965.971066</v>
      </c>
    </row>
    <row r="147" spans="1:11" ht="15" customHeight="1" x14ac:dyDescent="0.25">
      <c r="C147" s="29" t="s">
        <v>33</v>
      </c>
      <c r="D147" s="199">
        <v>56808221</v>
      </c>
      <c r="E147" s="199">
        <v>206542630</v>
      </c>
      <c r="F147" s="199">
        <v>329893202</v>
      </c>
      <c r="G147" s="185">
        <f>G151*G16</f>
        <v>281570407.70789284</v>
      </c>
      <c r="H147" s="185">
        <f t="shared" ref="H147:K147" si="121">H151*H16</f>
        <v>314410435.64500153</v>
      </c>
      <c r="I147" s="185">
        <f t="shared" si="121"/>
        <v>348336624.15133798</v>
      </c>
      <c r="J147" s="185">
        <f t="shared" si="121"/>
        <v>380231407.79573822</v>
      </c>
      <c r="K147" s="185">
        <f t="shared" si="121"/>
        <v>412484331.5070737</v>
      </c>
    </row>
    <row r="148" spans="1:11" ht="15" customHeight="1" x14ac:dyDescent="0.25">
      <c r="C148" s="29" t="s">
        <v>34</v>
      </c>
      <c r="D148" s="199">
        <v>215376939</v>
      </c>
      <c r="E148" s="199">
        <v>221562864</v>
      </c>
      <c r="F148" s="199">
        <v>259089682</v>
      </c>
      <c r="G148" s="185">
        <f>G152*G16</f>
        <v>386860367.79229647</v>
      </c>
      <c r="H148" s="185">
        <f t="shared" ref="H148:K148" si="122">H152*H16</f>
        <v>431980540.00598699</v>
      </c>
      <c r="I148" s="185">
        <f t="shared" si="122"/>
        <v>478593029.82760179</v>
      </c>
      <c r="J148" s="185">
        <f t="shared" si="122"/>
        <v>522414494.70301926</v>
      </c>
      <c r="K148" s="185">
        <f t="shared" si="122"/>
        <v>566728021.93379414</v>
      </c>
    </row>
    <row r="149" spans="1:11" ht="15" customHeight="1" x14ac:dyDescent="0.25">
      <c r="C149" s="16" t="s">
        <v>35</v>
      </c>
      <c r="D149" s="234">
        <f>D64</f>
        <v>1683607099</v>
      </c>
      <c r="E149" s="234">
        <f t="shared" ref="E149:F149" si="123">E64</f>
        <v>1669630565</v>
      </c>
      <c r="F149" s="234">
        <f t="shared" si="123"/>
        <v>2522323523</v>
      </c>
      <c r="G149" s="234">
        <f>G146+G147-G148</f>
        <v>2417033562.9155965</v>
      </c>
      <c r="H149" s="234">
        <f t="shared" ref="H149:K149" si="124">H146+H147-H148</f>
        <v>2299463458.5546107</v>
      </c>
      <c r="I149" s="234">
        <f t="shared" si="124"/>
        <v>2169207052.8783469</v>
      </c>
      <c r="J149" s="234">
        <f t="shared" si="124"/>
        <v>2027023965.971066</v>
      </c>
      <c r="K149" s="234">
        <f t="shared" si="124"/>
        <v>1872780275.5443459</v>
      </c>
    </row>
    <row r="150" spans="1:11" ht="15" customHeight="1" x14ac:dyDescent="0.25">
      <c r="C150" s="13"/>
      <c r="D150" s="10"/>
      <c r="E150" s="158"/>
      <c r="F150" s="158"/>
      <c r="G150" s="159"/>
      <c r="H150" s="159"/>
      <c r="I150" s="159"/>
      <c r="J150" s="159"/>
      <c r="K150" s="159"/>
    </row>
    <row r="151" spans="1:11" ht="15" customHeight="1" x14ac:dyDescent="0.25">
      <c r="C151" s="6" t="s">
        <v>148</v>
      </c>
      <c r="D151" s="22">
        <f>D147/D16</f>
        <v>9.4009277807846035E-3</v>
      </c>
      <c r="E151" s="22">
        <f t="shared" ref="E151:F151" si="125">E147/E16</f>
        <v>2.3659538184976344E-2</v>
      </c>
      <c r="F151" s="22">
        <f t="shared" si="125"/>
        <v>2.6503150867274623E-2</v>
      </c>
      <c r="G151" s="212">
        <f>AVERAGE(D151:F151)</f>
        <v>1.985453894434519E-2</v>
      </c>
      <c r="H151" s="212">
        <f>G151</f>
        <v>1.985453894434519E-2</v>
      </c>
      <c r="I151" s="212">
        <f t="shared" ref="I151:K151" si="126">H151</f>
        <v>1.985453894434519E-2</v>
      </c>
      <c r="J151" s="212">
        <f t="shared" si="126"/>
        <v>1.985453894434519E-2</v>
      </c>
      <c r="K151" s="212">
        <f t="shared" si="126"/>
        <v>1.985453894434519E-2</v>
      </c>
    </row>
    <row r="152" spans="1:11" ht="15" customHeight="1" x14ac:dyDescent="0.25">
      <c r="C152" s="6" t="s">
        <v>177</v>
      </c>
      <c r="D152" s="22">
        <f>D148/D16</f>
        <v>3.5641726030911106E-2</v>
      </c>
      <c r="E152" s="22">
        <f t="shared" ref="E152:F152" si="127">E148/E16</f>
        <v>2.5380111801523591E-2</v>
      </c>
      <c r="F152" s="22">
        <f t="shared" si="127"/>
        <v>2.0814896725881021E-2</v>
      </c>
      <c r="G152" s="212">
        <f t="shared" ref="G152" si="128">AVERAGE(D152:F152)</f>
        <v>2.7278911519438575E-2</v>
      </c>
      <c r="H152" s="212">
        <f t="shared" ref="H152:K152" si="129">G152</f>
        <v>2.7278911519438575E-2</v>
      </c>
      <c r="I152" s="212">
        <f t="shared" si="129"/>
        <v>2.7278911519438575E-2</v>
      </c>
      <c r="J152" s="212">
        <f t="shared" si="129"/>
        <v>2.7278911519438575E-2</v>
      </c>
      <c r="K152" s="212">
        <f t="shared" si="129"/>
        <v>2.7278911519438575E-2</v>
      </c>
    </row>
    <row r="153" spans="1:11" ht="15" customHeight="1" x14ac:dyDescent="0.25">
      <c r="E153" s="1"/>
      <c r="F153" s="1"/>
      <c r="G153" s="1"/>
      <c r="H153" s="1"/>
      <c r="I153" s="1"/>
      <c r="J153" s="1"/>
      <c r="K153" s="1"/>
    </row>
    <row r="154" spans="1:11" s="35" customFormat="1" ht="15" customHeight="1" x14ac:dyDescent="0.25">
      <c r="A154" s="35" t="s">
        <v>285</v>
      </c>
      <c r="C154" s="45" t="s">
        <v>36</v>
      </c>
      <c r="D154" s="47"/>
      <c r="E154" s="47"/>
      <c r="F154" s="47"/>
      <c r="G154" s="47"/>
      <c r="H154" s="47"/>
      <c r="I154" s="47"/>
      <c r="J154" s="47"/>
      <c r="K154" s="47"/>
    </row>
    <row r="155" spans="1:11" s="31" customFormat="1" ht="15" customHeight="1" x14ac:dyDescent="0.25">
      <c r="C155" s="32"/>
      <c r="D155" s="33"/>
      <c r="E155" s="34"/>
      <c r="F155" s="34"/>
      <c r="G155" s="34"/>
      <c r="H155" s="34"/>
      <c r="I155" s="34"/>
      <c r="J155" s="34"/>
      <c r="K155" s="34"/>
    </row>
    <row r="156" spans="1:11" s="31" customFormat="1" ht="15" customHeight="1" x14ac:dyDescent="0.25">
      <c r="C156" s="35" t="s">
        <v>37</v>
      </c>
      <c r="D156" s="10">
        <f>28156249+6891333</f>
        <v>35047582</v>
      </c>
      <c r="E156" s="10">
        <f>28156249+7082414</f>
        <v>35238663</v>
      </c>
      <c r="F156" s="10">
        <f>28156249+2525364</f>
        <v>30681613</v>
      </c>
      <c r="G156" s="36">
        <f>G257+G284</f>
        <v>28156249</v>
      </c>
      <c r="H156" s="36">
        <f t="shared" ref="H156:K156" si="130">H257+H284</f>
        <v>28156249</v>
      </c>
      <c r="I156" s="36">
        <f t="shared" si="130"/>
        <v>28156249</v>
      </c>
      <c r="J156" s="36">
        <f t="shared" si="130"/>
        <v>22330870</v>
      </c>
      <c r="K156" s="36">
        <f t="shared" si="130"/>
        <v>0</v>
      </c>
    </row>
    <row r="157" spans="1:11" s="31" customFormat="1" ht="15" customHeight="1" x14ac:dyDescent="0.25">
      <c r="A157" s="32"/>
      <c r="B157" s="32"/>
      <c r="C157" s="24" t="s">
        <v>38</v>
      </c>
      <c r="D157" s="37">
        <f>D156/D16</f>
        <v>5.799861031964483E-3</v>
      </c>
      <c r="E157" s="37">
        <f t="shared" ref="E157:F157" si="131">E156/E16</f>
        <v>4.0366024817056556E-3</v>
      </c>
      <c r="F157" s="37">
        <f t="shared" si="131"/>
        <v>2.4649171709525994E-3</v>
      </c>
      <c r="G157" s="37">
        <f t="shared" ref="G157" si="132">G156/G16</f>
        <v>1.9853980638374802E-3</v>
      </c>
      <c r="H157" s="37">
        <f t="shared" ref="H157" si="133">H156/H16</f>
        <v>1.7780241331696004E-3</v>
      </c>
      <c r="I157" s="37">
        <f t="shared" ref="I157" si="134">I156/I16</f>
        <v>1.6048537636809185E-3</v>
      </c>
      <c r="J157" s="37">
        <f t="shared" ref="J157" si="135">J156/J16</f>
        <v>1.1660507758851138E-3</v>
      </c>
      <c r="K157" s="37">
        <f t="shared" ref="K157" si="136">K156/K16</f>
        <v>0</v>
      </c>
    </row>
    <row r="158" spans="1:11" ht="15" customHeight="1" x14ac:dyDescent="0.25">
      <c r="C158" s="38" t="s">
        <v>39</v>
      </c>
      <c r="D158" s="30">
        <f>D148+D156</f>
        <v>250424521</v>
      </c>
      <c r="E158" s="30">
        <f t="shared" ref="E158:K158" si="137">E148+E156</f>
        <v>256801527</v>
      </c>
      <c r="F158" s="30">
        <f t="shared" si="137"/>
        <v>289771295</v>
      </c>
      <c r="G158" s="30">
        <f t="shared" si="137"/>
        <v>415016616.79229647</v>
      </c>
      <c r="H158" s="30">
        <f t="shared" si="137"/>
        <v>460136789.00598699</v>
      </c>
      <c r="I158" s="30">
        <f t="shared" si="137"/>
        <v>506749278.82760179</v>
      </c>
      <c r="J158" s="30">
        <f t="shared" si="137"/>
        <v>544745364.70301926</v>
      </c>
      <c r="K158" s="30">
        <f t="shared" si="137"/>
        <v>566728021.93379414</v>
      </c>
    </row>
    <row r="160" spans="1:11" x14ac:dyDescent="0.25">
      <c r="A160" s="6" t="s">
        <v>285</v>
      </c>
      <c r="C160" s="13" t="s">
        <v>205</v>
      </c>
      <c r="D160" s="261"/>
      <c r="E160" s="13"/>
      <c r="F160" s="13"/>
      <c r="G160" s="13"/>
      <c r="H160" s="13"/>
      <c r="I160" s="13"/>
      <c r="J160" s="13"/>
      <c r="K160" s="13"/>
    </row>
    <row r="161" spans="3:11" x14ac:dyDescent="0.25">
      <c r="C161" s="48" t="s">
        <v>42</v>
      </c>
      <c r="D161" s="49">
        <f t="shared" ref="D161:K161" si="138">D$13</f>
        <v>2023</v>
      </c>
      <c r="E161" s="49">
        <f t="shared" si="138"/>
        <v>2024</v>
      </c>
      <c r="F161" s="49">
        <f t="shared" si="138"/>
        <v>2025</v>
      </c>
      <c r="G161" s="50">
        <f t="shared" si="138"/>
        <v>2026</v>
      </c>
      <c r="H161" s="50">
        <f t="shared" si="138"/>
        <v>2027</v>
      </c>
      <c r="I161" s="50">
        <f t="shared" si="138"/>
        <v>2028</v>
      </c>
      <c r="J161" s="50">
        <f t="shared" si="138"/>
        <v>2029</v>
      </c>
      <c r="K161" s="50">
        <f t="shared" si="138"/>
        <v>2030</v>
      </c>
    </row>
    <row r="162" spans="3:11" x14ac:dyDescent="0.25">
      <c r="C162" s="43" t="s">
        <v>43</v>
      </c>
      <c r="D162" s="44">
        <f t="shared" ref="D162:K162" si="139">D$14</f>
        <v>45291</v>
      </c>
      <c r="E162" s="44">
        <f t="shared" si="139"/>
        <v>45657</v>
      </c>
      <c r="F162" s="44">
        <f t="shared" si="139"/>
        <v>46022</v>
      </c>
      <c r="G162" s="44">
        <f t="shared" si="139"/>
        <v>46387</v>
      </c>
      <c r="H162" s="44">
        <f t="shared" si="139"/>
        <v>46752</v>
      </c>
      <c r="I162" s="44">
        <f t="shared" si="139"/>
        <v>47118</v>
      </c>
      <c r="J162" s="44">
        <f t="shared" si="139"/>
        <v>47483</v>
      </c>
      <c r="K162" s="44">
        <f t="shared" si="139"/>
        <v>47848</v>
      </c>
    </row>
    <row r="163" spans="3:11" x14ac:dyDescent="0.25">
      <c r="C163" s="35"/>
      <c r="D163" s="262"/>
      <c r="E163" s="35"/>
      <c r="F163" s="197"/>
      <c r="G163" s="265"/>
      <c r="H163" s="35"/>
    </row>
    <row r="164" spans="3:11" x14ac:dyDescent="0.25">
      <c r="C164" s="45" t="s">
        <v>277</v>
      </c>
      <c r="D164" s="262"/>
      <c r="E164" s="35"/>
      <c r="F164" s="197"/>
      <c r="G164" s="265"/>
      <c r="H164" s="35"/>
    </row>
    <row r="165" spans="3:11" x14ac:dyDescent="0.25">
      <c r="C165" s="17" t="s">
        <v>279</v>
      </c>
      <c r="D165" s="272">
        <v>3906434047</v>
      </c>
      <c r="E165" s="272">
        <v>4703479247</v>
      </c>
      <c r="F165" s="272">
        <v>8350454610</v>
      </c>
      <c r="G165" s="201">
        <f>F165*(1+G179)</f>
        <v>9853536439.7999992</v>
      </c>
      <c r="H165" s="201">
        <f t="shared" ref="H165:K165" si="140">G165*(1+H179)</f>
        <v>11233031541.372</v>
      </c>
      <c r="I165" s="201">
        <f t="shared" si="140"/>
        <v>12693325641.750359</v>
      </c>
      <c r="J165" s="201">
        <f t="shared" si="140"/>
        <v>14089591462.342899</v>
      </c>
      <c r="K165" s="201">
        <f t="shared" si="140"/>
        <v>15498550608.57719</v>
      </c>
    </row>
    <row r="166" spans="3:11" x14ac:dyDescent="0.25">
      <c r="C166" s="17" t="s">
        <v>280</v>
      </c>
      <c r="D166" s="272">
        <v>82820228</v>
      </c>
      <c r="E166" s="272">
        <v>179825230</v>
      </c>
      <c r="F166" s="272">
        <v>281863546</v>
      </c>
      <c r="G166" s="201">
        <f t="shared" ref="G166:K166" si="141">F166*(1+G180)</f>
        <v>326961713.35999995</v>
      </c>
      <c r="H166" s="201">
        <f t="shared" si="141"/>
        <v>366197118.96319997</v>
      </c>
      <c r="I166" s="201">
        <f t="shared" si="141"/>
        <v>402816830.85952002</v>
      </c>
      <c r="J166" s="201">
        <f t="shared" si="141"/>
        <v>435042177.32828164</v>
      </c>
      <c r="K166" s="201">
        <f t="shared" si="141"/>
        <v>465495129.74126136</v>
      </c>
    </row>
    <row r="167" spans="3:11" x14ac:dyDescent="0.25">
      <c r="C167" s="38" t="s">
        <v>203</v>
      </c>
      <c r="D167" s="263">
        <f>SUM(D165:D166)</f>
        <v>3989254275</v>
      </c>
      <c r="E167" s="263">
        <f t="shared" ref="E167:K167" si="142">SUM(E165:E166)</f>
        <v>4883304477</v>
      </c>
      <c r="F167" s="263">
        <f t="shared" si="142"/>
        <v>8632318156</v>
      </c>
      <c r="G167" s="263">
        <f t="shared" si="142"/>
        <v>10180498153.16</v>
      </c>
      <c r="H167" s="263">
        <f t="shared" si="142"/>
        <v>11599228660.335199</v>
      </c>
      <c r="I167" s="263">
        <f t="shared" si="142"/>
        <v>13096142472.609879</v>
      </c>
      <c r="J167" s="263">
        <f t="shared" si="142"/>
        <v>14524633639.671181</v>
      </c>
      <c r="K167" s="263">
        <f t="shared" si="142"/>
        <v>15964045738.318451</v>
      </c>
    </row>
    <row r="168" spans="3:11" x14ac:dyDescent="0.25">
      <c r="C168" s="198"/>
      <c r="D168" s="204"/>
      <c r="E168" s="204"/>
      <c r="F168" s="204"/>
      <c r="G168" s="204"/>
      <c r="H168" s="204"/>
      <c r="I168" s="204"/>
      <c r="J168" s="204"/>
      <c r="K168" s="204"/>
    </row>
    <row r="169" spans="3:11" x14ac:dyDescent="0.25">
      <c r="C169" s="45" t="s">
        <v>278</v>
      </c>
      <c r="D169" s="262"/>
      <c r="E169" s="35"/>
      <c r="F169" s="197"/>
      <c r="G169" s="265"/>
      <c r="H169" s="35"/>
    </row>
    <row r="170" spans="3:11" x14ac:dyDescent="0.25">
      <c r="C170" s="17" t="s">
        <v>279</v>
      </c>
      <c r="D170" s="272">
        <v>1622380975</v>
      </c>
      <c r="E170" s="272">
        <v>3222781048</v>
      </c>
      <c r="F170" s="272">
        <v>3356422381</v>
      </c>
      <c r="G170" s="201">
        <f>F170*(1+G183)</f>
        <v>3524243500.0500002</v>
      </c>
      <c r="H170" s="201">
        <f t="shared" ref="H170:K170" si="143">G170*(1+H183)</f>
        <v>3735698110.0530005</v>
      </c>
      <c r="I170" s="201">
        <f t="shared" si="143"/>
        <v>3922483015.5556507</v>
      </c>
      <c r="J170" s="201">
        <f t="shared" si="143"/>
        <v>4079382336.1778769</v>
      </c>
      <c r="K170" s="201">
        <f t="shared" si="143"/>
        <v>4242557629.6249924</v>
      </c>
    </row>
    <row r="171" spans="3:11" x14ac:dyDescent="0.25">
      <c r="C171" s="17" t="s">
        <v>280</v>
      </c>
      <c r="D171" s="272">
        <v>431196088</v>
      </c>
      <c r="E171" s="272">
        <v>623697296</v>
      </c>
      <c r="F171" s="272">
        <v>458579544</v>
      </c>
      <c r="G171" s="201">
        <f>F171*(1+G184)</f>
        <v>476922725.75999999</v>
      </c>
      <c r="H171" s="201">
        <f t="shared" ref="H171:K171" si="144">G171*(1+H184)</f>
        <v>500768862.04800004</v>
      </c>
      <c r="I171" s="201">
        <f t="shared" si="144"/>
        <v>525807305.15040004</v>
      </c>
      <c r="J171" s="201">
        <f t="shared" si="144"/>
        <v>546839597.35641611</v>
      </c>
      <c r="K171" s="201">
        <f t="shared" si="144"/>
        <v>568713181.25067282</v>
      </c>
    </row>
    <row r="172" spans="3:11" x14ac:dyDescent="0.25">
      <c r="C172" s="38" t="s">
        <v>203</v>
      </c>
      <c r="D172" s="263">
        <f>SUM(D170:D171)</f>
        <v>2053577063</v>
      </c>
      <c r="E172" s="263">
        <f t="shared" ref="E172:K172" si="145">SUM(E170:E171)</f>
        <v>3846478344</v>
      </c>
      <c r="F172" s="263">
        <f t="shared" si="145"/>
        <v>3815001925</v>
      </c>
      <c r="G172" s="263">
        <f t="shared" si="145"/>
        <v>4001166225.8100004</v>
      </c>
      <c r="H172" s="263">
        <f t="shared" si="145"/>
        <v>4236466972.1010003</v>
      </c>
      <c r="I172" s="263">
        <f t="shared" si="145"/>
        <v>4448290320.7060509</v>
      </c>
      <c r="J172" s="263">
        <f t="shared" si="145"/>
        <v>4626221933.5342932</v>
      </c>
      <c r="K172" s="263">
        <f t="shared" si="145"/>
        <v>4811270810.8756657</v>
      </c>
    </row>
    <row r="173" spans="3:11" x14ac:dyDescent="0.25">
      <c r="C173" s="264"/>
      <c r="D173" s="201"/>
      <c r="E173" s="201"/>
      <c r="F173" s="201"/>
      <c r="G173" s="201"/>
      <c r="H173" s="201"/>
      <c r="I173" s="201"/>
      <c r="J173" s="201"/>
      <c r="K173" s="201"/>
    </row>
    <row r="174" spans="3:11" x14ac:dyDescent="0.25">
      <c r="C174" s="198" t="s">
        <v>234</v>
      </c>
      <c r="D174" s="204">
        <f>D167+D172</f>
        <v>6042831338</v>
      </c>
      <c r="E174" s="204">
        <f t="shared" ref="E174:K174" si="146">E167+E172</f>
        <v>8729782821</v>
      </c>
      <c r="F174" s="204">
        <f t="shared" si="146"/>
        <v>12447320081</v>
      </c>
      <c r="G174" s="204">
        <f t="shared" si="146"/>
        <v>14181664378.970001</v>
      </c>
      <c r="H174" s="204">
        <f t="shared" si="146"/>
        <v>15835695632.436199</v>
      </c>
      <c r="I174" s="204">
        <f t="shared" si="146"/>
        <v>17544432793.315929</v>
      </c>
      <c r="J174" s="204">
        <f t="shared" si="146"/>
        <v>19150855573.205475</v>
      </c>
      <c r="K174" s="204">
        <f t="shared" si="146"/>
        <v>20775316549.194115</v>
      </c>
    </row>
    <row r="175" spans="3:11" x14ac:dyDescent="0.25">
      <c r="C175" s="264"/>
      <c r="D175" s="201"/>
      <c r="E175" s="201"/>
      <c r="F175" s="201"/>
      <c r="G175" s="201"/>
      <c r="H175" s="201"/>
      <c r="I175" s="201"/>
      <c r="J175" s="201"/>
      <c r="K175" s="201"/>
    </row>
    <row r="176" spans="3:11" x14ac:dyDescent="0.25">
      <c r="C176" s="6" t="s">
        <v>204</v>
      </c>
      <c r="D176" s="201">
        <f>D16-D174</f>
        <v>0</v>
      </c>
      <c r="E176" s="201">
        <f t="shared" ref="E176:K176" si="147">E16-E174</f>
        <v>0</v>
      </c>
      <c r="F176" s="201">
        <f t="shared" si="147"/>
        <v>0</v>
      </c>
      <c r="G176" s="201">
        <f t="shared" si="147"/>
        <v>0</v>
      </c>
      <c r="H176" s="201">
        <f t="shared" si="147"/>
        <v>0</v>
      </c>
      <c r="I176" s="201">
        <f t="shared" si="147"/>
        <v>0</v>
      </c>
      <c r="J176" s="201">
        <f t="shared" si="147"/>
        <v>0</v>
      </c>
      <c r="K176" s="201">
        <f t="shared" si="147"/>
        <v>0</v>
      </c>
    </row>
    <row r="177" spans="1:11" x14ac:dyDescent="0.25">
      <c r="D177" s="201"/>
      <c r="E177" s="201"/>
      <c r="F177" s="201"/>
      <c r="G177" s="201"/>
      <c r="H177" s="201"/>
      <c r="I177" s="201"/>
      <c r="J177" s="201"/>
      <c r="K177" s="201"/>
    </row>
    <row r="178" spans="1:11" x14ac:dyDescent="0.25">
      <c r="C178" s="13" t="s">
        <v>281</v>
      </c>
      <c r="D178" s="201"/>
      <c r="E178" s="201"/>
      <c r="F178" s="201"/>
      <c r="G178" s="201"/>
      <c r="H178" s="201"/>
      <c r="I178" s="201"/>
      <c r="J178" s="201"/>
      <c r="K178" s="201"/>
    </row>
    <row r="179" spans="1:11" x14ac:dyDescent="0.25">
      <c r="C179" s="17" t="s">
        <v>279</v>
      </c>
      <c r="D179" s="7"/>
      <c r="E179" s="1">
        <f>E165/D165-1</f>
        <v>0.20403395792950918</v>
      </c>
      <c r="F179" s="1">
        <f t="shared" ref="F179:F180" si="148">F165/E165-1</f>
        <v>0.77537821928865425</v>
      </c>
      <c r="G179" s="212">
        <v>0.18</v>
      </c>
      <c r="H179" s="212">
        <v>0.14000000000000001</v>
      </c>
      <c r="I179" s="212">
        <v>0.13</v>
      </c>
      <c r="J179" s="212">
        <v>0.11</v>
      </c>
      <c r="K179" s="212">
        <v>0.1</v>
      </c>
    </row>
    <row r="180" spans="1:11" x14ac:dyDescent="0.25">
      <c r="C180" s="17" t="s">
        <v>280</v>
      </c>
      <c r="D180" s="7"/>
      <c r="E180" s="1">
        <f t="shared" ref="E180" si="149">E166/D166-1</f>
        <v>1.1712718540209766</v>
      </c>
      <c r="F180" s="1">
        <f t="shared" si="148"/>
        <v>0.567430476802393</v>
      </c>
      <c r="G180" s="212">
        <v>0.16</v>
      </c>
      <c r="H180" s="212">
        <v>0.12</v>
      </c>
      <c r="I180" s="212">
        <v>0.1</v>
      </c>
      <c r="J180" s="212">
        <v>0.08</v>
      </c>
      <c r="K180" s="212">
        <v>7.0000000000000007E-2</v>
      </c>
    </row>
    <row r="181" spans="1:11" x14ac:dyDescent="0.25">
      <c r="C181" s="228"/>
      <c r="D181" s="7"/>
      <c r="E181" s="1"/>
      <c r="F181" s="1"/>
      <c r="G181" s="212"/>
      <c r="H181" s="212"/>
      <c r="I181" s="212"/>
      <c r="J181" s="212"/>
      <c r="K181" s="212"/>
    </row>
    <row r="182" spans="1:11" x14ac:dyDescent="0.25">
      <c r="C182" s="13" t="s">
        <v>282</v>
      </c>
      <c r="D182" s="201"/>
      <c r="E182" s="201"/>
      <c r="F182" s="201"/>
      <c r="G182" s="212"/>
      <c r="H182" s="212"/>
      <c r="I182" s="212"/>
      <c r="J182" s="212"/>
      <c r="K182" s="212"/>
    </row>
    <row r="183" spans="1:11" x14ac:dyDescent="0.25">
      <c r="C183" s="17" t="s">
        <v>279</v>
      </c>
      <c r="D183" s="7"/>
      <c r="E183" s="1">
        <f>E170/D170-1</f>
        <v>0.98645145478237617</v>
      </c>
      <c r="F183" s="1">
        <f t="shared" ref="F183:F184" si="150">F170/E170-1</f>
        <v>4.1467704758576529E-2</v>
      </c>
      <c r="G183" s="212">
        <v>0.05</v>
      </c>
      <c r="H183" s="212">
        <v>0.06</v>
      </c>
      <c r="I183" s="212">
        <v>0.05</v>
      </c>
      <c r="J183" s="212">
        <v>0.04</v>
      </c>
      <c r="K183" s="212">
        <v>0.04</v>
      </c>
    </row>
    <row r="184" spans="1:11" x14ac:dyDescent="0.25">
      <c r="C184" s="17" t="s">
        <v>280</v>
      </c>
      <c r="D184" s="7"/>
      <c r="E184" s="1">
        <f t="shared" ref="E184" si="151">E171/D171-1</f>
        <v>0.44643542313398732</v>
      </c>
      <c r="F184" s="1">
        <f t="shared" si="150"/>
        <v>-0.26474020820510336</v>
      </c>
      <c r="G184" s="212">
        <v>0.04</v>
      </c>
      <c r="H184" s="212">
        <v>0.05</v>
      </c>
      <c r="I184" s="212">
        <v>0.05</v>
      </c>
      <c r="J184" s="212">
        <v>0.04</v>
      </c>
      <c r="K184" s="212">
        <v>0.04</v>
      </c>
    </row>
    <row r="185" spans="1:11" x14ac:dyDescent="0.25">
      <c r="C185" s="228"/>
      <c r="D185" s="7"/>
      <c r="E185" s="1"/>
      <c r="F185" s="1"/>
      <c r="G185" s="1"/>
      <c r="H185" s="1"/>
      <c r="I185" s="1"/>
      <c r="J185" s="1"/>
      <c r="K185" s="1"/>
    </row>
    <row r="186" spans="1:11" x14ac:dyDescent="0.25">
      <c r="A186" s="6" t="s">
        <v>285</v>
      </c>
      <c r="C186" s="13" t="s">
        <v>157</v>
      </c>
    </row>
    <row r="187" spans="1:11" x14ac:dyDescent="0.25">
      <c r="C187" s="48" t="s">
        <v>42</v>
      </c>
      <c r="D187" s="49">
        <f>D$13</f>
        <v>2023</v>
      </c>
      <c r="E187" s="49">
        <f t="shared" ref="E187:K187" si="152">E$13</f>
        <v>2024</v>
      </c>
      <c r="F187" s="49">
        <f t="shared" si="152"/>
        <v>2025</v>
      </c>
      <c r="G187" s="50">
        <f t="shared" si="152"/>
        <v>2026</v>
      </c>
      <c r="H187" s="50">
        <f t="shared" si="152"/>
        <v>2027</v>
      </c>
      <c r="I187" s="50">
        <f t="shared" si="152"/>
        <v>2028</v>
      </c>
      <c r="J187" s="50">
        <f t="shared" si="152"/>
        <v>2029</v>
      </c>
      <c r="K187" s="50">
        <f t="shared" si="152"/>
        <v>2030</v>
      </c>
    </row>
    <row r="188" spans="1:11" x14ac:dyDescent="0.25">
      <c r="C188" s="43" t="s">
        <v>43</v>
      </c>
      <c r="D188" s="250">
        <f>D$14</f>
        <v>45291</v>
      </c>
      <c r="E188" s="232">
        <f t="shared" ref="E188:K188" si="153">E$14</f>
        <v>45657</v>
      </c>
      <c r="F188" s="232">
        <f t="shared" si="153"/>
        <v>46022</v>
      </c>
      <c r="G188" s="232">
        <f t="shared" si="153"/>
        <v>46387</v>
      </c>
      <c r="H188" s="232">
        <f t="shared" si="153"/>
        <v>46752</v>
      </c>
      <c r="I188" s="232">
        <f t="shared" si="153"/>
        <v>47118</v>
      </c>
      <c r="J188" s="232">
        <f t="shared" si="153"/>
        <v>47483</v>
      </c>
      <c r="K188" s="232">
        <f t="shared" si="153"/>
        <v>47848</v>
      </c>
    </row>
    <row r="189" spans="1:11" x14ac:dyDescent="0.25">
      <c r="D189" s="6"/>
    </row>
    <row r="190" spans="1:11" x14ac:dyDescent="0.25">
      <c r="C190" s="13" t="s">
        <v>158</v>
      </c>
      <c r="D190" s="6"/>
    </row>
    <row r="191" spans="1:11" x14ac:dyDescent="0.25">
      <c r="C191" s="17" t="s">
        <v>260</v>
      </c>
      <c r="D191" s="27">
        <f>D56</f>
        <v>986106029</v>
      </c>
      <c r="E191" s="27">
        <f t="shared" ref="E191:F191" si="154">E56</f>
        <v>852490043</v>
      </c>
      <c r="F191" s="27">
        <f t="shared" si="154"/>
        <v>1053646218</v>
      </c>
      <c r="G191" s="27">
        <f>G208/365*-G17</f>
        <v>1613891232.1993179</v>
      </c>
      <c r="H191" s="27">
        <f t="shared" ref="H191:K191" si="155">H208/365*-H17</f>
        <v>1802122067.9051211</v>
      </c>
      <c r="I191" s="27">
        <f t="shared" si="155"/>
        <v>1996578504.6380603</v>
      </c>
      <c r="J191" s="27">
        <f t="shared" si="155"/>
        <v>2179391436.2085991</v>
      </c>
      <c r="K191" s="27">
        <f t="shared" si="155"/>
        <v>2364257137.1686177</v>
      </c>
    </row>
    <row r="192" spans="1:11" x14ac:dyDescent="0.25">
      <c r="C192" s="17" t="s">
        <v>261</v>
      </c>
      <c r="D192" s="27">
        <f t="shared" ref="D192:F194" si="156">D57</f>
        <v>228615932</v>
      </c>
      <c r="E192" s="27">
        <f t="shared" si="156"/>
        <v>160048158</v>
      </c>
      <c r="F192" s="27">
        <f t="shared" si="156"/>
        <v>244416417</v>
      </c>
      <c r="G192" s="27">
        <f>G209/365*G16</f>
        <v>358333933.99286252</v>
      </c>
      <c r="H192" s="27">
        <f t="shared" ref="H192:K192" si="157">H209/365*H16</f>
        <v>400127020.48562968</v>
      </c>
      <c r="I192" s="27">
        <f t="shared" si="157"/>
        <v>443302383.59222007</v>
      </c>
      <c r="J192" s="27">
        <f t="shared" si="157"/>
        <v>483892527.24469441</v>
      </c>
      <c r="K192" s="27">
        <f t="shared" si="157"/>
        <v>524938449.40084767</v>
      </c>
    </row>
    <row r="193" spans="3:11" x14ac:dyDescent="0.25">
      <c r="C193" s="17" t="s">
        <v>262</v>
      </c>
      <c r="D193" s="27">
        <f t="shared" si="156"/>
        <v>249566135</v>
      </c>
      <c r="E193" s="27">
        <f t="shared" si="156"/>
        <v>632979976</v>
      </c>
      <c r="F193" s="27">
        <f t="shared" si="156"/>
        <v>1004779062</v>
      </c>
      <c r="G193" s="27">
        <f>$F193/$F$16*G$16</f>
        <v>1144779706.7620287</v>
      </c>
      <c r="H193" s="27">
        <f t="shared" ref="H193:K194" si="158">$F193/$F$16*H$16</f>
        <v>1278297280.0678911</v>
      </c>
      <c r="I193" s="27">
        <f t="shared" si="158"/>
        <v>1416230852.1573577</v>
      </c>
      <c r="J193" s="27">
        <f t="shared" si="158"/>
        <v>1545905349.4346201</v>
      </c>
      <c r="K193" s="27">
        <f t="shared" si="158"/>
        <v>1677035935.3830726</v>
      </c>
    </row>
    <row r="194" spans="3:11" x14ac:dyDescent="0.25">
      <c r="C194" s="17" t="s">
        <v>263</v>
      </c>
      <c r="D194" s="27">
        <f t="shared" si="156"/>
        <v>95368</v>
      </c>
      <c r="E194" s="27">
        <f t="shared" si="156"/>
        <v>156657</v>
      </c>
      <c r="F194" s="27">
        <f t="shared" si="156"/>
        <v>0</v>
      </c>
      <c r="G194" s="27">
        <f>$F194/$F$16*G$16</f>
        <v>0</v>
      </c>
      <c r="H194" s="27">
        <f t="shared" si="158"/>
        <v>0</v>
      </c>
      <c r="I194" s="27">
        <f t="shared" si="158"/>
        <v>0</v>
      </c>
      <c r="J194" s="27">
        <f t="shared" si="158"/>
        <v>0</v>
      </c>
      <c r="K194" s="27">
        <f t="shared" si="158"/>
        <v>0</v>
      </c>
    </row>
    <row r="195" spans="3:11" x14ac:dyDescent="0.25">
      <c r="C195" s="13" t="s">
        <v>159</v>
      </c>
      <c r="D195" s="213">
        <f>SUM(D191:D194)</f>
        <v>1464383464</v>
      </c>
      <c r="E195" s="213">
        <f t="shared" ref="E195:F195" si="159">SUM(E191:E194)</f>
        <v>1645674834</v>
      </c>
      <c r="F195" s="213">
        <f t="shared" si="159"/>
        <v>2302841697</v>
      </c>
      <c r="G195" s="213">
        <f t="shared" ref="G195" si="160">SUM(G191:G194)</f>
        <v>3117004872.9542093</v>
      </c>
      <c r="H195" s="213">
        <f t="shared" ref="H195" si="161">SUM(H191:H194)</f>
        <v>3480546368.458642</v>
      </c>
      <c r="I195" s="213">
        <f t="shared" ref="I195" si="162">SUM(I191:I194)</f>
        <v>3856111740.3876381</v>
      </c>
      <c r="J195" s="213">
        <f t="shared" ref="J195" si="163">SUM(J191:J194)</f>
        <v>4209189312.8879137</v>
      </c>
      <c r="K195" s="213">
        <f t="shared" ref="K195" si="164">SUM(K191:K194)</f>
        <v>4566231521.9525385</v>
      </c>
    </row>
    <row r="196" spans="3:11" x14ac:dyDescent="0.25">
      <c r="C196" s="13"/>
      <c r="E196" s="28"/>
      <c r="F196" s="28"/>
      <c r="G196" s="7"/>
      <c r="H196" s="7"/>
      <c r="I196" s="7"/>
      <c r="J196" s="7"/>
      <c r="K196" s="7"/>
    </row>
    <row r="197" spans="3:11" x14ac:dyDescent="0.25">
      <c r="C197" s="13" t="s">
        <v>163</v>
      </c>
      <c r="E197" s="28"/>
      <c r="F197" s="28"/>
      <c r="G197" s="7"/>
      <c r="H197" s="7"/>
      <c r="I197" s="7"/>
      <c r="J197" s="7"/>
      <c r="K197" s="7"/>
    </row>
    <row r="198" spans="3:11" x14ac:dyDescent="0.25">
      <c r="C198" s="17" t="s">
        <v>272</v>
      </c>
      <c r="D198" s="19">
        <f>D77</f>
        <v>1067664610</v>
      </c>
      <c r="E198" s="19">
        <f t="shared" ref="E198:F198" si="165">E77</f>
        <v>839311693</v>
      </c>
      <c r="F198" s="19">
        <f t="shared" si="165"/>
        <v>720176243</v>
      </c>
      <c r="G198" s="27">
        <f>G210/365*-G17</f>
        <v>1512691876.0077937</v>
      </c>
      <c r="H198" s="27">
        <f t="shared" ref="H198:K198" si="166">H210/365*-H17</f>
        <v>1689119661.4158013</v>
      </c>
      <c r="I198" s="27">
        <f t="shared" si="166"/>
        <v>1871382670.3563023</v>
      </c>
      <c r="J198" s="27">
        <f t="shared" si="166"/>
        <v>2042732282.3367026</v>
      </c>
      <c r="K198" s="27">
        <f t="shared" si="166"/>
        <v>2216005944.4121957</v>
      </c>
    </row>
    <row r="199" spans="3:11" x14ac:dyDescent="0.25">
      <c r="C199" s="17" t="s">
        <v>276</v>
      </c>
      <c r="D199" s="19">
        <f>D82</f>
        <v>309899324</v>
      </c>
      <c r="E199" s="19">
        <f t="shared" ref="E199:F199" si="167">E82</f>
        <v>345087344</v>
      </c>
      <c r="F199" s="19">
        <f t="shared" si="167"/>
        <v>713424488</v>
      </c>
      <c r="G199" s="27">
        <f>$F199/$F$16*G$16</f>
        <v>812829314.48017216</v>
      </c>
      <c r="H199" s="27">
        <f t="shared" ref="H199:K200" si="168">$F199/$F$16*H$16</f>
        <v>907630957.92319345</v>
      </c>
      <c r="I199" s="27">
        <f t="shared" si="168"/>
        <v>1005568098.3031538</v>
      </c>
      <c r="J199" s="27">
        <f t="shared" si="168"/>
        <v>1097641037.8432577</v>
      </c>
      <c r="K199" s="27">
        <f t="shared" si="168"/>
        <v>1190747845.7769353</v>
      </c>
    </row>
    <row r="200" spans="3:11" x14ac:dyDescent="0.25">
      <c r="C200" s="17" t="s">
        <v>207</v>
      </c>
      <c r="D200" s="19">
        <f>D84</f>
        <v>54445334</v>
      </c>
      <c r="E200" s="19">
        <f t="shared" ref="E200:F200" si="169">E84</f>
        <v>77899139</v>
      </c>
      <c r="F200" s="19">
        <f t="shared" si="169"/>
        <v>111684116</v>
      </c>
      <c r="G200" s="27">
        <f>$F200/$F$16*G$16</f>
        <v>127245594.97683521</v>
      </c>
      <c r="H200" s="27">
        <f t="shared" si="168"/>
        <v>142086461.69976303</v>
      </c>
      <c r="I200" s="27">
        <f t="shared" si="168"/>
        <v>157418179.53519535</v>
      </c>
      <c r="J200" s="27">
        <f t="shared" si="168"/>
        <v>171831877.17667297</v>
      </c>
      <c r="K200" s="27">
        <f t="shared" si="168"/>
        <v>186407423.31023178</v>
      </c>
    </row>
    <row r="201" spans="3:11" x14ac:dyDescent="0.25">
      <c r="C201" s="13" t="s">
        <v>164</v>
      </c>
      <c r="D201" s="216">
        <f>SUM(D198:D200)</f>
        <v>1432009268</v>
      </c>
      <c r="E201" s="216">
        <f t="shared" ref="E201:F201" si="170">SUM(E198:E200)</f>
        <v>1262298176</v>
      </c>
      <c r="F201" s="216">
        <f t="shared" si="170"/>
        <v>1545284847</v>
      </c>
      <c r="G201" s="216">
        <f t="shared" ref="G201" si="171">SUM(G198:G200)</f>
        <v>2452766785.4648008</v>
      </c>
      <c r="H201" s="216">
        <f t="shared" ref="H201" si="172">SUM(H198:H200)</f>
        <v>2738837081.0387578</v>
      </c>
      <c r="I201" s="216">
        <f t="shared" ref="I201" si="173">SUM(I198:I200)</f>
        <v>3034368948.1946516</v>
      </c>
      <c r="J201" s="216">
        <f t="shared" ref="J201" si="174">SUM(J198:J200)</f>
        <v>3312205197.3566332</v>
      </c>
      <c r="K201" s="216">
        <f t="shared" ref="K201" si="175">SUM(K198:K200)</f>
        <v>3593161213.4993625</v>
      </c>
    </row>
    <row r="202" spans="3:11" x14ac:dyDescent="0.25">
      <c r="E202" s="28"/>
      <c r="F202" s="28"/>
      <c r="G202" s="7"/>
      <c r="H202" s="7"/>
      <c r="I202" s="7"/>
      <c r="J202" s="7"/>
      <c r="K202" s="7"/>
    </row>
    <row r="203" spans="3:11" x14ac:dyDescent="0.25">
      <c r="C203" s="6" t="s">
        <v>160</v>
      </c>
      <c r="D203" s="19">
        <f>D195-D201</f>
        <v>32374196</v>
      </c>
      <c r="E203" s="19">
        <f t="shared" ref="E203:F203" si="176">E195-E201</f>
        <v>383376658</v>
      </c>
      <c r="F203" s="19">
        <f t="shared" si="176"/>
        <v>757556850</v>
      </c>
      <c r="G203" s="19">
        <f t="shared" ref="G203:K203" si="177">G195-G201</f>
        <v>664238087.48940849</v>
      </c>
      <c r="H203" s="19">
        <f t="shared" si="177"/>
        <v>741709287.4198842</v>
      </c>
      <c r="I203" s="19">
        <f t="shared" si="177"/>
        <v>821742792.19298649</v>
      </c>
      <c r="J203" s="19">
        <f t="shared" si="177"/>
        <v>896984115.53128052</v>
      </c>
      <c r="K203" s="19">
        <f t="shared" si="177"/>
        <v>973070308.45317602</v>
      </c>
    </row>
    <row r="204" spans="3:11" x14ac:dyDescent="0.25">
      <c r="C204" s="6" t="s">
        <v>161</v>
      </c>
      <c r="D204" s="22">
        <f>D203/D16</f>
        <v>5.3574548401536075E-3</v>
      </c>
      <c r="E204" s="22">
        <f t="shared" ref="E204:F204" si="178">E203/E16</f>
        <v>4.3915944515568607E-2</v>
      </c>
      <c r="F204" s="22">
        <f t="shared" si="178"/>
        <v>6.0861040374173378E-2</v>
      </c>
      <c r="G204" s="22">
        <f t="shared" ref="G204" si="179">G203/G16</f>
        <v>4.6837809000360178E-2</v>
      </c>
      <c r="H204" s="22">
        <f t="shared" ref="H204" si="180">H203/H16</f>
        <v>4.6837809000360157E-2</v>
      </c>
      <c r="I204" s="22">
        <f t="shared" ref="I204" si="181">I203/I16</f>
        <v>4.6837809000360144E-2</v>
      </c>
      <c r="J204" s="22">
        <f t="shared" ref="J204" si="182">J203/J16</f>
        <v>4.6837809000360137E-2</v>
      </c>
      <c r="K204" s="22">
        <f t="shared" ref="K204" si="183">K203/K16</f>
        <v>4.6837809000360185E-2</v>
      </c>
    </row>
    <row r="205" spans="3:11" x14ac:dyDescent="0.25">
      <c r="C205" s="6" t="s">
        <v>162</v>
      </c>
      <c r="D205" s="19"/>
      <c r="E205" s="185">
        <f>D203-E203</f>
        <v>-351002462</v>
      </c>
      <c r="F205" s="185">
        <f t="shared" ref="F205:K205" si="184">E203-F203</f>
        <v>-374180192</v>
      </c>
      <c r="G205" s="185">
        <f t="shared" si="184"/>
        <v>93318762.510591507</v>
      </c>
      <c r="H205" s="185">
        <f t="shared" si="184"/>
        <v>-77471199.930475712</v>
      </c>
      <c r="I205" s="185">
        <f t="shared" si="184"/>
        <v>-80033504.773102283</v>
      </c>
      <c r="J205" s="185">
        <f t="shared" si="184"/>
        <v>-75241323.338294029</v>
      </c>
      <c r="K205" s="185">
        <f t="shared" si="184"/>
        <v>-76086192.921895504</v>
      </c>
    </row>
    <row r="206" spans="3:11" x14ac:dyDescent="0.25">
      <c r="D206" s="19"/>
      <c r="E206" s="185"/>
      <c r="F206" s="185"/>
      <c r="G206" s="185"/>
      <c r="H206" s="185"/>
      <c r="I206" s="185"/>
      <c r="J206" s="185"/>
      <c r="K206" s="185"/>
    </row>
    <row r="207" spans="3:11" x14ac:dyDescent="0.25">
      <c r="C207" s="13" t="s">
        <v>182</v>
      </c>
      <c r="G207" s="241"/>
      <c r="H207" s="241"/>
      <c r="I207" s="241"/>
      <c r="J207" s="241"/>
      <c r="K207" s="241"/>
    </row>
    <row r="208" spans="3:11" x14ac:dyDescent="0.25">
      <c r="C208" s="17" t="s">
        <v>183</v>
      </c>
      <c r="D208" s="245">
        <f>D191/-D17*365</f>
        <v>75.61820880726242</v>
      </c>
      <c r="E208" s="245">
        <f t="shared" ref="E208:F208" si="185">E191/-E17*365</f>
        <v>46.840306249035947</v>
      </c>
      <c r="F208" s="245">
        <f t="shared" si="185"/>
        <v>52.04737276494297</v>
      </c>
      <c r="G208" s="266">
        <f>AVERAGE(D208:F208)</f>
        <v>58.168629273747115</v>
      </c>
      <c r="H208" s="266">
        <f>G208</f>
        <v>58.168629273747115</v>
      </c>
      <c r="I208" s="266">
        <f t="shared" ref="I208:K208" si="186">H208</f>
        <v>58.168629273747115</v>
      </c>
      <c r="J208" s="266">
        <f t="shared" si="186"/>
        <v>58.168629273747115</v>
      </c>
      <c r="K208" s="266">
        <f t="shared" si="186"/>
        <v>58.168629273747115</v>
      </c>
    </row>
    <row r="209" spans="1:11" x14ac:dyDescent="0.25">
      <c r="C209" s="17" t="s">
        <v>184</v>
      </c>
      <c r="D209" s="245">
        <f>D192/D16*365</f>
        <v>13.808893631576648</v>
      </c>
      <c r="E209" s="245">
        <f t="shared" ref="E209:F209" si="187">E192/E16*365</f>
        <v>6.691756125876708</v>
      </c>
      <c r="F209" s="245">
        <f t="shared" si="187"/>
        <v>7.1671646285674084</v>
      </c>
      <c r="G209" s="266">
        <f t="shared" ref="G209:G210" si="188">AVERAGE(D209:F209)</f>
        <v>9.2226047953402546</v>
      </c>
      <c r="H209" s="266">
        <f t="shared" ref="H209:K209" si="189">G209</f>
        <v>9.2226047953402546</v>
      </c>
      <c r="I209" s="266">
        <f t="shared" si="189"/>
        <v>9.2226047953402546</v>
      </c>
      <c r="J209" s="266">
        <f t="shared" si="189"/>
        <v>9.2226047953402546</v>
      </c>
      <c r="K209" s="266">
        <f t="shared" si="189"/>
        <v>9.2226047953402546</v>
      </c>
    </row>
    <row r="210" spans="1:11" x14ac:dyDescent="0.25">
      <c r="C210" s="17" t="s">
        <v>185</v>
      </c>
      <c r="D210" s="245">
        <f>D198/-D17*365</f>
        <v>81.872418422364589</v>
      </c>
      <c r="E210" s="245">
        <f t="shared" ref="E210:F210" si="190">E198/-E17*365</f>
        <v>46.116218085278966</v>
      </c>
      <c r="F210" s="245">
        <f t="shared" si="190"/>
        <v>35.574826479258668</v>
      </c>
      <c r="G210" s="266">
        <f t="shared" si="188"/>
        <v>54.521154328967405</v>
      </c>
      <c r="H210" s="266">
        <f t="shared" ref="H210:K210" si="191">G210</f>
        <v>54.521154328967405</v>
      </c>
      <c r="I210" s="266">
        <f t="shared" si="191"/>
        <v>54.521154328967405</v>
      </c>
      <c r="J210" s="266">
        <f t="shared" si="191"/>
        <v>54.521154328967405</v>
      </c>
      <c r="K210" s="266">
        <f t="shared" si="191"/>
        <v>54.521154328967405</v>
      </c>
    </row>
    <row r="211" spans="1:11" x14ac:dyDescent="0.25">
      <c r="D211" s="242"/>
      <c r="E211" s="242"/>
      <c r="F211" s="242"/>
      <c r="G211" s="241"/>
      <c r="H211" s="241"/>
      <c r="I211" s="241"/>
      <c r="J211" s="241"/>
      <c r="K211" s="241"/>
    </row>
    <row r="212" spans="1:11" x14ac:dyDescent="0.25">
      <c r="A212" s="6" t="s">
        <v>285</v>
      </c>
      <c r="C212" s="13" t="s">
        <v>165</v>
      </c>
    </row>
    <row r="213" spans="1:11" x14ac:dyDescent="0.25">
      <c r="C213" s="48" t="s">
        <v>42</v>
      </c>
      <c r="D213" s="49">
        <f t="shared" ref="D213:K213" si="192">D$13</f>
        <v>2023</v>
      </c>
      <c r="E213" s="49">
        <f t="shared" si="192"/>
        <v>2024</v>
      </c>
      <c r="F213" s="49">
        <f t="shared" si="192"/>
        <v>2025</v>
      </c>
      <c r="G213" s="50">
        <f t="shared" si="192"/>
        <v>2026</v>
      </c>
      <c r="H213" s="50">
        <f t="shared" si="192"/>
        <v>2027</v>
      </c>
      <c r="I213" s="50">
        <f t="shared" si="192"/>
        <v>2028</v>
      </c>
      <c r="J213" s="50">
        <f t="shared" si="192"/>
        <v>2029</v>
      </c>
      <c r="K213" s="50">
        <f t="shared" si="192"/>
        <v>2030</v>
      </c>
    </row>
    <row r="214" spans="1:11" x14ac:dyDescent="0.25">
      <c r="C214" s="43" t="s">
        <v>43</v>
      </c>
      <c r="D214" s="250">
        <f t="shared" ref="D214:K214" si="193">D$14</f>
        <v>45291</v>
      </c>
      <c r="E214" s="232">
        <f t="shared" si="193"/>
        <v>45657</v>
      </c>
      <c r="F214" s="232">
        <f t="shared" si="193"/>
        <v>46022</v>
      </c>
      <c r="G214" s="232">
        <f t="shared" si="193"/>
        <v>46387</v>
      </c>
      <c r="H214" s="232">
        <f t="shared" si="193"/>
        <v>46752</v>
      </c>
      <c r="I214" s="232">
        <f t="shared" si="193"/>
        <v>47118</v>
      </c>
      <c r="J214" s="232">
        <f t="shared" si="193"/>
        <v>47483</v>
      </c>
      <c r="K214" s="232">
        <f t="shared" si="193"/>
        <v>47848</v>
      </c>
    </row>
    <row r="216" spans="1:11" x14ac:dyDescent="0.25">
      <c r="C216" s="13" t="s">
        <v>202</v>
      </c>
      <c r="D216" s="19"/>
      <c r="E216" s="185"/>
      <c r="F216" s="185"/>
      <c r="G216" s="185"/>
      <c r="H216" s="185"/>
      <c r="I216" s="185"/>
      <c r="J216" s="185"/>
      <c r="K216" s="185"/>
    </row>
    <row r="217" spans="1:11" x14ac:dyDescent="0.25">
      <c r="C217" s="29" t="s">
        <v>32</v>
      </c>
      <c r="D217" s="19"/>
      <c r="E217" s="185">
        <f>D218</f>
        <v>90074273</v>
      </c>
      <c r="F217" s="185">
        <f t="shared" ref="F217:G217" si="194">E218</f>
        <v>760917684</v>
      </c>
      <c r="G217" s="185">
        <f t="shared" si="194"/>
        <v>1133932616</v>
      </c>
      <c r="H217" s="185">
        <f t="shared" ref="H217" si="195">G218</f>
        <v>1133932616</v>
      </c>
      <c r="I217" s="185">
        <f t="shared" ref="I217" si="196">H218</f>
        <v>1133932616</v>
      </c>
      <c r="J217" s="185">
        <f t="shared" ref="J217" si="197">I218</f>
        <v>1133932616</v>
      </c>
      <c r="K217" s="185">
        <f t="shared" ref="K217" si="198">J218</f>
        <v>1133932616</v>
      </c>
    </row>
    <row r="218" spans="1:11" x14ac:dyDescent="0.25">
      <c r="C218" s="29" t="s">
        <v>35</v>
      </c>
      <c r="D218" s="19">
        <f>D78+D80+D88</f>
        <v>90074273</v>
      </c>
      <c r="E218" s="19">
        <f t="shared" ref="E218:K218" si="199">E78+E80+E88</f>
        <v>760917684</v>
      </c>
      <c r="F218" s="19">
        <f t="shared" si="199"/>
        <v>1133932616</v>
      </c>
      <c r="G218" s="19">
        <f t="shared" si="199"/>
        <v>1133932616</v>
      </c>
      <c r="H218" s="19">
        <f t="shared" si="199"/>
        <v>1133932616</v>
      </c>
      <c r="I218" s="19">
        <f t="shared" si="199"/>
        <v>1133932616</v>
      </c>
      <c r="J218" s="19">
        <f t="shared" si="199"/>
        <v>1133932616</v>
      </c>
      <c r="K218" s="19">
        <f t="shared" si="199"/>
        <v>1133932616</v>
      </c>
    </row>
    <row r="219" spans="1:11" x14ac:dyDescent="0.25">
      <c r="C219" s="29" t="s">
        <v>166</v>
      </c>
      <c r="D219" s="19"/>
      <c r="E219" s="185">
        <f>AVERAGE(E217,E218)</f>
        <v>425495978.5</v>
      </c>
      <c r="F219" s="185">
        <f t="shared" ref="F219:K219" si="200">AVERAGE(F217,F218)</f>
        <v>947425150</v>
      </c>
      <c r="G219" s="185">
        <f t="shared" si="200"/>
        <v>1133932616</v>
      </c>
      <c r="H219" s="185">
        <f t="shared" si="200"/>
        <v>1133932616</v>
      </c>
      <c r="I219" s="185">
        <f t="shared" si="200"/>
        <v>1133932616</v>
      </c>
      <c r="J219" s="185">
        <f t="shared" si="200"/>
        <v>1133932616</v>
      </c>
      <c r="K219" s="185">
        <f t="shared" si="200"/>
        <v>1133932616</v>
      </c>
    </row>
    <row r="220" spans="1:11" x14ac:dyDescent="0.25">
      <c r="C220" s="29" t="s">
        <v>167</v>
      </c>
      <c r="D220" s="22"/>
      <c r="E220" s="1">
        <f>E227/E219</f>
        <v>-0.21431205136525161</v>
      </c>
      <c r="F220" s="1">
        <f t="shared" ref="F220" si="201">F227/F219</f>
        <v>-5.2607567996268624E-2</v>
      </c>
      <c r="G220" s="212">
        <f>AVERAGE(E220:F220)</f>
        <v>-0.13345980968076013</v>
      </c>
      <c r="H220" s="212">
        <f>G220</f>
        <v>-0.13345980968076013</v>
      </c>
      <c r="I220" s="212">
        <f t="shared" ref="I220:K220" si="202">H220</f>
        <v>-0.13345980968076013</v>
      </c>
      <c r="J220" s="212">
        <f t="shared" si="202"/>
        <v>-0.13345980968076013</v>
      </c>
      <c r="K220" s="212">
        <f t="shared" si="202"/>
        <v>-0.13345980968076013</v>
      </c>
    </row>
    <row r="221" spans="1:11" x14ac:dyDescent="0.25">
      <c r="C221" s="17"/>
      <c r="D221" s="256"/>
      <c r="E221" s="208"/>
      <c r="F221" s="208"/>
      <c r="G221" s="209"/>
      <c r="H221" s="209"/>
      <c r="I221" s="209"/>
      <c r="J221" s="209"/>
      <c r="K221" s="209"/>
    </row>
    <row r="222" spans="1:11" x14ac:dyDescent="0.25">
      <c r="C222" s="13" t="s">
        <v>209</v>
      </c>
      <c r="D222" s="7"/>
    </row>
    <row r="223" spans="1:11" x14ac:dyDescent="0.25">
      <c r="C223" s="17" t="s">
        <v>214</v>
      </c>
      <c r="D223" s="185">
        <f>D60</f>
        <v>561096680</v>
      </c>
      <c r="E223" s="185">
        <f t="shared" ref="E223:K223" si="203">E60</f>
        <v>1687062873</v>
      </c>
      <c r="F223" s="185">
        <f t="shared" si="203"/>
        <v>3459391229</v>
      </c>
      <c r="G223" s="185">
        <f t="shared" ca="1" si="203"/>
        <v>4818235703.7195482</v>
      </c>
      <c r="H223" s="185">
        <f t="shared" ca="1" si="203"/>
        <v>6174364135.0833473</v>
      </c>
      <c r="I223" s="185">
        <f t="shared" ca="1" si="203"/>
        <v>7702397494.623127</v>
      </c>
      <c r="J223" s="185">
        <f t="shared" ca="1" si="203"/>
        <v>9398809480.1104946</v>
      </c>
      <c r="K223" s="185">
        <f t="shared" ca="1" si="203"/>
        <v>11246337076.31904</v>
      </c>
    </row>
    <row r="224" spans="1:11" x14ac:dyDescent="0.25">
      <c r="C224" s="17" t="s">
        <v>210</v>
      </c>
      <c r="D224" s="185"/>
      <c r="E224" s="185">
        <f>AVERAGE(D223,E223)</f>
        <v>1124079776.5</v>
      </c>
      <c r="F224" s="185">
        <f t="shared" ref="F224:K224" si="204">AVERAGE(E223,F223)</f>
        <v>2573227051</v>
      </c>
      <c r="G224" s="185">
        <f t="shared" ca="1" si="204"/>
        <v>4138813466.3597741</v>
      </c>
      <c r="H224" s="185">
        <f t="shared" ca="1" si="204"/>
        <v>5496299919.4014473</v>
      </c>
      <c r="I224" s="185">
        <f t="shared" ca="1" si="204"/>
        <v>6938380814.8532372</v>
      </c>
      <c r="J224" s="185">
        <f t="shared" ca="1" si="204"/>
        <v>8550603487.3668108</v>
      </c>
      <c r="K224" s="185">
        <f t="shared" ca="1" si="204"/>
        <v>10322573278.214767</v>
      </c>
    </row>
    <row r="225" spans="1:11" x14ac:dyDescent="0.25">
      <c r="C225" s="17" t="s">
        <v>211</v>
      </c>
      <c r="D225" s="185"/>
      <c r="E225" s="1">
        <f>E228/E224</f>
        <v>5.0226411132306317E-2</v>
      </c>
      <c r="F225" s="1">
        <f t="shared" ref="F225:K225" si="205">F228/F224</f>
        <v>8.7934246187900814E-2</v>
      </c>
      <c r="G225" s="212">
        <f>AVERAGE(E225:F225)</f>
        <v>6.9080328660103565E-2</v>
      </c>
      <c r="H225" s="212">
        <f>G225</f>
        <v>6.9080328660103565E-2</v>
      </c>
      <c r="I225" s="212">
        <f t="shared" ref="I225:K225" si="206">H225</f>
        <v>6.9080328660103565E-2</v>
      </c>
      <c r="J225" s="212">
        <f t="shared" si="206"/>
        <v>6.9080328660103565E-2</v>
      </c>
      <c r="K225" s="212">
        <f t="shared" si="206"/>
        <v>6.9080328660103565E-2</v>
      </c>
    </row>
    <row r="226" spans="1:11" x14ac:dyDescent="0.25">
      <c r="C226" s="17"/>
      <c r="D226" s="256"/>
      <c r="E226" s="208"/>
      <c r="F226" s="208"/>
      <c r="G226" s="209"/>
      <c r="H226" s="209"/>
      <c r="I226" s="209"/>
      <c r="J226" s="209"/>
      <c r="K226" s="209"/>
    </row>
    <row r="227" spans="1:11" x14ac:dyDescent="0.25">
      <c r="C227" s="6" t="s">
        <v>152</v>
      </c>
      <c r="D227" s="19">
        <f>D30</f>
        <v>-76979253</v>
      </c>
      <c r="E227" s="19">
        <f t="shared" ref="E227:F227" si="207">E30</f>
        <v>-91188916</v>
      </c>
      <c r="F227" s="19">
        <f t="shared" si="207"/>
        <v>-49841733</v>
      </c>
      <c r="G227" s="274">
        <f>G220*G219-G269</f>
        <v>-151334431.12216645</v>
      </c>
      <c r="H227" s="274">
        <f t="shared" ref="H227:K227" si="208">H220*H219-H269</f>
        <v>-151334431.12216645</v>
      </c>
      <c r="I227" s="274">
        <f t="shared" si="208"/>
        <v>-151334431.12216645</v>
      </c>
      <c r="J227" s="274">
        <f t="shared" si="208"/>
        <v>-151334431.12216645</v>
      </c>
      <c r="K227" s="274">
        <f t="shared" si="208"/>
        <v>-151334431.12216645</v>
      </c>
    </row>
    <row r="228" spans="1:11" x14ac:dyDescent="0.25">
      <c r="C228" s="6" t="s">
        <v>212</v>
      </c>
      <c r="D228" s="185">
        <f>D29</f>
        <v>30813502</v>
      </c>
      <c r="E228" s="185">
        <f t="shared" ref="E228:F228" si="209">E29</f>
        <v>56458493</v>
      </c>
      <c r="F228" s="185">
        <f t="shared" si="209"/>
        <v>226274781</v>
      </c>
      <c r="G228" s="185">
        <f ca="1">G225*G224</f>
        <v>285910594.5189957</v>
      </c>
      <c r="H228" s="185">
        <f t="shared" ref="H228:K228" ca="1" si="210">H225*H224</f>
        <v>379686204.8467527</v>
      </c>
      <c r="I228" s="185">
        <f t="shared" ca="1" si="210"/>
        <v>479305627.05901879</v>
      </c>
      <c r="J228" s="185">
        <f t="shared" ca="1" si="210"/>
        <v>590678499.14952695</v>
      </c>
      <c r="K228" s="185">
        <f t="shared" ca="1" si="210"/>
        <v>713086754.67707884</v>
      </c>
    </row>
    <row r="229" spans="1:11" x14ac:dyDescent="0.25">
      <c r="C229" s="6" t="s">
        <v>213</v>
      </c>
      <c r="D229" s="185">
        <f>SUM(D227:D228)</f>
        <v>-46165751</v>
      </c>
      <c r="E229" s="185">
        <f t="shared" ref="E229:F229" si="211">SUM(E227:E228)</f>
        <v>-34730423</v>
      </c>
      <c r="F229" s="185">
        <f t="shared" si="211"/>
        <v>176433048</v>
      </c>
      <c r="G229" s="185">
        <f t="shared" ref="G229" ca="1" si="212">SUM(G227:G228)</f>
        <v>134576163.39682925</v>
      </c>
      <c r="H229" s="185">
        <f t="shared" ref="H229" ca="1" si="213">SUM(H227:H228)</f>
        <v>228351773.72458625</v>
      </c>
      <c r="I229" s="185">
        <f t="shared" ref="I229" ca="1" si="214">SUM(I227:I228)</f>
        <v>327971195.93685234</v>
      </c>
      <c r="J229" s="185">
        <f t="shared" ref="J229" ca="1" si="215">SUM(J227:J228)</f>
        <v>439344068.0273605</v>
      </c>
      <c r="K229" s="185">
        <f t="shared" ref="K229" ca="1" si="216">SUM(K227:K228)</f>
        <v>561752323.55491233</v>
      </c>
    </row>
    <row r="231" spans="1:11" x14ac:dyDescent="0.25">
      <c r="A231" s="6" t="s">
        <v>285</v>
      </c>
      <c r="C231" s="13" t="s">
        <v>168</v>
      </c>
    </row>
    <row r="232" spans="1:11" x14ac:dyDescent="0.25">
      <c r="C232" s="48" t="s">
        <v>42</v>
      </c>
      <c r="D232" s="49">
        <f t="shared" ref="D232:K232" si="217">D$13</f>
        <v>2023</v>
      </c>
      <c r="E232" s="49">
        <f t="shared" si="217"/>
        <v>2024</v>
      </c>
      <c r="F232" s="49">
        <f t="shared" si="217"/>
        <v>2025</v>
      </c>
      <c r="G232" s="50">
        <f t="shared" si="217"/>
        <v>2026</v>
      </c>
      <c r="H232" s="50">
        <f t="shared" si="217"/>
        <v>2027</v>
      </c>
      <c r="I232" s="50">
        <f t="shared" si="217"/>
        <v>2028</v>
      </c>
      <c r="J232" s="50">
        <f t="shared" si="217"/>
        <v>2029</v>
      </c>
      <c r="K232" s="50">
        <f t="shared" si="217"/>
        <v>2030</v>
      </c>
    </row>
    <row r="233" spans="1:11" x14ac:dyDescent="0.25">
      <c r="C233" s="43" t="s">
        <v>43</v>
      </c>
      <c r="D233" s="250">
        <f t="shared" ref="D233:K233" si="218">D$14</f>
        <v>45291</v>
      </c>
      <c r="E233" s="232">
        <f t="shared" si="218"/>
        <v>45657</v>
      </c>
      <c r="F233" s="232">
        <f t="shared" si="218"/>
        <v>46022</v>
      </c>
      <c r="G233" s="232">
        <f t="shared" si="218"/>
        <v>46387</v>
      </c>
      <c r="H233" s="232">
        <f t="shared" si="218"/>
        <v>46752</v>
      </c>
      <c r="I233" s="232">
        <f t="shared" si="218"/>
        <v>47118</v>
      </c>
      <c r="J233" s="232">
        <f t="shared" si="218"/>
        <v>47483</v>
      </c>
      <c r="K233" s="232">
        <f t="shared" si="218"/>
        <v>47848</v>
      </c>
    </row>
    <row r="235" spans="1:11" x14ac:dyDescent="0.25">
      <c r="C235" s="13" t="s">
        <v>169</v>
      </c>
    </row>
    <row r="236" spans="1:11" x14ac:dyDescent="0.25">
      <c r="C236" s="17" t="s">
        <v>32</v>
      </c>
      <c r="D236" s="19"/>
      <c r="E236" s="185">
        <f>D239</f>
        <v>701912725</v>
      </c>
      <c r="F236" s="185">
        <f t="shared" ref="F236:G236" si="219">E239</f>
        <v>1182365129</v>
      </c>
      <c r="G236" s="185">
        <f t="shared" si="219"/>
        <v>3648917046</v>
      </c>
      <c r="H236" s="185">
        <f t="shared" ref="H236:K236" ca="1" si="220">G239</f>
        <v>4780914557.5005131</v>
      </c>
      <c r="I236" s="185">
        <f t="shared" ca="1" si="220"/>
        <v>6068694560.3402042</v>
      </c>
      <c r="J236" s="185">
        <f t="shared" ca="1" si="220"/>
        <v>7518243777.7897749</v>
      </c>
      <c r="K236" s="185">
        <f t="shared" ca="1" si="220"/>
        <v>9125266731.5531158</v>
      </c>
    </row>
    <row r="237" spans="1:11" x14ac:dyDescent="0.25">
      <c r="C237" s="17" t="s">
        <v>218</v>
      </c>
      <c r="D237" s="273">
        <f>D35</f>
        <v>697488741</v>
      </c>
      <c r="E237" s="273">
        <f t="shared" ref="E237:G237" si="221">E35</f>
        <v>1160129411</v>
      </c>
      <c r="F237" s="273">
        <f t="shared" si="221"/>
        <v>3599585937</v>
      </c>
      <c r="G237" s="273">
        <f t="shared" ca="1" si="221"/>
        <v>2830116766.1873441</v>
      </c>
      <c r="H237" s="273">
        <f t="shared" ref="H237:K237" ca="1" si="222">H35</f>
        <v>3219589919.7396235</v>
      </c>
      <c r="I237" s="273">
        <f t="shared" ca="1" si="222"/>
        <v>3624030531.9044976</v>
      </c>
      <c r="J237" s="273">
        <f t="shared" ca="1" si="222"/>
        <v>4017731981.6409097</v>
      </c>
      <c r="K237" s="273">
        <f t="shared" ca="1" si="222"/>
        <v>4423297098.9326544</v>
      </c>
    </row>
    <row r="238" spans="1:11" x14ac:dyDescent="0.25">
      <c r="C238" s="17" t="s">
        <v>170</v>
      </c>
      <c r="D238" s="240">
        <f>99229802+7063780</f>
        <v>106293582</v>
      </c>
      <c r="E238" s="188">
        <f>600302425+10576346</f>
        <v>610878771</v>
      </c>
      <c r="F238" s="240">
        <f>1102110289+15045727</f>
        <v>1117156016</v>
      </c>
      <c r="G238" s="185">
        <f ca="1">G247*G34</f>
        <v>1698119254.6868303</v>
      </c>
      <c r="H238" s="185">
        <f t="shared" ref="H238:K238" ca="1" si="223">H247*H34</f>
        <v>1931809916.8999333</v>
      </c>
      <c r="I238" s="185">
        <f t="shared" ca="1" si="223"/>
        <v>2174481314.4549265</v>
      </c>
      <c r="J238" s="185">
        <f t="shared" ca="1" si="223"/>
        <v>2410709027.8775697</v>
      </c>
      <c r="K238" s="185">
        <f t="shared" ca="1" si="223"/>
        <v>2654055148.0555825</v>
      </c>
    </row>
    <row r="239" spans="1:11" x14ac:dyDescent="0.25">
      <c r="C239" s="17" t="s">
        <v>171</v>
      </c>
      <c r="D239" s="19">
        <f>D101</f>
        <v>701912725</v>
      </c>
      <c r="E239" s="19">
        <f t="shared" ref="E239:F239" si="224">E101</f>
        <v>1182365129</v>
      </c>
      <c r="F239" s="19">
        <f t="shared" si="224"/>
        <v>3648917046</v>
      </c>
      <c r="G239" s="185">
        <f ca="1">G236+G237-G238</f>
        <v>4780914557.5005131</v>
      </c>
      <c r="H239" s="185">
        <f t="shared" ref="H239:K239" ca="1" si="225">H236+H237-H238</f>
        <v>6068694560.3402042</v>
      </c>
      <c r="I239" s="185">
        <f t="shared" ca="1" si="225"/>
        <v>7518243777.7897749</v>
      </c>
      <c r="J239" s="185">
        <f t="shared" ca="1" si="225"/>
        <v>9125266731.5531158</v>
      </c>
      <c r="K239" s="185">
        <f t="shared" ca="1" si="225"/>
        <v>10894508682.430189</v>
      </c>
    </row>
    <row r="240" spans="1:11" x14ac:dyDescent="0.25">
      <c r="D240" s="19"/>
      <c r="E240" s="185"/>
      <c r="F240" s="185"/>
      <c r="G240" s="185"/>
      <c r="H240" s="185"/>
      <c r="I240" s="185"/>
      <c r="J240" s="185"/>
      <c r="K240" s="185"/>
    </row>
    <row r="241" spans="1:11" x14ac:dyDescent="0.25">
      <c r="C241" s="13" t="s">
        <v>215</v>
      </c>
      <c r="D241" s="185"/>
      <c r="E241" s="185"/>
      <c r="F241" s="185"/>
      <c r="G241" s="185"/>
      <c r="H241" s="185"/>
      <c r="I241" s="185"/>
      <c r="J241" s="185"/>
      <c r="K241" s="185"/>
    </row>
    <row r="242" spans="1:11" x14ac:dyDescent="0.25">
      <c r="C242" s="17" t="s">
        <v>32</v>
      </c>
      <c r="D242" s="185"/>
      <c r="E242" s="185">
        <f>D245</f>
        <v>48010</v>
      </c>
      <c r="F242" s="185">
        <f t="shared" ref="F242:G242" si="226">E245</f>
        <v>53721</v>
      </c>
      <c r="G242" s="185">
        <f t="shared" si="226"/>
        <v>158005</v>
      </c>
      <c r="H242" s="185">
        <f t="shared" ref="H242:K242" ca="1" si="227">G245</f>
        <v>239996.62403969603</v>
      </c>
      <c r="I242" s="185">
        <f t="shared" ca="1" si="227"/>
        <v>333271.71763836482</v>
      </c>
      <c r="J242" s="185">
        <f t="shared" ca="1" si="227"/>
        <v>438263.90468532976</v>
      </c>
      <c r="K242" s="185">
        <f t="shared" ca="1" si="227"/>
        <v>554662.05972497165</v>
      </c>
    </row>
    <row r="243" spans="1:11" x14ac:dyDescent="0.25">
      <c r="C243" s="17" t="s">
        <v>216</v>
      </c>
      <c r="D243" s="185">
        <f>D36</f>
        <v>9889</v>
      </c>
      <c r="E243" s="185">
        <f t="shared" ref="E243:F243" si="228">E36</f>
        <v>5711</v>
      </c>
      <c r="F243" s="185">
        <f t="shared" si="228"/>
        <v>104284</v>
      </c>
      <c r="G243" s="185">
        <f ca="1">G249*G34</f>
        <v>81991.624039696035</v>
      </c>
      <c r="H243" s="185">
        <f t="shared" ref="H243:K243" ca="1" si="229">H249*H34</f>
        <v>93275.093598668798</v>
      </c>
      <c r="I243" s="185">
        <f t="shared" ca="1" si="229"/>
        <v>104992.18704696496</v>
      </c>
      <c r="J243" s="185">
        <f t="shared" ca="1" si="229"/>
        <v>116398.15503964189</v>
      </c>
      <c r="K243" s="185">
        <f t="shared" ca="1" si="229"/>
        <v>128147.82664962193</v>
      </c>
    </row>
    <row r="244" spans="1:11" x14ac:dyDescent="0.25">
      <c r="C244" s="17" t="s">
        <v>235</v>
      </c>
      <c r="D244" s="188">
        <v>0</v>
      </c>
      <c r="E244" s="188">
        <v>0</v>
      </c>
      <c r="F244" s="188">
        <v>0</v>
      </c>
      <c r="G244" s="185">
        <v>0</v>
      </c>
      <c r="H244" s="185">
        <v>0</v>
      </c>
      <c r="I244" s="185">
        <v>0</v>
      </c>
      <c r="J244" s="185">
        <v>0</v>
      </c>
      <c r="K244" s="185">
        <v>0</v>
      </c>
    </row>
    <row r="245" spans="1:11" x14ac:dyDescent="0.25">
      <c r="C245" s="17" t="s">
        <v>171</v>
      </c>
      <c r="D245" s="185">
        <f>D103</f>
        <v>48010</v>
      </c>
      <c r="E245" s="185">
        <f t="shared" ref="E245:F245" si="230">E103</f>
        <v>53721</v>
      </c>
      <c r="F245" s="185">
        <f t="shared" si="230"/>
        <v>158005</v>
      </c>
      <c r="G245" s="185">
        <f ca="1">G242+G243-G244</f>
        <v>239996.62403969603</v>
      </c>
      <c r="H245" s="185">
        <f t="shared" ref="H245:K245" ca="1" si="231">H242+H243-H244</f>
        <v>333271.71763836482</v>
      </c>
      <c r="I245" s="185">
        <f t="shared" ca="1" si="231"/>
        <v>438263.90468532976</v>
      </c>
      <c r="J245" s="185">
        <f t="shared" ca="1" si="231"/>
        <v>554662.05972497165</v>
      </c>
      <c r="K245" s="185">
        <f t="shared" ca="1" si="231"/>
        <v>682809.8863745936</v>
      </c>
    </row>
    <row r="246" spans="1:11" x14ac:dyDescent="0.25">
      <c r="D246" s="185"/>
      <c r="E246" s="185"/>
      <c r="F246" s="185"/>
      <c r="G246" s="185"/>
      <c r="H246" s="185"/>
      <c r="I246" s="185"/>
      <c r="J246" s="185"/>
      <c r="K246" s="185"/>
    </row>
    <row r="247" spans="1:11" x14ac:dyDescent="0.25">
      <c r="C247" s="6" t="s">
        <v>200</v>
      </c>
      <c r="D247" s="1">
        <f>D238/D34</f>
        <v>0.15239253158102978</v>
      </c>
      <c r="E247" s="1">
        <f t="shared" ref="E247:F247" si="232">E238/E34</f>
        <v>0.52655829430185974</v>
      </c>
      <c r="F247" s="1">
        <f t="shared" si="232"/>
        <v>0.31034782089933621</v>
      </c>
      <c r="G247" s="212">
        <v>0.6</v>
      </c>
      <c r="H247" s="212">
        <f t="shared" ref="H247:K249" si="233">G247</f>
        <v>0.6</v>
      </c>
      <c r="I247" s="212">
        <f t="shared" si="233"/>
        <v>0.6</v>
      </c>
      <c r="J247" s="212">
        <f t="shared" si="233"/>
        <v>0.6</v>
      </c>
      <c r="K247" s="212">
        <f t="shared" si="233"/>
        <v>0.6</v>
      </c>
    </row>
    <row r="248" spans="1:11" x14ac:dyDescent="0.25">
      <c r="C248" s="6" t="s">
        <v>217</v>
      </c>
      <c r="D248" s="22"/>
      <c r="E248" s="22"/>
      <c r="F248" s="22"/>
      <c r="G248" s="212"/>
      <c r="H248" s="212"/>
      <c r="I248" s="212"/>
      <c r="J248" s="212"/>
      <c r="K248" s="212"/>
    </row>
    <row r="249" spans="1:11" x14ac:dyDescent="0.25">
      <c r="C249" s="6" t="s">
        <v>236</v>
      </c>
      <c r="D249" s="22">
        <f>D243/D34</f>
        <v>1.4177805625223952E-5</v>
      </c>
      <c r="E249" s="22">
        <f t="shared" ref="E249:F249" si="234">E243/E34</f>
        <v>4.9227024436210454E-6</v>
      </c>
      <c r="F249" s="22">
        <f t="shared" si="234"/>
        <v>2.8970270661520905E-5</v>
      </c>
      <c r="G249" s="212">
        <f>F249</f>
        <v>2.8970270661520905E-5</v>
      </c>
      <c r="H249" s="212">
        <f t="shared" si="233"/>
        <v>2.8970270661520905E-5</v>
      </c>
      <c r="I249" s="212">
        <f t="shared" si="233"/>
        <v>2.8970270661520905E-5</v>
      </c>
      <c r="J249" s="212">
        <f t="shared" si="233"/>
        <v>2.8970270661520905E-5</v>
      </c>
      <c r="K249" s="212">
        <f t="shared" si="233"/>
        <v>2.8970270661520905E-5</v>
      </c>
    </row>
    <row r="251" spans="1:11" x14ac:dyDescent="0.25">
      <c r="A251" s="6" t="s">
        <v>285</v>
      </c>
      <c r="C251" s="13" t="s">
        <v>219</v>
      </c>
    </row>
    <row r="252" spans="1:11" x14ac:dyDescent="0.25">
      <c r="C252" s="48" t="s">
        <v>42</v>
      </c>
      <c r="D252" s="49">
        <f t="shared" ref="D252:K252" si="235">D$13</f>
        <v>2023</v>
      </c>
      <c r="E252" s="49">
        <f t="shared" si="235"/>
        <v>2024</v>
      </c>
      <c r="F252" s="49">
        <f t="shared" si="235"/>
        <v>2025</v>
      </c>
      <c r="G252" s="50">
        <f t="shared" si="235"/>
        <v>2026</v>
      </c>
      <c r="H252" s="50">
        <f t="shared" si="235"/>
        <v>2027</v>
      </c>
      <c r="I252" s="50">
        <f t="shared" si="235"/>
        <v>2028</v>
      </c>
      <c r="J252" s="50">
        <f t="shared" si="235"/>
        <v>2029</v>
      </c>
      <c r="K252" s="50">
        <f t="shared" si="235"/>
        <v>2030</v>
      </c>
    </row>
    <row r="253" spans="1:11" x14ac:dyDescent="0.25">
      <c r="C253" s="43" t="s">
        <v>43</v>
      </c>
      <c r="D253" s="250">
        <f t="shared" ref="D253:K253" si="236">D$14</f>
        <v>45291</v>
      </c>
      <c r="E253" s="232">
        <f t="shared" si="236"/>
        <v>45657</v>
      </c>
      <c r="F253" s="232">
        <f t="shared" si="236"/>
        <v>46022</v>
      </c>
      <c r="G253" s="232">
        <f t="shared" si="236"/>
        <v>46387</v>
      </c>
      <c r="H253" s="232">
        <f t="shared" si="236"/>
        <v>46752</v>
      </c>
      <c r="I253" s="232">
        <f t="shared" si="236"/>
        <v>47118</v>
      </c>
      <c r="J253" s="232">
        <f t="shared" si="236"/>
        <v>47483</v>
      </c>
      <c r="K253" s="232">
        <f t="shared" si="236"/>
        <v>47848</v>
      </c>
    </row>
    <row r="254" spans="1:11" x14ac:dyDescent="0.25">
      <c r="C254" s="243"/>
      <c r="D254" s="257"/>
      <c r="E254" s="244"/>
      <c r="F254" s="244"/>
      <c r="G254" s="244"/>
      <c r="H254" s="244"/>
      <c r="I254" s="244"/>
      <c r="J254" s="244"/>
      <c r="K254" s="244"/>
    </row>
    <row r="255" spans="1:11" x14ac:dyDescent="0.25">
      <c r="C255" s="6" t="s">
        <v>189</v>
      </c>
      <c r="D255" s="19"/>
      <c r="E255" s="185">
        <f>D258</f>
        <v>12901506</v>
      </c>
      <c r="F255" s="185">
        <f t="shared" ref="F255:G255" si="237">E258</f>
        <v>4436332</v>
      </c>
      <c r="G255" s="185">
        <f t="shared" si="237"/>
        <v>822030</v>
      </c>
      <c r="H255" s="185">
        <f t="shared" ref="H255:K255" si="238">G258</f>
        <v>822030</v>
      </c>
      <c r="I255" s="185">
        <f t="shared" si="238"/>
        <v>822030</v>
      </c>
      <c r="J255" s="185">
        <f t="shared" si="238"/>
        <v>822030</v>
      </c>
      <c r="K255" s="185">
        <f t="shared" si="238"/>
        <v>822030</v>
      </c>
    </row>
    <row r="256" spans="1:11" x14ac:dyDescent="0.25">
      <c r="C256" s="6" t="s">
        <v>186</v>
      </c>
      <c r="D256" s="240">
        <v>7400643</v>
      </c>
      <c r="E256" s="188">
        <v>2179179</v>
      </c>
      <c r="F256" s="188">
        <v>0</v>
      </c>
      <c r="G256" s="185">
        <v>0</v>
      </c>
      <c r="H256" s="185">
        <v>0</v>
      </c>
      <c r="I256" s="185">
        <v>0</v>
      </c>
      <c r="J256" s="185">
        <v>0</v>
      </c>
      <c r="K256" s="185">
        <v>0</v>
      </c>
    </row>
    <row r="257" spans="1:11" x14ac:dyDescent="0.25">
      <c r="C257" s="6" t="s">
        <v>220</v>
      </c>
      <c r="D257" s="240">
        <v>6891333</v>
      </c>
      <c r="E257" s="188">
        <v>7082414</v>
      </c>
      <c r="F257" s="188">
        <v>2525364</v>
      </c>
      <c r="G257" s="185">
        <v>0</v>
      </c>
      <c r="H257" s="185">
        <v>0</v>
      </c>
      <c r="I257" s="185">
        <v>0</v>
      </c>
      <c r="J257" s="185">
        <v>0</v>
      </c>
      <c r="K257" s="185">
        <v>0</v>
      </c>
    </row>
    <row r="258" spans="1:11" x14ac:dyDescent="0.25">
      <c r="C258" s="6" t="s">
        <v>190</v>
      </c>
      <c r="D258" s="19">
        <f>D68</f>
        <v>12901506</v>
      </c>
      <c r="E258" s="19">
        <f t="shared" ref="E258:F258" si="239">E68</f>
        <v>4436332</v>
      </c>
      <c r="F258" s="19">
        <f t="shared" si="239"/>
        <v>822030</v>
      </c>
      <c r="G258" s="185">
        <f>G255</f>
        <v>822030</v>
      </c>
      <c r="H258" s="185">
        <f t="shared" ref="H258:K258" si="240">H255</f>
        <v>822030</v>
      </c>
      <c r="I258" s="185">
        <f t="shared" si="240"/>
        <v>822030</v>
      </c>
      <c r="J258" s="185">
        <f t="shared" si="240"/>
        <v>822030</v>
      </c>
      <c r="K258" s="185">
        <f t="shared" si="240"/>
        <v>822030</v>
      </c>
    </row>
    <row r="259" spans="1:11" x14ac:dyDescent="0.25">
      <c r="D259" s="19"/>
      <c r="E259" s="19"/>
      <c r="F259" s="19"/>
      <c r="G259" s="185"/>
      <c r="H259" s="185"/>
      <c r="I259" s="185"/>
      <c r="J259" s="185"/>
      <c r="K259" s="185"/>
    </row>
    <row r="260" spans="1:11" x14ac:dyDescent="0.25">
      <c r="C260" s="6" t="s">
        <v>187</v>
      </c>
      <c r="D260" s="1">
        <f>D256/D16</f>
        <v>1.2246979248719848E-3</v>
      </c>
      <c r="E260" s="1">
        <f t="shared" ref="E260:F260" si="241">E256/E16</f>
        <v>2.4962579764961141E-4</v>
      </c>
      <c r="F260" s="1">
        <f t="shared" si="241"/>
        <v>0</v>
      </c>
      <c r="G260" s="212">
        <f>AVERAGE(D260:F260)</f>
        <v>4.914412408405321E-4</v>
      </c>
      <c r="H260" s="212">
        <f>G260</f>
        <v>4.914412408405321E-4</v>
      </c>
      <c r="I260" s="212">
        <f t="shared" ref="I260:K260" si="242">H260</f>
        <v>4.914412408405321E-4</v>
      </c>
      <c r="J260" s="212">
        <f t="shared" si="242"/>
        <v>4.914412408405321E-4</v>
      </c>
      <c r="K260" s="212">
        <f t="shared" si="242"/>
        <v>4.914412408405321E-4</v>
      </c>
    </row>
    <row r="261" spans="1:11" x14ac:dyDescent="0.25">
      <c r="C261" s="6" t="s">
        <v>221</v>
      </c>
      <c r="D261" s="1">
        <f>D257/D16</f>
        <v>1.140414586232822E-3</v>
      </c>
      <c r="E261" s="1">
        <f t="shared" ref="E261:F261" si="243">E257/E16</f>
        <v>8.1129326413056251E-4</v>
      </c>
      <c r="F261" s="1">
        <f t="shared" si="243"/>
        <v>2.0288415366250594E-4</v>
      </c>
      <c r="G261" s="212">
        <f t="shared" ref="G261" si="244">AVERAGE(D261:F261)</f>
        <v>7.1819733467529687E-4</v>
      </c>
      <c r="H261" s="212">
        <f t="shared" ref="H261:K261" si="245">G261</f>
        <v>7.1819733467529687E-4</v>
      </c>
      <c r="I261" s="212">
        <f t="shared" si="245"/>
        <v>7.1819733467529687E-4</v>
      </c>
      <c r="J261" s="212">
        <f t="shared" si="245"/>
        <v>7.1819733467529687E-4</v>
      </c>
      <c r="K261" s="212">
        <f t="shared" si="245"/>
        <v>7.1819733467529687E-4</v>
      </c>
    </row>
    <row r="262" spans="1:11" x14ac:dyDescent="0.25">
      <c r="D262" s="19"/>
      <c r="E262" s="19"/>
      <c r="F262" s="19"/>
      <c r="G262" s="185"/>
      <c r="H262" s="185"/>
      <c r="I262" s="185"/>
      <c r="J262" s="185"/>
      <c r="K262" s="185"/>
    </row>
    <row r="263" spans="1:11" x14ac:dyDescent="0.25">
      <c r="A263" s="6" t="s">
        <v>285</v>
      </c>
      <c r="C263" s="13" t="s">
        <v>188</v>
      </c>
    </row>
    <row r="264" spans="1:11" x14ac:dyDescent="0.25">
      <c r="C264" s="48" t="s">
        <v>42</v>
      </c>
      <c r="D264" s="49">
        <f t="shared" ref="D264:K264" si="246">D$13</f>
        <v>2023</v>
      </c>
      <c r="E264" s="49">
        <f t="shared" si="246"/>
        <v>2024</v>
      </c>
      <c r="F264" s="49">
        <f t="shared" si="246"/>
        <v>2025</v>
      </c>
      <c r="G264" s="50">
        <f t="shared" si="246"/>
        <v>2026</v>
      </c>
      <c r="H264" s="50">
        <f t="shared" si="246"/>
        <v>2027</v>
      </c>
      <c r="I264" s="50">
        <f t="shared" si="246"/>
        <v>2028</v>
      </c>
      <c r="J264" s="50">
        <f t="shared" si="246"/>
        <v>2029</v>
      </c>
      <c r="K264" s="50">
        <f t="shared" si="246"/>
        <v>2030</v>
      </c>
    </row>
    <row r="265" spans="1:11" x14ac:dyDescent="0.25">
      <c r="C265" s="43" t="s">
        <v>43</v>
      </c>
      <c r="D265" s="250">
        <f t="shared" ref="D265:K265" si="247">D$14</f>
        <v>45291</v>
      </c>
      <c r="E265" s="232">
        <f t="shared" si="247"/>
        <v>45657</v>
      </c>
      <c r="F265" s="232">
        <f t="shared" si="247"/>
        <v>46022</v>
      </c>
      <c r="G265" s="232">
        <f t="shared" si="247"/>
        <v>46387</v>
      </c>
      <c r="H265" s="232">
        <f t="shared" si="247"/>
        <v>46752</v>
      </c>
      <c r="I265" s="232">
        <f t="shared" si="247"/>
        <v>47118</v>
      </c>
      <c r="J265" s="232">
        <f t="shared" si="247"/>
        <v>47483</v>
      </c>
      <c r="K265" s="232">
        <f t="shared" si="247"/>
        <v>47848</v>
      </c>
    </row>
    <row r="266" spans="1:11" x14ac:dyDescent="0.25">
      <c r="D266" s="19"/>
      <c r="E266" s="19"/>
      <c r="F266" s="19"/>
      <c r="G266" s="185"/>
      <c r="H266" s="185"/>
      <c r="I266" s="185"/>
      <c r="J266" s="185"/>
      <c r="K266" s="185"/>
    </row>
    <row r="267" spans="1:11" x14ac:dyDescent="0.25">
      <c r="C267" s="6" t="s">
        <v>191</v>
      </c>
      <c r="E267" s="185">
        <f>D271</f>
        <v>11220907</v>
      </c>
      <c r="F267" s="185">
        <f>E271</f>
        <v>5268353</v>
      </c>
      <c r="G267" s="185">
        <f t="shared" ref="G267:K267" si="248">F271</f>
        <v>1176042</v>
      </c>
      <c r="H267" s="185">
        <f t="shared" si="248"/>
        <v>1176042</v>
      </c>
      <c r="I267" s="185">
        <f t="shared" si="248"/>
        <v>1176042</v>
      </c>
      <c r="J267" s="185">
        <f t="shared" si="248"/>
        <v>1176042</v>
      </c>
      <c r="K267" s="185">
        <f t="shared" si="248"/>
        <v>1176042</v>
      </c>
    </row>
    <row r="268" spans="1:11" x14ac:dyDescent="0.25">
      <c r="C268" s="6" t="s">
        <v>222</v>
      </c>
      <c r="D268" s="240">
        <v>7400643</v>
      </c>
      <c r="E268" s="188">
        <v>2179179</v>
      </c>
      <c r="F268" s="188">
        <v>0</v>
      </c>
      <c r="G268" s="185">
        <f>F268</f>
        <v>0</v>
      </c>
      <c r="H268" s="185">
        <f t="shared" ref="H268:K268" si="249">G268</f>
        <v>0</v>
      </c>
      <c r="I268" s="185">
        <f t="shared" si="249"/>
        <v>0</v>
      </c>
      <c r="J268" s="185">
        <f t="shared" si="249"/>
        <v>0</v>
      </c>
      <c r="K268" s="185">
        <f t="shared" si="249"/>
        <v>0</v>
      </c>
    </row>
    <row r="269" spans="1:11" x14ac:dyDescent="0.25">
      <c r="C269" s="6" t="s">
        <v>226</v>
      </c>
      <c r="D269" s="188">
        <v>1296489</v>
      </c>
      <c r="E269" s="188">
        <v>1237302</v>
      </c>
      <c r="F269" s="188">
        <v>1162675</v>
      </c>
      <c r="G269" s="185">
        <v>0</v>
      </c>
      <c r="H269" s="185">
        <v>0</v>
      </c>
      <c r="I269" s="185">
        <v>0</v>
      </c>
      <c r="J269" s="185">
        <v>0</v>
      </c>
      <c r="K269" s="185">
        <v>0</v>
      </c>
    </row>
    <row r="270" spans="1:11" x14ac:dyDescent="0.25">
      <c r="C270" s="6" t="s">
        <v>224</v>
      </c>
      <c r="D270" s="240">
        <v>9827719</v>
      </c>
      <c r="E270" s="188">
        <v>4283057</v>
      </c>
      <c r="F270" s="188">
        <v>4258982</v>
      </c>
      <c r="G270" s="185">
        <v>0</v>
      </c>
      <c r="H270" s="185">
        <v>0</v>
      </c>
      <c r="I270" s="185">
        <v>0</v>
      </c>
      <c r="J270" s="185">
        <v>0</v>
      </c>
      <c r="K270" s="185">
        <v>0</v>
      </c>
    </row>
    <row r="271" spans="1:11" x14ac:dyDescent="0.25">
      <c r="C271" s="6" t="s">
        <v>192</v>
      </c>
      <c r="D271" s="19">
        <f>D81+D90</f>
        <v>11220907</v>
      </c>
      <c r="E271" s="19">
        <f t="shared" ref="E271:F271" si="250">E81+E90</f>
        <v>5268353</v>
      </c>
      <c r="F271" s="19">
        <f t="shared" si="250"/>
        <v>1176042</v>
      </c>
      <c r="G271" s="185">
        <f>G267</f>
        <v>1176042</v>
      </c>
      <c r="H271" s="185">
        <f t="shared" ref="H271:K271" si="251">H267</f>
        <v>1176042</v>
      </c>
      <c r="I271" s="185">
        <f t="shared" si="251"/>
        <v>1176042</v>
      </c>
      <c r="J271" s="185">
        <f t="shared" si="251"/>
        <v>1176042</v>
      </c>
      <c r="K271" s="185">
        <f t="shared" si="251"/>
        <v>1176042</v>
      </c>
    </row>
    <row r="272" spans="1:11" x14ac:dyDescent="0.25">
      <c r="C272" s="6" t="s">
        <v>193</v>
      </c>
      <c r="D272" s="256">
        <f>D81/(D81+D90)</f>
        <v>0.84499844798642387</v>
      </c>
      <c r="E272" s="256">
        <f t="shared" ref="E272:F272" si="252">E81/(E81+E90)</f>
        <v>0.68822666210863248</v>
      </c>
      <c r="F272" s="256">
        <f t="shared" si="252"/>
        <v>1</v>
      </c>
      <c r="G272" s="209">
        <f>F272</f>
        <v>1</v>
      </c>
      <c r="H272" s="209">
        <f t="shared" ref="H272:K272" si="253">G272</f>
        <v>1</v>
      </c>
      <c r="I272" s="209">
        <f t="shared" si="253"/>
        <v>1</v>
      </c>
      <c r="J272" s="209">
        <f t="shared" si="253"/>
        <v>1</v>
      </c>
      <c r="K272" s="209">
        <f t="shared" si="253"/>
        <v>1</v>
      </c>
    </row>
    <row r="273" spans="1:11" x14ac:dyDescent="0.25">
      <c r="D273" s="256"/>
      <c r="E273" s="208"/>
      <c r="F273" s="208"/>
      <c r="G273" s="208"/>
      <c r="H273" s="208"/>
      <c r="I273" s="208"/>
      <c r="J273" s="208"/>
      <c r="K273" s="208"/>
    </row>
    <row r="274" spans="1:11" x14ac:dyDescent="0.25">
      <c r="C274" s="6" t="s">
        <v>223</v>
      </c>
      <c r="D274" s="22">
        <f>D268/D16</f>
        <v>1.2246979248719848E-3</v>
      </c>
      <c r="E274" s="22">
        <f t="shared" ref="E274:F274" si="254">E268/E16</f>
        <v>2.4962579764961141E-4</v>
      </c>
      <c r="F274" s="22">
        <f t="shared" si="254"/>
        <v>0</v>
      </c>
      <c r="G274" s="212">
        <f>AVERAGE(D274:F274)</f>
        <v>4.914412408405321E-4</v>
      </c>
      <c r="H274" s="212">
        <f>G274</f>
        <v>4.914412408405321E-4</v>
      </c>
      <c r="I274" s="212">
        <f t="shared" ref="I274:K274" si="255">H274</f>
        <v>4.914412408405321E-4</v>
      </c>
      <c r="J274" s="212">
        <f t="shared" si="255"/>
        <v>4.914412408405321E-4</v>
      </c>
      <c r="K274" s="212">
        <f t="shared" si="255"/>
        <v>4.914412408405321E-4</v>
      </c>
    </row>
    <row r="275" spans="1:11" x14ac:dyDescent="0.25">
      <c r="C275" s="6" t="s">
        <v>227</v>
      </c>
      <c r="D275" s="22">
        <f>D269/D16</f>
        <v>2.1454992328630835E-4</v>
      </c>
      <c r="E275" s="22">
        <f t="shared" ref="E275:F275" si="256">E269/E16</f>
        <v>1.4173342285487311E-4</v>
      </c>
      <c r="F275" s="22">
        <f t="shared" si="256"/>
        <v>9.3407656622789475E-5</v>
      </c>
      <c r="G275" s="212">
        <f t="shared" ref="G275:G276" si="257">AVERAGE(D275:F275)</f>
        <v>1.4989700092132364E-4</v>
      </c>
      <c r="H275" s="212">
        <f t="shared" ref="H275:K275" si="258">G275</f>
        <v>1.4989700092132364E-4</v>
      </c>
      <c r="I275" s="212">
        <f t="shared" si="258"/>
        <v>1.4989700092132364E-4</v>
      </c>
      <c r="J275" s="212">
        <f t="shared" si="258"/>
        <v>1.4989700092132364E-4</v>
      </c>
      <c r="K275" s="212">
        <f t="shared" si="258"/>
        <v>1.4989700092132364E-4</v>
      </c>
    </row>
    <row r="276" spans="1:11" x14ac:dyDescent="0.25">
      <c r="C276" s="6" t="s">
        <v>225</v>
      </c>
      <c r="D276" s="22">
        <f>D270/D16</f>
        <v>1.6263434225276072E-3</v>
      </c>
      <c r="E276" s="22">
        <f t="shared" ref="E276:F276" si="259">E270/E16</f>
        <v>4.906258366126655E-4</v>
      </c>
      <c r="F276" s="22">
        <f t="shared" si="259"/>
        <v>3.421605592436761E-4</v>
      </c>
      <c r="G276" s="212">
        <f t="shared" si="257"/>
        <v>8.1970993946131642E-4</v>
      </c>
      <c r="H276" s="212">
        <f t="shared" ref="H276:K276" si="260">G276</f>
        <v>8.1970993946131642E-4</v>
      </c>
      <c r="I276" s="212">
        <f t="shared" si="260"/>
        <v>8.1970993946131642E-4</v>
      </c>
      <c r="J276" s="212">
        <f t="shared" si="260"/>
        <v>8.1970993946131642E-4</v>
      </c>
      <c r="K276" s="212">
        <f t="shared" si="260"/>
        <v>8.1970993946131642E-4</v>
      </c>
    </row>
    <row r="278" spans="1:11" x14ac:dyDescent="0.25">
      <c r="A278" s="6" t="s">
        <v>285</v>
      </c>
      <c r="C278" s="13" t="s">
        <v>286</v>
      </c>
    </row>
    <row r="279" spans="1:11" x14ac:dyDescent="0.25">
      <c r="C279" s="48" t="s">
        <v>42</v>
      </c>
      <c r="D279" s="49">
        <f t="shared" ref="D279:K279" si="261">D$13</f>
        <v>2023</v>
      </c>
      <c r="E279" s="49">
        <f t="shared" si="261"/>
        <v>2024</v>
      </c>
      <c r="F279" s="49">
        <f t="shared" si="261"/>
        <v>2025</v>
      </c>
      <c r="G279" s="50">
        <f t="shared" si="261"/>
        <v>2026</v>
      </c>
      <c r="H279" s="50">
        <f t="shared" si="261"/>
        <v>2027</v>
      </c>
      <c r="I279" s="50">
        <f t="shared" si="261"/>
        <v>2028</v>
      </c>
      <c r="J279" s="50">
        <f t="shared" si="261"/>
        <v>2029</v>
      </c>
      <c r="K279" s="50">
        <f t="shared" si="261"/>
        <v>2030</v>
      </c>
    </row>
    <row r="280" spans="1:11" x14ac:dyDescent="0.25">
      <c r="C280" s="43" t="s">
        <v>43</v>
      </c>
      <c r="D280" s="282">
        <f t="shared" ref="D280:K280" si="262">D$14</f>
        <v>45291</v>
      </c>
      <c r="E280" s="232">
        <f t="shared" si="262"/>
        <v>45657</v>
      </c>
      <c r="F280" s="232">
        <f t="shared" si="262"/>
        <v>46022</v>
      </c>
      <c r="G280" s="232">
        <f t="shared" si="262"/>
        <v>46387</v>
      </c>
      <c r="H280" s="232">
        <f t="shared" si="262"/>
        <v>46752</v>
      </c>
      <c r="I280" s="232">
        <f t="shared" si="262"/>
        <v>47118</v>
      </c>
      <c r="J280" s="232">
        <f t="shared" si="262"/>
        <v>47483</v>
      </c>
      <c r="K280" s="232">
        <f t="shared" si="262"/>
        <v>47848</v>
      </c>
    </row>
    <row r="281" spans="1:11" x14ac:dyDescent="0.25">
      <c r="C281" s="243"/>
      <c r="D281" s="283"/>
      <c r="E281" s="244"/>
      <c r="F281" s="244"/>
      <c r="G281" s="244"/>
      <c r="H281" s="244"/>
      <c r="I281" s="244"/>
      <c r="J281" s="244"/>
      <c r="K281" s="244"/>
    </row>
    <row r="282" spans="1:11" x14ac:dyDescent="0.25">
      <c r="C282" s="228" t="s">
        <v>32</v>
      </c>
      <c r="D282" s="19"/>
      <c r="E282" s="185">
        <f>D285</f>
        <v>163112115</v>
      </c>
      <c r="F282" s="185">
        <f t="shared" ref="F282:G282" si="263">E285</f>
        <v>134955866</v>
      </c>
      <c r="G282" s="185">
        <f t="shared" si="263"/>
        <v>106799617</v>
      </c>
      <c r="H282" s="185">
        <f t="shared" ref="H282:K282" si="264">G285</f>
        <v>78643368</v>
      </c>
      <c r="I282" s="185">
        <f t="shared" si="264"/>
        <v>50487119</v>
      </c>
      <c r="J282" s="185">
        <f t="shared" si="264"/>
        <v>22330870</v>
      </c>
      <c r="K282" s="185">
        <f t="shared" si="264"/>
        <v>0</v>
      </c>
    </row>
    <row r="283" spans="1:11" x14ac:dyDescent="0.25">
      <c r="C283" s="228" t="s">
        <v>186</v>
      </c>
      <c r="D283" s="240">
        <v>0</v>
      </c>
      <c r="E283" s="240">
        <v>0</v>
      </c>
      <c r="F283" s="240">
        <v>0</v>
      </c>
      <c r="G283" s="185"/>
      <c r="H283" s="185"/>
      <c r="I283" s="185"/>
      <c r="J283" s="185"/>
      <c r="K283" s="185"/>
    </row>
    <row r="284" spans="1:11" x14ac:dyDescent="0.25">
      <c r="C284" s="228" t="s">
        <v>287</v>
      </c>
      <c r="D284" s="188">
        <v>28156249</v>
      </c>
      <c r="E284" s="188">
        <v>28156249</v>
      </c>
      <c r="F284" s="188">
        <v>28156249</v>
      </c>
      <c r="G284" s="274">
        <f>MIN(G282, F284)</f>
        <v>28156249</v>
      </c>
      <c r="H284" s="274">
        <f t="shared" ref="H284:K284" si="265">MIN(H282, G284)</f>
        <v>28156249</v>
      </c>
      <c r="I284" s="274">
        <f t="shared" si="265"/>
        <v>28156249</v>
      </c>
      <c r="J284" s="274">
        <f t="shared" si="265"/>
        <v>22330870</v>
      </c>
      <c r="K284" s="274">
        <f t="shared" si="265"/>
        <v>0</v>
      </c>
    </row>
    <row r="285" spans="1:11" x14ac:dyDescent="0.25">
      <c r="C285" s="228" t="s">
        <v>35</v>
      </c>
      <c r="D285" s="19">
        <f>D66</f>
        <v>163112115</v>
      </c>
      <c r="E285" s="19">
        <f t="shared" ref="E285:F285" si="266">E66</f>
        <v>134955866</v>
      </c>
      <c r="F285" s="19">
        <f t="shared" si="266"/>
        <v>106799617</v>
      </c>
      <c r="G285" s="185">
        <f>G282+G283-G284</f>
        <v>78643368</v>
      </c>
      <c r="H285" s="185">
        <f t="shared" ref="H285:K285" si="267">H282+H283-H284</f>
        <v>50487119</v>
      </c>
      <c r="I285" s="185">
        <f t="shared" si="267"/>
        <v>22330870</v>
      </c>
      <c r="J285" s="185">
        <f t="shared" si="267"/>
        <v>0</v>
      </c>
      <c r="K285" s="185">
        <f t="shared" si="267"/>
        <v>0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BFB8B-B60E-497E-A730-4D15A5E1DAC7}">
  <dimension ref="B1:Q132"/>
  <sheetViews>
    <sheetView showGridLines="0" zoomScaleNormal="100" workbookViewId="0">
      <selection activeCell="H7" sqref="H7"/>
    </sheetView>
  </sheetViews>
  <sheetFormatPr defaultColWidth="9.140625" defaultRowHeight="15" x14ac:dyDescent="0.25"/>
  <cols>
    <col min="1" max="1" width="1.42578125" style="51" customWidth="1"/>
    <col min="2" max="2" width="54.42578125" style="51" customWidth="1"/>
    <col min="3" max="3" width="16.7109375" style="51" customWidth="1"/>
    <col min="4" max="4" width="15.5703125" style="51" bestFit="1" customWidth="1"/>
    <col min="5" max="9" width="16.42578125" style="51" customWidth="1"/>
    <col min="10" max="10" width="1.7109375" style="51" customWidth="1"/>
    <col min="11" max="11" width="12.140625" style="51" bestFit="1" customWidth="1"/>
    <col min="12" max="16" width="9.42578125" style="51" customWidth="1"/>
    <col min="17" max="16384" width="9.140625" style="51"/>
  </cols>
  <sheetData>
    <row r="1" spans="2:10" ht="15.75" thickBot="1" x14ac:dyDescent="0.3"/>
    <row r="2" spans="2:10" ht="15.75" thickBot="1" x14ac:dyDescent="0.3">
      <c r="B2" s="52" t="s">
        <v>46</v>
      </c>
      <c r="C2" s="53"/>
      <c r="D2" s="53"/>
      <c r="E2" s="53"/>
      <c r="F2" s="53"/>
      <c r="G2" s="53"/>
      <c r="H2" s="53"/>
      <c r="I2" s="53"/>
    </row>
    <row r="3" spans="2:10" x14ac:dyDescent="0.25">
      <c r="B3" s="184" t="str">
        <f>FSM!C3</f>
        <v>All amounts are shown in EGP, except per-share data, ratios, and shares outstanding</v>
      </c>
    </row>
    <row r="4" spans="2:10" x14ac:dyDescent="0.25">
      <c r="B4" s="51" t="s">
        <v>47</v>
      </c>
      <c r="C4" s="55"/>
      <c r="D4" s="55">
        <v>46022</v>
      </c>
      <c r="F4" s="51" t="s">
        <v>48</v>
      </c>
      <c r="H4" s="56">
        <f>+WACC!E21</f>
        <v>0.21540774722311287</v>
      </c>
      <c r="I4" s="51" t="s">
        <v>49</v>
      </c>
    </row>
    <row r="5" spans="2:10" x14ac:dyDescent="0.25">
      <c r="B5" s="51" t="s">
        <v>50</v>
      </c>
      <c r="C5" s="57"/>
      <c r="D5" s="57">
        <f>EOMONTH(D4,12)</f>
        <v>46387</v>
      </c>
      <c r="F5" s="51" t="s">
        <v>51</v>
      </c>
      <c r="H5" s="275">
        <v>56.11</v>
      </c>
    </row>
    <row r="6" spans="2:10" x14ac:dyDescent="0.25">
      <c r="B6" s="51" t="s">
        <v>52</v>
      </c>
      <c r="C6" s="55"/>
      <c r="D6" s="55">
        <v>46022</v>
      </c>
      <c r="F6" s="51" t="s">
        <v>53</v>
      </c>
      <c r="H6" s="58">
        <v>46189</v>
      </c>
      <c r="J6" s="59"/>
    </row>
    <row r="7" spans="2:10" x14ac:dyDescent="0.25">
      <c r="B7" s="51" t="s">
        <v>54</v>
      </c>
      <c r="C7" s="55"/>
      <c r="D7" s="55">
        <v>46192</v>
      </c>
      <c r="E7" s="59"/>
      <c r="F7" s="214" t="s">
        <v>150</v>
      </c>
      <c r="G7" s="59"/>
      <c r="H7" s="260">
        <f>C73</f>
        <v>79.987326052999734</v>
      </c>
    </row>
    <row r="8" spans="2:10" x14ac:dyDescent="0.25">
      <c r="B8" s="51" t="s">
        <v>55</v>
      </c>
      <c r="C8" s="137"/>
      <c r="D8" s="137">
        <f>YEARFRAC(D7,D5)</f>
        <v>0.53333333333333333</v>
      </c>
      <c r="F8" s="214" t="s">
        <v>151</v>
      </c>
      <c r="H8" s="208">
        <f>H7/H5-1</f>
        <v>0.42554493054713483</v>
      </c>
    </row>
    <row r="9" spans="2:10" x14ac:dyDescent="0.25">
      <c r="D9" s="61"/>
      <c r="F9" t="s">
        <v>181</v>
      </c>
      <c r="G9"/>
      <c r="H9" s="246">
        <v>1</v>
      </c>
    </row>
    <row r="10" spans="2:10" x14ac:dyDescent="0.25">
      <c r="B10" s="62" t="s">
        <v>56</v>
      </c>
      <c r="C10" s="63"/>
      <c r="D10" s="64"/>
      <c r="F10" s="63"/>
      <c r="G10" s="63"/>
      <c r="H10" s="63"/>
      <c r="I10" s="63"/>
    </row>
    <row r="11" spans="2:10" ht="17.25" customHeight="1" x14ac:dyDescent="0.4">
      <c r="C11" s="65" t="s">
        <v>57</v>
      </c>
      <c r="D11" s="65" t="s">
        <v>58</v>
      </c>
      <c r="E11" s="66" t="s">
        <v>59</v>
      </c>
      <c r="F11" s="65"/>
      <c r="G11" s="65"/>
      <c r="H11" s="65"/>
      <c r="I11" s="65"/>
    </row>
    <row r="12" spans="2:10" x14ac:dyDescent="0.25">
      <c r="B12" s="67" t="s">
        <v>60</v>
      </c>
      <c r="C12" s="68">
        <f>D7</f>
        <v>46192</v>
      </c>
      <c r="D12" s="233">
        <f>D4</f>
        <v>46022</v>
      </c>
      <c r="E12" s="233">
        <f>EOMONTH(D12,12)</f>
        <v>46387</v>
      </c>
      <c r="F12" s="233">
        <f>EOMONTH(E12,12)</f>
        <v>46752</v>
      </c>
      <c r="G12" s="233">
        <f t="shared" ref="G12:I12" si="0">EOMONTH(F12,12)</f>
        <v>47118</v>
      </c>
      <c r="H12" s="233">
        <f t="shared" si="0"/>
        <v>47483</v>
      </c>
      <c r="I12" s="233">
        <f t="shared" si="0"/>
        <v>47848</v>
      </c>
    </row>
    <row r="13" spans="2:10" x14ac:dyDescent="0.25">
      <c r="B13" s="67"/>
      <c r="D13" s="176"/>
      <c r="E13" s="183"/>
      <c r="F13" s="183"/>
      <c r="G13" s="183"/>
      <c r="H13" s="183"/>
      <c r="I13" s="182"/>
    </row>
    <row r="14" spans="2:10" x14ac:dyDescent="0.25">
      <c r="B14" s="51" t="s">
        <v>61</v>
      </c>
      <c r="C14" s="155">
        <f>E14*(1-$D$8)+D14*$D$8</f>
        <v>13256680753.386002</v>
      </c>
      <c r="D14" s="177">
        <f>FSM!F16</f>
        <v>12447320081</v>
      </c>
      <c r="E14" s="177">
        <f>FSM!G16</f>
        <v>14181664378.970001</v>
      </c>
      <c r="F14" s="177">
        <f>FSM!H16</f>
        <v>15835695632.436199</v>
      </c>
      <c r="G14" s="177">
        <f>FSM!I16</f>
        <v>17544432793.315929</v>
      </c>
      <c r="H14" s="177">
        <f>FSM!J16</f>
        <v>19150855573.205475</v>
      </c>
      <c r="I14" s="177">
        <f>FSM!K16</f>
        <v>20775316549.194115</v>
      </c>
    </row>
    <row r="15" spans="2:10" x14ac:dyDescent="0.25">
      <c r="B15" s="71" t="s">
        <v>40</v>
      </c>
      <c r="C15"/>
      <c r="D15" s="178"/>
      <c r="E15" s="178">
        <f>E14/D14-1</f>
        <v>0.13933475532756345</v>
      </c>
      <c r="F15" s="178">
        <f t="shared" ref="F15:I15" si="1">F14/E14-1</f>
        <v>0.11663167377723038</v>
      </c>
      <c r="G15" s="178">
        <f t="shared" si="1"/>
        <v>0.10790414267496584</v>
      </c>
      <c r="H15" s="178">
        <f t="shared" si="1"/>
        <v>9.1563107158503243E-2</v>
      </c>
      <c r="I15" s="178">
        <f t="shared" si="1"/>
        <v>8.4824459658161322E-2</v>
      </c>
    </row>
    <row r="16" spans="2:10" x14ac:dyDescent="0.25">
      <c r="B16" s="51" t="s">
        <v>24</v>
      </c>
      <c r="C16" s="155">
        <f>E16*(1-$D$8)+D16*$D$8</f>
        <v>4501869240.6967516</v>
      </c>
      <c r="D16" s="177">
        <f>FSM!F38</f>
        <v>4940074365</v>
      </c>
      <c r="E16" s="177">
        <f>FSM!G38</f>
        <v>4001063384.3501816</v>
      </c>
      <c r="F16" s="177">
        <f>FSM!H38</f>
        <v>4464430193.3075752</v>
      </c>
      <c r="G16" s="177">
        <f>FSM!I38</f>
        <v>4943122529.939374</v>
      </c>
      <c r="H16" s="177">
        <f>FSM!J38</f>
        <v>5387326735.2014551</v>
      </c>
      <c r="I16" s="177">
        <f>FSM!K38</f>
        <v>5820078740.5354366</v>
      </c>
    </row>
    <row r="17" spans="2:13" x14ac:dyDescent="0.25">
      <c r="B17" s="71" t="s">
        <v>62</v>
      </c>
      <c r="C17"/>
      <c r="D17" s="178">
        <f>D16/D14</f>
        <v>0.39687855159607349</v>
      </c>
      <c r="E17" s="178">
        <f t="shared" ref="E17:I17" si="2">E16/E14</f>
        <v>0.28212932399411178</v>
      </c>
      <c r="F17" s="178">
        <f t="shared" si="2"/>
        <v>0.28192195006344395</v>
      </c>
      <c r="G17" s="178">
        <f t="shared" si="2"/>
        <v>0.28174877969395529</v>
      </c>
      <c r="H17" s="178">
        <f t="shared" si="2"/>
        <v>0.28130997670615943</v>
      </c>
      <c r="I17" s="178">
        <f t="shared" si="2"/>
        <v>0.28014392593027426</v>
      </c>
    </row>
    <row r="18" spans="2:13" x14ac:dyDescent="0.25">
      <c r="B18" s="51" t="s">
        <v>63</v>
      </c>
      <c r="C18" s="155">
        <f>E18*(1-$D$8)+D18*$D$8</f>
        <v>4153650128.8603468</v>
      </c>
      <c r="D18" s="177">
        <f>FSM!F28</f>
        <v>4650303070</v>
      </c>
      <c r="E18" s="177">
        <f>FSM!G28</f>
        <v>3586046767.5578852</v>
      </c>
      <c r="F18" s="177">
        <f>FSM!H28</f>
        <v>4004293404.3015881</v>
      </c>
      <c r="G18" s="177">
        <f>FSM!I28</f>
        <v>4436373251.1117725</v>
      </c>
      <c r="H18" s="177">
        <f>FSM!J28</f>
        <v>4842581370.498436</v>
      </c>
      <c r="I18" s="177">
        <f>FSM!K28</f>
        <v>5253350718.6016426</v>
      </c>
    </row>
    <row r="19" spans="2:13" x14ac:dyDescent="0.25">
      <c r="B19" s="71" t="s">
        <v>62</v>
      </c>
      <c r="D19" s="178">
        <f>D18/D14</f>
        <v>0.37359873769923985</v>
      </c>
      <c r="E19" s="178">
        <f t="shared" ref="E19:I19" si="3">E18/E14</f>
        <v>0.25286501441083575</v>
      </c>
      <c r="F19" s="178">
        <f t="shared" si="3"/>
        <v>0.25286501441083575</v>
      </c>
      <c r="G19" s="178">
        <f t="shared" si="3"/>
        <v>0.25286501441083581</v>
      </c>
      <c r="H19" s="178">
        <f t="shared" si="3"/>
        <v>0.2528650144108357</v>
      </c>
      <c r="I19" s="178">
        <f t="shared" si="3"/>
        <v>0.2528650144108357</v>
      </c>
    </row>
    <row r="20" spans="2:13" x14ac:dyDescent="0.25">
      <c r="B20" s="71"/>
      <c r="D20" s="177"/>
      <c r="E20" s="177"/>
      <c r="F20" s="177"/>
      <c r="G20" s="177"/>
      <c r="H20" s="177"/>
      <c r="I20" s="177"/>
    </row>
    <row r="21" spans="2:13" x14ac:dyDescent="0.25">
      <c r="B21" s="51" t="s">
        <v>64</v>
      </c>
      <c r="D21" s="179">
        <f>D18*D22</f>
        <v>1107638270.6492939</v>
      </c>
      <c r="E21" s="179">
        <f t="shared" ref="E21:I21" si="4">E18*E22</f>
        <v>858217235.96072423</v>
      </c>
      <c r="F21" s="179">
        <f t="shared" si="4"/>
        <v>958312548.6552918</v>
      </c>
      <c r="G21" s="179">
        <f t="shared" si="4"/>
        <v>1061718442.6326028</v>
      </c>
      <c r="H21" s="179">
        <f t="shared" si="4"/>
        <v>1158932682.1675308</v>
      </c>
      <c r="I21" s="179">
        <f t="shared" si="4"/>
        <v>1257238520.7125747</v>
      </c>
    </row>
    <row r="22" spans="2:13" ht="15" customHeight="1" x14ac:dyDescent="0.25">
      <c r="B22" s="71" t="s">
        <v>26</v>
      </c>
      <c r="D22" s="180">
        <f>-FSM!F48</f>
        <v>0.23818625452497527</v>
      </c>
      <c r="E22" s="180">
        <f>-FSM!G48</f>
        <v>0.23932126143050114</v>
      </c>
      <c r="F22" s="180">
        <f>-FSM!H48</f>
        <v>0.23932126143050114</v>
      </c>
      <c r="G22" s="180">
        <f>-FSM!I48</f>
        <v>0.23932126143050114</v>
      </c>
      <c r="H22" s="180">
        <f>-FSM!J48</f>
        <v>0.23932126143050114</v>
      </c>
      <c r="I22" s="180">
        <f>-FSM!K48</f>
        <v>0.23932126143050114</v>
      </c>
    </row>
    <row r="23" spans="2:13" x14ac:dyDescent="0.25">
      <c r="B23" s="72" t="s">
        <v>65</v>
      </c>
      <c r="C23" s="72"/>
      <c r="D23" s="181">
        <f>D18*(1-D22)</f>
        <v>3542664799.3507056</v>
      </c>
      <c r="E23" s="181">
        <f t="shared" ref="E23:I23" si="5">E18*(1-E22)</f>
        <v>2727829531.5971608</v>
      </c>
      <c r="F23" s="181">
        <f t="shared" si="5"/>
        <v>3045980855.6462965</v>
      </c>
      <c r="G23" s="181">
        <f t="shared" si="5"/>
        <v>3374654808.4791698</v>
      </c>
      <c r="H23" s="181">
        <f t="shared" si="5"/>
        <v>3683648688.3309054</v>
      </c>
      <c r="I23" s="181">
        <f t="shared" si="5"/>
        <v>3996112197.8890676</v>
      </c>
    </row>
    <row r="24" spans="2:13" x14ac:dyDescent="0.25">
      <c r="D24" s="69"/>
      <c r="E24" s="69"/>
      <c r="F24" s="69"/>
      <c r="G24" s="69"/>
      <c r="H24" s="69"/>
      <c r="I24" s="69"/>
    </row>
    <row r="25" spans="2:13" x14ac:dyDescent="0.25">
      <c r="B25" s="51" t="s">
        <v>23</v>
      </c>
      <c r="D25" s="70"/>
      <c r="E25" s="70">
        <f>FSM!G158</f>
        <v>415016616.79229647</v>
      </c>
      <c r="F25" s="70">
        <f>FSM!H158</f>
        <v>460136789.00598699</v>
      </c>
      <c r="G25" s="70">
        <f>FSM!I158</f>
        <v>506749278.82760179</v>
      </c>
      <c r="H25" s="70">
        <f>FSM!J158</f>
        <v>544745364.70301926</v>
      </c>
      <c r="I25" s="70">
        <f>FSM!K158</f>
        <v>566728021.93379414</v>
      </c>
      <c r="M25" s="74"/>
    </row>
    <row r="26" spans="2:13" x14ac:dyDescent="0.25">
      <c r="B26" s="51" t="s">
        <v>66</v>
      </c>
      <c r="D26" s="69"/>
      <c r="E26" s="69">
        <f>D32-E32</f>
        <v>93318762.510591507</v>
      </c>
      <c r="F26" s="69">
        <f t="shared" ref="F26:I26" si="6">E32-F32</f>
        <v>-77471199.930475712</v>
      </c>
      <c r="G26" s="69">
        <f t="shared" si="6"/>
        <v>-80033504.773102283</v>
      </c>
      <c r="H26" s="69">
        <f t="shared" si="6"/>
        <v>-75241323.338294029</v>
      </c>
      <c r="I26" s="69">
        <f t="shared" si="6"/>
        <v>-76086192.921895504</v>
      </c>
      <c r="M26" s="74"/>
    </row>
    <row r="27" spans="2:13" x14ac:dyDescent="0.25">
      <c r="B27" s="51" t="s">
        <v>67</v>
      </c>
      <c r="D27" s="70"/>
      <c r="E27" s="70">
        <f>-FSM!G147</f>
        <v>-281570407.70789284</v>
      </c>
      <c r="F27" s="70">
        <f>-FSM!H147</f>
        <v>-314410435.64500153</v>
      </c>
      <c r="G27" s="70">
        <f>-FSM!I147</f>
        <v>-348336624.15133798</v>
      </c>
      <c r="H27" s="70">
        <f>-FSM!J147</f>
        <v>-380231407.79573822</v>
      </c>
      <c r="I27" s="70">
        <f>-FSM!K147</f>
        <v>-412484331.5070737</v>
      </c>
      <c r="M27" s="74"/>
    </row>
    <row r="28" spans="2:13" x14ac:dyDescent="0.25">
      <c r="B28" s="71" t="s">
        <v>38</v>
      </c>
      <c r="D28" s="1"/>
      <c r="E28" s="1">
        <f>E27/E14</f>
        <v>-1.985453894434519E-2</v>
      </c>
      <c r="F28" s="1">
        <f t="shared" ref="F28:I28" si="7">F27/F14</f>
        <v>-1.985453894434519E-2</v>
      </c>
      <c r="G28" s="1">
        <f t="shared" si="7"/>
        <v>-1.985453894434519E-2</v>
      </c>
      <c r="H28" s="1">
        <f t="shared" si="7"/>
        <v>-1.985453894434519E-2</v>
      </c>
      <c r="I28" s="1">
        <f t="shared" si="7"/>
        <v>-1.985453894434519E-2</v>
      </c>
      <c r="M28" s="74"/>
    </row>
    <row r="29" spans="2:13" x14ac:dyDescent="0.25">
      <c r="B29" s="214"/>
      <c r="D29" s="70"/>
      <c r="E29" s="70"/>
      <c r="F29" s="70"/>
      <c r="G29" s="70"/>
      <c r="H29" s="70"/>
      <c r="I29" s="70"/>
      <c r="M29" s="74"/>
    </row>
    <row r="30" spans="2:13" x14ac:dyDescent="0.25">
      <c r="B30" s="72" t="s">
        <v>68</v>
      </c>
      <c r="C30" s="72"/>
      <c r="D30" s="73"/>
      <c r="E30" s="73">
        <f>E23+E25+E26+E27</f>
        <v>2954594503.1921558</v>
      </c>
      <c r="F30" s="73">
        <f t="shared" ref="F30:I30" si="8">F23+F25+F26+F27</f>
        <v>3114236009.0768065</v>
      </c>
      <c r="G30" s="73">
        <f t="shared" si="8"/>
        <v>3453033958.3823314</v>
      </c>
      <c r="H30" s="73">
        <f t="shared" si="8"/>
        <v>3772921321.8998923</v>
      </c>
      <c r="I30" s="73">
        <f t="shared" si="8"/>
        <v>4074269695.3938928</v>
      </c>
      <c r="M30" s="73"/>
    </row>
    <row r="31" spans="2:13" x14ac:dyDescent="0.25">
      <c r="D31" s="70"/>
      <c r="E31" s="70"/>
      <c r="F31" s="70"/>
      <c r="G31" s="70"/>
      <c r="H31" s="70"/>
      <c r="I31" s="70"/>
      <c r="M31" s="74"/>
    </row>
    <row r="32" spans="2:13" x14ac:dyDescent="0.25">
      <c r="B32" s="51" t="s">
        <v>69</v>
      </c>
      <c r="C32" s="70"/>
      <c r="D32" s="70">
        <f>FSM!F203</f>
        <v>757556850</v>
      </c>
      <c r="E32" s="70">
        <f>FSM!G203</f>
        <v>664238087.48940849</v>
      </c>
      <c r="F32" s="70">
        <f>FSM!H203</f>
        <v>741709287.4198842</v>
      </c>
      <c r="G32" s="70">
        <f>FSM!I203</f>
        <v>821742792.19298649</v>
      </c>
      <c r="H32" s="70">
        <f>FSM!J203</f>
        <v>896984115.53128052</v>
      </c>
      <c r="I32" s="70">
        <f>FSM!K203</f>
        <v>973070308.45317602</v>
      </c>
    </row>
    <row r="33" spans="2:13" x14ac:dyDescent="0.25">
      <c r="B33" s="71" t="s">
        <v>38</v>
      </c>
      <c r="D33" s="60">
        <f>D32/D14</f>
        <v>6.0861040374173378E-2</v>
      </c>
      <c r="E33" s="60">
        <f t="shared" ref="E33:I33" si="9">E32/E14</f>
        <v>4.6837809000360178E-2</v>
      </c>
      <c r="F33" s="60">
        <f t="shared" si="9"/>
        <v>4.6837809000360157E-2</v>
      </c>
      <c r="G33" s="60">
        <f t="shared" si="9"/>
        <v>4.6837809000360144E-2</v>
      </c>
      <c r="H33" s="60">
        <f t="shared" si="9"/>
        <v>4.6837809000360137E-2</v>
      </c>
      <c r="I33" s="60">
        <f t="shared" si="9"/>
        <v>4.6837809000360185E-2</v>
      </c>
      <c r="J33" s="70"/>
    </row>
    <row r="34" spans="2:13" x14ac:dyDescent="0.25">
      <c r="D34"/>
      <c r="E34" s="60"/>
      <c r="F34" s="60"/>
      <c r="G34" s="60"/>
      <c r="H34" s="60"/>
      <c r="I34" s="60"/>
      <c r="J34" s="70"/>
      <c r="K34" s="75"/>
      <c r="M34" s="60"/>
    </row>
    <row r="35" spans="2:13" x14ac:dyDescent="0.25">
      <c r="B35" s="62" t="str">
        <f>"Present value of UFCF on "&amp;TEXT(D7,"mmm dd, yyyy")&amp;" valuation date"</f>
        <v>Present value of UFCF on Jun 19, 2026 valuation date</v>
      </c>
      <c r="C35" s="63"/>
      <c r="D35" s="76"/>
      <c r="E35" s="63"/>
      <c r="F35" s="76"/>
      <c r="G35" s="76"/>
      <c r="H35" s="76"/>
      <c r="I35" s="76"/>
      <c r="J35" s="70"/>
    </row>
    <row r="36" spans="2:13" ht="17.25" x14ac:dyDescent="0.4">
      <c r="B36" s="72"/>
      <c r="D36" s="77" t="s">
        <v>70</v>
      </c>
      <c r="E36" s="77" t="s">
        <v>71</v>
      </c>
      <c r="F36" s="78" t="s">
        <v>72</v>
      </c>
      <c r="G36" s="78" t="s">
        <v>73</v>
      </c>
      <c r="H36" s="78" t="s">
        <v>74</v>
      </c>
      <c r="I36" s="78" t="s">
        <v>75</v>
      </c>
      <c r="J36" s="70"/>
    </row>
    <row r="37" spans="2:13" x14ac:dyDescent="0.25">
      <c r="B37" s="51" t="s">
        <v>76</v>
      </c>
      <c r="D37" s="79">
        <f>D7</f>
        <v>46192</v>
      </c>
      <c r="E37" s="156">
        <f>IF($H$9=1,AVERAGE(E12,D37),E12)</f>
        <v>46289.5</v>
      </c>
      <c r="F37" s="156">
        <f>IF($H$9=1,AVERAGE(F12,E12),F12)</f>
        <v>46569.5</v>
      </c>
      <c r="G37" s="156">
        <f>IF($H$9=1,AVERAGE(G12,F12),G12)</f>
        <v>46935</v>
      </c>
      <c r="H37" s="156">
        <f>IF($H$9=1,AVERAGE(H12,G12),H12)</f>
        <v>47300.5</v>
      </c>
      <c r="I37" s="156">
        <f>IF($H$9=1,AVERAGE(I12,H12),I12)</f>
        <v>47665.5</v>
      </c>
      <c r="J37" s="70"/>
    </row>
    <row r="38" spans="2:13" x14ac:dyDescent="0.25">
      <c r="B38" s="51" t="s">
        <v>77</v>
      </c>
      <c r="C38" s="80">
        <f>D8</f>
        <v>0.53333333333333333</v>
      </c>
      <c r="D38" s="74"/>
      <c r="E38" s="81">
        <f>E30*C38</f>
        <v>1575783735.0358164</v>
      </c>
      <c r="F38" s="81">
        <f>F30</f>
        <v>3114236009.0768065</v>
      </c>
      <c r="G38" s="81">
        <f t="shared" ref="G38:I38" si="10">G30</f>
        <v>3453033958.3823314</v>
      </c>
      <c r="H38" s="81">
        <f t="shared" si="10"/>
        <v>3772921321.8998923</v>
      </c>
      <c r="I38" s="81">
        <f t="shared" si="10"/>
        <v>4074269695.3938928</v>
      </c>
      <c r="J38" s="69"/>
    </row>
    <row r="39" spans="2:13" ht="15" customHeight="1" x14ac:dyDescent="0.25">
      <c r="B39" s="72" t="s">
        <v>78</v>
      </c>
      <c r="C39" s="82"/>
      <c r="D39" s="73"/>
      <c r="E39" s="73">
        <f>E38/(1+$H$4)^((E37-$D$37)/365)</f>
        <v>1495771982.7141719</v>
      </c>
      <c r="F39" s="73">
        <f t="shared" ref="F39:I39" si="11">F38/(1+$H$4)^((F37-$D$37)/365)</f>
        <v>2545236152.7918921</v>
      </c>
      <c r="G39" s="73">
        <f t="shared" si="11"/>
        <v>2321343195.9310684</v>
      </c>
      <c r="H39" s="73">
        <f t="shared" si="11"/>
        <v>2086306900.4634659</v>
      </c>
      <c r="I39" s="73">
        <f t="shared" si="11"/>
        <v>1853652063.8149886</v>
      </c>
      <c r="J39" s="69"/>
    </row>
    <row r="41" spans="2:13" x14ac:dyDescent="0.25">
      <c r="B41" s="62" t="s">
        <v>79</v>
      </c>
      <c r="C41" s="62"/>
      <c r="E41" s="62" t="s">
        <v>80</v>
      </c>
      <c r="F41" s="63"/>
      <c r="G41" s="63"/>
      <c r="H41" s="63"/>
      <c r="I41" s="63"/>
    </row>
    <row r="42" spans="2:13" x14ac:dyDescent="0.25">
      <c r="B42" s="51" t="s">
        <v>81</v>
      </c>
      <c r="C42" s="83">
        <v>0.1</v>
      </c>
      <c r="E42" s="51" t="s">
        <v>82</v>
      </c>
      <c r="I42" s="74">
        <f>I16</f>
        <v>5820078740.5354366</v>
      </c>
      <c r="J42" s="74"/>
    </row>
    <row r="43" spans="2:13" x14ac:dyDescent="0.25">
      <c r="B43" s="84" t="str">
        <f>YEAR(I12)&amp;" FCF x (1+g)"</f>
        <v>2030 FCF x (1+g)</v>
      </c>
      <c r="C43" s="74">
        <f>I38*(1+C42)</f>
        <v>4481696664.9332829</v>
      </c>
      <c r="E43" s="51" t="s">
        <v>83</v>
      </c>
      <c r="I43" s="278">
        <v>6.4</v>
      </c>
      <c r="J43" s="85"/>
    </row>
    <row r="44" spans="2:13" x14ac:dyDescent="0.25">
      <c r="B44" s="51" t="str">
        <f>"Terminal value in "&amp;YEAR(I12)</f>
        <v>Terminal value in 2030</v>
      </c>
      <c r="C44" s="74">
        <f>C43/(H4-C42)</f>
        <v>38833585896.699036</v>
      </c>
      <c r="E44" s="51" t="str">
        <f>"Terminal value in "&amp;YEAR(I12)</f>
        <v>Terminal value in 2030</v>
      </c>
      <c r="I44" s="74">
        <f>I42*I43</f>
        <v>37248503939.426796</v>
      </c>
      <c r="J44" s="74"/>
    </row>
    <row r="45" spans="2:13" x14ac:dyDescent="0.25">
      <c r="B45" s="51" t="s">
        <v>84</v>
      </c>
      <c r="C45" s="74">
        <f>C44/(1+$H$4)^((I37-$D$37)/365)</f>
        <v>17667941011.399719</v>
      </c>
      <c r="E45" s="51" t="s">
        <v>84</v>
      </c>
      <c r="I45" s="74">
        <f>I44/(1+H4)^((I37-D37)/365)</f>
        <v>16946783439.348139</v>
      </c>
      <c r="J45" s="74"/>
    </row>
    <row r="46" spans="2:13" x14ac:dyDescent="0.25">
      <c r="B46" s="51" t="s">
        <v>85</v>
      </c>
      <c r="C46" s="69">
        <f>SUM(E39:I39)</f>
        <v>10302310295.715586</v>
      </c>
      <c r="E46" s="51" t="s">
        <v>85</v>
      </c>
      <c r="I46" s="74">
        <f>C46</f>
        <v>10302310295.715586</v>
      </c>
      <c r="J46" s="74"/>
    </row>
    <row r="47" spans="2:13" x14ac:dyDescent="0.25">
      <c r="B47" s="72" t="s">
        <v>86</v>
      </c>
      <c r="C47" s="86">
        <f>C45+C46</f>
        <v>27970251307.115303</v>
      </c>
      <c r="E47" s="72" t="s">
        <v>87</v>
      </c>
      <c r="I47" s="86">
        <f>I45+I46</f>
        <v>27249093735.063725</v>
      </c>
      <c r="J47" s="86"/>
    </row>
    <row r="49" spans="2:10" x14ac:dyDescent="0.25">
      <c r="B49" s="87" t="s">
        <v>88</v>
      </c>
      <c r="C49" s="88">
        <f>C45/C47</f>
        <v>0.6316690121016254</v>
      </c>
      <c r="E49" s="87" t="s">
        <v>88</v>
      </c>
      <c r="I49" s="88">
        <f>I45/I47</f>
        <v>0.62192099319403316</v>
      </c>
      <c r="J49" s="88"/>
    </row>
    <row r="50" spans="2:10" x14ac:dyDescent="0.25">
      <c r="B50" s="87" t="s">
        <v>89</v>
      </c>
      <c r="C50" s="88">
        <f>1-C49</f>
        <v>0.3683309878983746</v>
      </c>
      <c r="E50" s="87" t="s">
        <v>90</v>
      </c>
      <c r="G50" s="89"/>
      <c r="I50" s="90">
        <f>1-I49</f>
        <v>0.37807900680596684</v>
      </c>
      <c r="J50" s="90"/>
    </row>
    <row r="51" spans="2:10" x14ac:dyDescent="0.25">
      <c r="B51" s="87" t="s">
        <v>91</v>
      </c>
      <c r="C51" s="91">
        <f>C44/I16</f>
        <v>6.6723471670980201</v>
      </c>
      <c r="E51" s="51" t="s">
        <v>92</v>
      </c>
      <c r="I51" s="219">
        <f>(H4-I38/I44)/(1+I38/I44)</f>
        <v>9.5573125379496707E-2</v>
      </c>
      <c r="J51" s="92"/>
    </row>
    <row r="52" spans="2:10" x14ac:dyDescent="0.25">
      <c r="B52" s="87"/>
      <c r="C52" s="67"/>
      <c r="D52" s="91"/>
      <c r="I52" s="92"/>
      <c r="J52" s="92"/>
    </row>
    <row r="53" spans="2:10" x14ac:dyDescent="0.25">
      <c r="B53" s="62" t="s">
        <v>93</v>
      </c>
      <c r="C53" s="63"/>
      <c r="E53" s="62" t="s">
        <v>30</v>
      </c>
      <c r="F53" s="63"/>
      <c r="G53" s="62"/>
      <c r="H53" s="63"/>
      <c r="I53" s="63"/>
    </row>
    <row r="54" spans="2:10" x14ac:dyDescent="0.25">
      <c r="B54" s="51" t="s">
        <v>94</v>
      </c>
      <c r="C54" s="191" t="s">
        <v>178</v>
      </c>
    </row>
    <row r="55" spans="2:10" x14ac:dyDescent="0.25">
      <c r="B55" s="93" t="s">
        <v>95</v>
      </c>
      <c r="C55" s="58" t="s">
        <v>179</v>
      </c>
      <c r="G55" s="94" t="s">
        <v>94</v>
      </c>
      <c r="H55" s="95" t="s">
        <v>96</v>
      </c>
      <c r="I55" s="95" t="s">
        <v>97</v>
      </c>
    </row>
    <row r="56" spans="2:10" x14ac:dyDescent="0.25">
      <c r="B56" s="96" t="s">
        <v>98</v>
      </c>
      <c r="C56" s="97"/>
      <c r="E56" s="51" t="s">
        <v>99</v>
      </c>
      <c r="G56" s="192" t="s">
        <v>178</v>
      </c>
      <c r="H56" s="58" t="s">
        <v>179</v>
      </c>
      <c r="I56" s="189">
        <v>374867445</v>
      </c>
      <c r="J56" s="98"/>
    </row>
    <row r="57" spans="2:10" x14ac:dyDescent="0.25">
      <c r="B57" s="71" t="s">
        <v>100</v>
      </c>
      <c r="C57" s="100">
        <f>FSM!F78+FSM!F80+FSM!F81+FSM!F88+FSM!F90</f>
        <v>1135108658</v>
      </c>
      <c r="E57" s="93" t="s">
        <v>101</v>
      </c>
      <c r="G57" s="192"/>
      <c r="H57" s="58"/>
      <c r="I57" s="189">
        <v>3872255</v>
      </c>
      <c r="J57" s="99"/>
    </row>
    <row r="58" spans="2:10" x14ac:dyDescent="0.25">
      <c r="B58" s="71" t="s">
        <v>102</v>
      </c>
      <c r="C58" s="185"/>
      <c r="E58" s="93" t="s">
        <v>103</v>
      </c>
      <c r="G58" s="58"/>
      <c r="H58" s="58"/>
      <c r="I58" s="185"/>
    </row>
    <row r="59" spans="2:10" ht="15" customHeight="1" x14ac:dyDescent="0.25">
      <c r="B59" s="71" t="s">
        <v>104</v>
      </c>
      <c r="C59" s="185"/>
      <c r="E59" s="51" t="s">
        <v>102</v>
      </c>
      <c r="G59" s="58"/>
      <c r="H59" s="58"/>
      <c r="I59" s="185"/>
    </row>
    <row r="60" spans="2:10" x14ac:dyDescent="0.25">
      <c r="B60" s="101" t="s">
        <v>105</v>
      </c>
      <c r="C60" s="100">
        <f>FSM!F103</f>
        <v>158005</v>
      </c>
      <c r="E60" s="51" t="s">
        <v>106</v>
      </c>
      <c r="G60" s="58"/>
      <c r="H60" s="58"/>
      <c r="I60" s="185"/>
    </row>
    <row r="61" spans="2:10" ht="15" customHeight="1" x14ac:dyDescent="0.25">
      <c r="B61" s="96" t="s">
        <v>107</v>
      </c>
      <c r="C61" s="100"/>
      <c r="E61" s="102" t="s">
        <v>108</v>
      </c>
      <c r="I61" s="190">
        <f>SUM(I56:I60)</f>
        <v>378739700</v>
      </c>
      <c r="J61" s="103"/>
    </row>
    <row r="62" spans="2:10" x14ac:dyDescent="0.25">
      <c r="B62" s="104" t="s">
        <v>109</v>
      </c>
      <c r="C62" s="100">
        <f>FSM!F60</f>
        <v>3459391229</v>
      </c>
      <c r="J62" s="105"/>
    </row>
    <row r="63" spans="2:10" x14ac:dyDescent="0.25">
      <c r="B63" s="104" t="s">
        <v>110</v>
      </c>
      <c r="C63" s="100"/>
      <c r="J63" s="105"/>
    </row>
    <row r="64" spans="2:10" x14ac:dyDescent="0.25">
      <c r="B64" s="104" t="s">
        <v>172</v>
      </c>
      <c r="C64" s="100"/>
      <c r="J64" s="106"/>
    </row>
    <row r="65" spans="2:6" x14ac:dyDescent="0.25">
      <c r="B65" s="107" t="s">
        <v>93</v>
      </c>
      <c r="C65" s="14">
        <f>SUM(C57:C60)-SUM(C62:C64)</f>
        <v>-2324124566</v>
      </c>
    </row>
    <row r="67" spans="2:6" x14ac:dyDescent="0.25">
      <c r="B67" s="62" t="s">
        <v>111</v>
      </c>
      <c r="C67" s="63"/>
      <c r="D67" s="63"/>
    </row>
    <row r="68" spans="2:6" ht="17.25" x14ac:dyDescent="0.4">
      <c r="C68" s="108" t="s">
        <v>112</v>
      </c>
      <c r="D68" s="108" t="s">
        <v>24</v>
      </c>
    </row>
    <row r="69" spans="2:6" x14ac:dyDescent="0.25">
      <c r="B69" s="51" t="s">
        <v>113</v>
      </c>
      <c r="C69" s="109">
        <f>C47</f>
        <v>27970251307.115303</v>
      </c>
      <c r="D69" s="109">
        <f>I47</f>
        <v>27249093735.063725</v>
      </c>
    </row>
    <row r="70" spans="2:6" x14ac:dyDescent="0.25">
      <c r="B70" s="51" t="s">
        <v>93</v>
      </c>
      <c r="C70" s="110">
        <f>$C$65</f>
        <v>-2324124566</v>
      </c>
      <c r="D70" s="110">
        <f>$C$65</f>
        <v>-2324124566</v>
      </c>
    </row>
    <row r="71" spans="2:6" x14ac:dyDescent="0.25">
      <c r="B71" s="51" t="s">
        <v>114</v>
      </c>
      <c r="C71" s="111">
        <f>C69-C70</f>
        <v>30294375873.115303</v>
      </c>
      <c r="D71" s="111">
        <f t="shared" ref="D71" si="12">D69-D70</f>
        <v>29573218301.063725</v>
      </c>
    </row>
    <row r="72" spans="2:6" x14ac:dyDescent="0.25">
      <c r="B72" s="51" t="s">
        <v>30</v>
      </c>
      <c r="C72" s="215">
        <f>$I$61</f>
        <v>378739700</v>
      </c>
      <c r="D72" s="215">
        <f t="shared" ref="D72" si="13">$I$61</f>
        <v>378739700</v>
      </c>
    </row>
    <row r="73" spans="2:6" x14ac:dyDescent="0.25">
      <c r="B73" s="72" t="s">
        <v>115</v>
      </c>
      <c r="C73" s="259">
        <f>C71/C72</f>
        <v>79.987326052999734</v>
      </c>
      <c r="D73" s="259">
        <f t="shared" ref="D73" si="14">D71/D72</f>
        <v>78.08322787672833</v>
      </c>
    </row>
    <row r="75" spans="2:6" ht="17.25" x14ac:dyDescent="0.4">
      <c r="C75" s="65" t="s">
        <v>116</v>
      </c>
      <c r="D75" s="65"/>
    </row>
    <row r="76" spans="2:6" x14ac:dyDescent="0.25">
      <c r="B76" s="94"/>
      <c r="C76" s="95" t="s">
        <v>112</v>
      </c>
      <c r="D76" s="95" t="s">
        <v>24</v>
      </c>
    </row>
    <row r="77" spans="2:6" x14ac:dyDescent="0.25">
      <c r="B77" s="51" t="s">
        <v>117</v>
      </c>
      <c r="C77" s="238">
        <f>C69/$C$14</f>
        <v>2.1098985354966162</v>
      </c>
      <c r="D77" s="238">
        <f>D69/$C$14</f>
        <v>2.0554989776082375</v>
      </c>
    </row>
    <row r="78" spans="2:6" x14ac:dyDescent="0.25">
      <c r="B78" s="51" t="s">
        <v>118</v>
      </c>
      <c r="C78" s="239">
        <f>C69/$C$16</f>
        <v>6.2130305905522842</v>
      </c>
      <c r="D78" s="239">
        <f>D69/$C$16</f>
        <v>6.0528398934231147</v>
      </c>
    </row>
    <row r="79" spans="2:6" x14ac:dyDescent="0.25">
      <c r="B79" s="69" t="s">
        <v>119</v>
      </c>
      <c r="C79" s="239">
        <f>C69/$C$18</f>
        <v>6.7338967990521654</v>
      </c>
      <c r="D79" s="239">
        <f>D69/$C$18</f>
        <v>6.5602765976199748</v>
      </c>
    </row>
    <row r="80" spans="2:6" ht="17.25" x14ac:dyDescent="0.4">
      <c r="B80" s="69"/>
      <c r="C80" s="65" t="s">
        <v>120</v>
      </c>
      <c r="D80" s="65"/>
      <c r="E80" s="112"/>
      <c r="F80" s="112"/>
    </row>
    <row r="81" spans="2:17" x14ac:dyDescent="0.25">
      <c r="B81" s="94"/>
      <c r="C81" s="95" t="s">
        <v>112</v>
      </c>
      <c r="D81" s="95" t="s">
        <v>24</v>
      </c>
      <c r="E81" s="112"/>
      <c r="F81" s="112"/>
    </row>
    <row r="82" spans="2:17" x14ac:dyDescent="0.25">
      <c r="B82" s="51" t="s">
        <v>117</v>
      </c>
      <c r="C82" s="238">
        <f>C69/$E$14</f>
        <v>1.9722826996662257</v>
      </c>
      <c r="D82" s="238">
        <f>D69/$E$14</f>
        <v>1.9214312937395008</v>
      </c>
      <c r="E82" s="112"/>
      <c r="F82" s="112"/>
    </row>
    <row r="83" spans="2:17" x14ac:dyDescent="0.25">
      <c r="B83" s="51" t="s">
        <v>118</v>
      </c>
      <c r="C83" s="239">
        <f>C69/$E$16</f>
        <v>6.9907043753714468</v>
      </c>
      <c r="D83" s="239">
        <f>D69/$E$16</f>
        <v>6.8104628988498987</v>
      </c>
      <c r="E83" s="112"/>
      <c r="F83" s="112"/>
    </row>
    <row r="84" spans="2:17" x14ac:dyDescent="0.25">
      <c r="B84" s="69" t="s">
        <v>119</v>
      </c>
      <c r="C84" s="239">
        <f>C69/$E$18</f>
        <v>7.7997452682869435</v>
      </c>
      <c r="D84" s="239">
        <f>D69/$E$18</f>
        <v>7.5986442735716153</v>
      </c>
      <c r="E84" s="112"/>
      <c r="F84" s="112"/>
    </row>
    <row r="86" spans="2:17" x14ac:dyDescent="0.25">
      <c r="B86" s="62" t="s">
        <v>121</v>
      </c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</row>
    <row r="87" spans="2:17" x14ac:dyDescent="0.25">
      <c r="B87" s="72"/>
    </row>
    <row r="88" spans="2:17" ht="17.25" customHeight="1" x14ac:dyDescent="0.4">
      <c r="B88" s="113"/>
      <c r="C88" s="72"/>
      <c r="D88" s="114" t="s">
        <v>115</v>
      </c>
      <c r="E88" s="65"/>
      <c r="F88" s="65"/>
      <c r="G88" s="65"/>
      <c r="H88" s="65"/>
      <c r="I88" s="65"/>
      <c r="J88" s="115"/>
      <c r="L88" s="114" t="s">
        <v>122</v>
      </c>
      <c r="M88" s="65"/>
      <c r="N88" s="65"/>
      <c r="O88" s="65"/>
      <c r="P88" s="65"/>
      <c r="Q88" s="65"/>
    </row>
    <row r="89" spans="2:17" ht="15" customHeight="1" x14ac:dyDescent="0.25">
      <c r="B89" s="113"/>
      <c r="D89" s="93"/>
      <c r="E89" s="116" t="s">
        <v>123</v>
      </c>
      <c r="F89" s="116"/>
      <c r="G89" s="116"/>
      <c r="H89" s="116"/>
      <c r="I89" s="116"/>
      <c r="J89" s="117"/>
      <c r="L89" s="116" t="s">
        <v>123</v>
      </c>
      <c r="M89" s="116"/>
      <c r="N89" s="116"/>
      <c r="O89" s="116"/>
      <c r="P89" s="116"/>
      <c r="Q89" s="116"/>
    </row>
    <row r="90" spans="2:17" ht="15" customHeight="1" x14ac:dyDescent="0.25">
      <c r="B90" s="113"/>
      <c r="C90" s="118"/>
      <c r="D90" s="160">
        <f>C73</f>
        <v>79.987326052999734</v>
      </c>
      <c r="E90" s="195">
        <f>F90-0.005</f>
        <v>0.09</v>
      </c>
      <c r="F90" s="196">
        <f>G90-0.005</f>
        <v>9.5000000000000001E-2</v>
      </c>
      <c r="G90" s="119">
        <f>$C$42</f>
        <v>0.1</v>
      </c>
      <c r="H90" s="196">
        <f>G90+0.005</f>
        <v>0.10500000000000001</v>
      </c>
      <c r="I90" s="220">
        <f>H90+0.005</f>
        <v>0.11000000000000001</v>
      </c>
      <c r="K90" s="123"/>
      <c r="L90" s="120">
        <f>C78</f>
        <v>6.2130305905522842</v>
      </c>
      <c r="M90" s="195">
        <f>N90-0.005</f>
        <v>0.09</v>
      </c>
      <c r="N90" s="196">
        <f>O90-0.005</f>
        <v>9.5000000000000001E-2</v>
      </c>
      <c r="O90" s="119">
        <f>$C$42</f>
        <v>0.1</v>
      </c>
      <c r="P90" s="196">
        <f>O90+0.005</f>
        <v>0.10500000000000001</v>
      </c>
      <c r="Q90" s="220">
        <f>P90+0.005</f>
        <v>0.11000000000000001</v>
      </c>
    </row>
    <row r="91" spans="2:17" ht="15" customHeight="1" x14ac:dyDescent="0.25">
      <c r="B91" s="113"/>
      <c r="D91" s="193">
        <f>D92+0.01</f>
        <v>0.23540774722311289</v>
      </c>
      <c r="E91" s="121">
        <f t="dataTable" ref="E91:I95" dt2D="1" dtr="1" r1="C42" r2="H4" ca="1"/>
        <v>66.778337196815372</v>
      </c>
      <c r="F91" s="121">
        <v>65.484157718436222</v>
      </c>
      <c r="G91" s="121">
        <v>65.484157718436222</v>
      </c>
      <c r="H91" s="121">
        <v>66.778337196815372</v>
      </c>
      <c r="I91" s="121">
        <v>69.653425570077459</v>
      </c>
      <c r="J91" s="122"/>
      <c r="L91" s="193">
        <f>L92+0.01</f>
        <v>0.23540774722311289</v>
      </c>
      <c r="M91" s="123">
        <f t="dataTable" ref="M91:Q95" dt2D="1" dtr="1" r1="C42" r2="H4" ca="1"/>
        <v>5.101765867119239</v>
      </c>
      <c r="N91" s="123">
        <v>4.9928872833175442</v>
      </c>
      <c r="O91" s="123">
        <v>4.9928872833175442</v>
      </c>
      <c r="P91" s="123">
        <v>5.101765867119239</v>
      </c>
      <c r="Q91" s="123">
        <v>5.3436454175333346</v>
      </c>
    </row>
    <row r="92" spans="2:17" ht="15" customHeight="1" x14ac:dyDescent="0.25">
      <c r="B92" s="113"/>
      <c r="D92" s="193">
        <f>D93+0.01</f>
        <v>0.22540774722311288</v>
      </c>
      <c r="E92" s="121">
        <v>70.992389715184601</v>
      </c>
      <c r="F92" s="121">
        <v>69.466450183252448</v>
      </c>
      <c r="G92" s="121">
        <v>69.466450183252448</v>
      </c>
      <c r="H92" s="121">
        <v>70.992389715184601</v>
      </c>
      <c r="I92" s="121">
        <v>74.409303531459543</v>
      </c>
      <c r="J92" s="122"/>
      <c r="L92" s="193">
        <f>L93+0.01</f>
        <v>0.22540774722311288</v>
      </c>
      <c r="M92" s="123">
        <v>5.4562917098876955</v>
      </c>
      <c r="N92" s="123">
        <v>5.3279152845313975</v>
      </c>
      <c r="O92" s="123">
        <v>5.3279152845313975</v>
      </c>
      <c r="P92" s="123">
        <v>5.4562917098876955</v>
      </c>
      <c r="Q92" s="123">
        <v>5.7437547268058715</v>
      </c>
    </row>
    <row r="93" spans="2:17" ht="15" customHeight="1" x14ac:dyDescent="0.25">
      <c r="B93" s="113"/>
      <c r="C93" s="118" t="s">
        <v>124</v>
      </c>
      <c r="D93" s="124">
        <f>WACC!$E$21</f>
        <v>0.21540774722311287</v>
      </c>
      <c r="E93" s="121">
        <v>75.8772481041822</v>
      </c>
      <c r="F93" s="121">
        <v>74.058587606302069</v>
      </c>
      <c r="G93" s="121">
        <v>74.058587606302069</v>
      </c>
      <c r="H93" s="121">
        <v>75.8772481041822</v>
      </c>
      <c r="I93" s="121">
        <v>79.987326052999734</v>
      </c>
      <c r="J93" s="122"/>
      <c r="K93" s="118" t="s">
        <v>124</v>
      </c>
      <c r="L93" s="124">
        <f>WACC!$E$21</f>
        <v>0.21540774722311287</v>
      </c>
      <c r="M93" s="123">
        <v>5.8672520692128138</v>
      </c>
      <c r="N93" s="123">
        <v>5.7142491953971435</v>
      </c>
      <c r="O93" s="123">
        <v>5.7142491953971435</v>
      </c>
      <c r="P93" s="123">
        <v>5.8672520692128138</v>
      </c>
      <c r="Q93" s="123">
        <v>6.2130305905522842</v>
      </c>
    </row>
    <row r="94" spans="2:17" ht="15" customHeight="1" x14ac:dyDescent="0.25">
      <c r="B94" s="113"/>
      <c r="D94" s="193">
        <f t="shared" ref="D94:D95" si="15">D93-0.01</f>
        <v>0.20540774722311286</v>
      </c>
      <c r="E94" s="121">
        <v>81.607259251994236</v>
      </c>
      <c r="F94" s="121">
        <v>79.412500590491859</v>
      </c>
      <c r="G94" s="121">
        <v>79.412500590491859</v>
      </c>
      <c r="H94" s="121">
        <v>81.607259251994236</v>
      </c>
      <c r="I94" s="121">
        <v>86.621424777618373</v>
      </c>
      <c r="J94" s="122"/>
      <c r="L94" s="193">
        <f t="shared" ref="L94:L95" si="16">L93-0.01</f>
        <v>0.20540774722311286</v>
      </c>
      <c r="M94" s="123">
        <v>6.3493146496850779</v>
      </c>
      <c r="N94" s="123">
        <v>6.1646708511679167</v>
      </c>
      <c r="O94" s="123">
        <v>6.1646708511679167</v>
      </c>
      <c r="P94" s="123">
        <v>6.3493146496850779</v>
      </c>
      <c r="Q94" s="123">
        <v>6.771153544906146</v>
      </c>
    </row>
    <row r="95" spans="2:17" ht="15" customHeight="1" x14ac:dyDescent="0.25">
      <c r="B95" s="125" t="s">
        <v>125</v>
      </c>
      <c r="D95" s="194">
        <f t="shared" si="15"/>
        <v>0.19540774722311285</v>
      </c>
      <c r="E95" s="121">
        <v>88.422929876404268</v>
      </c>
      <c r="F95" s="121">
        <v>85.735162761157056</v>
      </c>
      <c r="G95" s="121">
        <v>85.735162761157056</v>
      </c>
      <c r="H95" s="121">
        <v>88.422929876404268</v>
      </c>
      <c r="I95" s="121">
        <v>94.6436052595229</v>
      </c>
      <c r="J95" s="122"/>
      <c r="L95" s="194">
        <f t="shared" si="16"/>
        <v>0.19540774722311285</v>
      </c>
      <c r="M95" s="123">
        <v>6.9227131447485091</v>
      </c>
      <c r="N95" s="123">
        <v>6.6965928252829334</v>
      </c>
      <c r="O95" s="123">
        <v>6.6965928252829334</v>
      </c>
      <c r="P95" s="123">
        <v>6.9227131447485091</v>
      </c>
      <c r="Q95" s="123">
        <v>7.4460550284046176</v>
      </c>
    </row>
    <row r="96" spans="2:17" ht="15" customHeight="1" x14ac:dyDescent="0.25">
      <c r="B96" s="125" t="s">
        <v>126</v>
      </c>
      <c r="E96" s="126"/>
      <c r="F96" s="126"/>
      <c r="G96" s="126"/>
      <c r="H96" s="126"/>
      <c r="I96" s="126"/>
      <c r="J96" s="126"/>
    </row>
    <row r="97" spans="2:17" ht="17.25" customHeight="1" x14ac:dyDescent="0.4">
      <c r="B97" s="113"/>
      <c r="D97" s="114" t="s">
        <v>115</v>
      </c>
      <c r="E97" s="65"/>
      <c r="F97" s="65"/>
      <c r="G97" s="65"/>
      <c r="H97" s="65"/>
      <c r="I97" s="65"/>
      <c r="J97" s="115"/>
      <c r="L97" s="114" t="s">
        <v>122</v>
      </c>
      <c r="M97" s="65"/>
      <c r="N97" s="65"/>
      <c r="O97" s="65"/>
      <c r="P97" s="65"/>
      <c r="Q97" s="65"/>
    </row>
    <row r="98" spans="2:17" ht="15" customHeight="1" x14ac:dyDescent="0.25">
      <c r="B98" s="113"/>
      <c r="E98" s="116" t="s">
        <v>127</v>
      </c>
      <c r="F98" s="116"/>
      <c r="G98" s="116"/>
      <c r="H98" s="116"/>
      <c r="I98" s="116"/>
      <c r="J98" s="117"/>
      <c r="M98" s="116" t="s">
        <v>127</v>
      </c>
      <c r="N98" s="116"/>
      <c r="O98" s="116"/>
      <c r="P98" s="116"/>
      <c r="Q98" s="116"/>
    </row>
    <row r="99" spans="2:17" ht="15" customHeight="1" x14ac:dyDescent="0.25">
      <c r="B99" s="113"/>
      <c r="D99" s="161">
        <f>D73</f>
        <v>78.08322787672833</v>
      </c>
      <c r="E99" s="162">
        <f>+F99-0.5</f>
        <v>5.4</v>
      </c>
      <c r="F99" s="162">
        <f>+G99-0.5</f>
        <v>5.9</v>
      </c>
      <c r="G99" s="127">
        <f>$I$43</f>
        <v>6.4</v>
      </c>
      <c r="H99" s="162">
        <f>+G99+0.5</f>
        <v>6.9</v>
      </c>
      <c r="I99" s="222">
        <f>+H99+0.5</f>
        <v>7.4</v>
      </c>
      <c r="J99" s="221"/>
      <c r="L99" s="120">
        <f>D78</f>
        <v>6.0528398934231147</v>
      </c>
      <c r="M99" s="162">
        <f>+N99-0.5</f>
        <v>5.4</v>
      </c>
      <c r="N99" s="162">
        <f>+O99-0.5</f>
        <v>5.9</v>
      </c>
      <c r="O99" s="127">
        <f>$I$43</f>
        <v>6.4</v>
      </c>
      <c r="P99" s="162">
        <f>+O99+0.5</f>
        <v>6.9</v>
      </c>
      <c r="Q99" s="222">
        <f>+P99+0.5</f>
        <v>7.4</v>
      </c>
    </row>
    <row r="100" spans="2:17" ht="15" customHeight="1" x14ac:dyDescent="0.25">
      <c r="B100" s="113"/>
      <c r="D100" s="193">
        <f>D101+0.01</f>
        <v>0.23540774722311289</v>
      </c>
      <c r="E100" s="121">
        <f t="dataTable" ref="E100:I104" dt2D="1" dtr="1" r1="I43" r2="H4" ca="1"/>
        <v>67.77595809609673</v>
      </c>
      <c r="F100" s="121">
        <v>64.50314633038677</v>
      </c>
      <c r="G100" s="121">
        <v>64.50314633038677</v>
      </c>
      <c r="H100" s="121">
        <v>67.77595809609673</v>
      </c>
      <c r="I100" s="121">
        <v>74.321581627516665</v>
      </c>
      <c r="J100" s="122"/>
      <c r="L100" s="193">
        <f>L101+0.01</f>
        <v>0.23540774722311289</v>
      </c>
      <c r="M100" s="123">
        <f t="dataTable" ref="M100:Q104" dt2D="1" dtr="1" r1="I43" r2="H4" ca="1"/>
        <v>5.1856951462488734</v>
      </c>
      <c r="N100" s="123">
        <v>4.9103553529256851</v>
      </c>
      <c r="O100" s="123">
        <v>4.9103553529256851</v>
      </c>
      <c r="P100" s="123">
        <v>5.1856951462488734</v>
      </c>
      <c r="Q100" s="123">
        <v>5.7363747328952508</v>
      </c>
    </row>
    <row r="101" spans="2:17" ht="15" customHeight="1" x14ac:dyDescent="0.25">
      <c r="B101" s="113"/>
      <c r="D101" s="193">
        <f>D102+0.01</f>
        <v>0.22540774722311288</v>
      </c>
      <c r="E101" s="121">
        <v>69.401985822116089</v>
      </c>
      <c r="F101" s="121">
        <v>66.020010974054372</v>
      </c>
      <c r="G101" s="121">
        <v>66.020010974054372</v>
      </c>
      <c r="H101" s="121">
        <v>69.401985822116089</v>
      </c>
      <c r="I101" s="121">
        <v>76.165935518239493</v>
      </c>
      <c r="J101" s="122"/>
      <c r="L101" s="193">
        <f>L102+0.01</f>
        <v>0.22540774722311288</v>
      </c>
      <c r="M101" s="123">
        <v>5.3224919344756545</v>
      </c>
      <c r="N101" s="123">
        <v>5.0379683130911745</v>
      </c>
      <c r="O101" s="123">
        <v>5.0379683130911745</v>
      </c>
      <c r="P101" s="123">
        <v>5.3224919344756545</v>
      </c>
      <c r="Q101" s="123">
        <v>5.8915391772446126</v>
      </c>
    </row>
    <row r="102" spans="2:17" ht="15" customHeight="1" x14ac:dyDescent="0.25">
      <c r="B102" s="113"/>
      <c r="C102" s="118" t="s">
        <v>124</v>
      </c>
      <c r="D102" s="124">
        <f>WACC!$E$21</f>
        <v>0.21540774722311287</v>
      </c>
      <c r="E102" s="121">
        <v>71.091790453088436</v>
      </c>
      <c r="F102" s="121">
        <v>67.596071741268489</v>
      </c>
      <c r="G102" s="121">
        <v>67.596071741268489</v>
      </c>
      <c r="H102" s="121">
        <v>71.091790453088436</v>
      </c>
      <c r="I102" s="121">
        <v>78.08322787672833</v>
      </c>
      <c r="J102" s="122"/>
      <c r="K102" s="118" t="s">
        <v>124</v>
      </c>
      <c r="L102" s="124">
        <f>WACC!$E$21</f>
        <v>0.21540774722311287</v>
      </c>
      <c r="M102" s="123">
        <v>5.4646542374602767</v>
      </c>
      <c r="N102" s="123">
        <v>5.1705614094788572</v>
      </c>
      <c r="O102" s="123">
        <v>5.1705614094788572</v>
      </c>
      <c r="P102" s="123">
        <v>5.4646542374602767</v>
      </c>
      <c r="Q102" s="123">
        <v>6.0528398934231147</v>
      </c>
    </row>
    <row r="103" spans="2:17" ht="15" customHeight="1" x14ac:dyDescent="0.25">
      <c r="B103" s="113"/>
      <c r="D103" s="193">
        <f t="shared" ref="D103:D104" si="17">D102-0.01</f>
        <v>0.20540774722311286</v>
      </c>
      <c r="E103" s="121">
        <v>72.848499735829236</v>
      </c>
      <c r="F103" s="121">
        <v>69.234224063316034</v>
      </c>
      <c r="G103" s="121">
        <v>69.234224063316034</v>
      </c>
      <c r="H103" s="121">
        <v>72.848499735829236</v>
      </c>
      <c r="I103" s="121">
        <v>80.077051080855639</v>
      </c>
      <c r="J103" s="122"/>
      <c r="L103" s="193">
        <f t="shared" ref="L103:L104" si="18">L102-0.01</f>
        <v>0.20540774722311286</v>
      </c>
      <c r="M103" s="123">
        <v>5.6124451907642623</v>
      </c>
      <c r="N103" s="123">
        <v>5.3083782330769065</v>
      </c>
      <c r="O103" s="123">
        <v>5.3083782330769065</v>
      </c>
      <c r="P103" s="123">
        <v>5.6124451907642623</v>
      </c>
      <c r="Q103" s="123">
        <v>6.2205791061389739</v>
      </c>
    </row>
    <row r="104" spans="2:17" ht="15" customHeight="1" x14ac:dyDescent="0.25">
      <c r="B104" s="113"/>
      <c r="D104" s="194">
        <f t="shared" si="17"/>
        <v>0.19540774722311285</v>
      </c>
      <c r="E104" s="121">
        <v>74.675424168786037</v>
      </c>
      <c r="F104" s="121">
        <v>70.937532273448269</v>
      </c>
      <c r="G104" s="121">
        <v>70.937532273448269</v>
      </c>
      <c r="H104" s="121">
        <v>74.675424168786037</v>
      </c>
      <c r="I104" s="121">
        <v>82.151207959461544</v>
      </c>
      <c r="J104" s="122"/>
      <c r="L104" s="194">
        <f t="shared" si="18"/>
        <v>0.19540774722311285</v>
      </c>
      <c r="M104" s="123">
        <v>5.7661433047400559</v>
      </c>
      <c r="N104" s="123">
        <v>5.4516765844997419</v>
      </c>
      <c r="O104" s="123">
        <v>5.4516765844997419</v>
      </c>
      <c r="P104" s="123">
        <v>5.7661433047400559</v>
      </c>
      <c r="Q104" s="123">
        <v>6.3950767452206803</v>
      </c>
    </row>
    <row r="105" spans="2:17" x14ac:dyDescent="0.25">
      <c r="J105" s="128"/>
    </row>
    <row r="106" spans="2:17" x14ac:dyDescent="0.25">
      <c r="B106" s="129" t="s">
        <v>128</v>
      </c>
      <c r="C106" s="129"/>
      <c r="D106" s="129"/>
      <c r="E106" s="129"/>
      <c r="G106" s="129" t="s">
        <v>129</v>
      </c>
      <c r="H106" s="129"/>
      <c r="I106" s="129"/>
      <c r="J106" s="130"/>
      <c r="K106" s="129"/>
      <c r="L106" s="129"/>
      <c r="M106" s="129"/>
      <c r="N106" s="129"/>
      <c r="O106" s="129"/>
      <c r="P106" s="129"/>
    </row>
    <row r="107" spans="2:17" x14ac:dyDescent="0.25">
      <c r="J107" s="128"/>
    </row>
    <row r="108" spans="2:17" x14ac:dyDescent="0.25">
      <c r="J108" s="128"/>
    </row>
    <row r="109" spans="2:17" x14ac:dyDescent="0.25">
      <c r="J109" s="128"/>
    </row>
    <row r="110" spans="2:17" x14ac:dyDescent="0.25">
      <c r="J110" s="128"/>
    </row>
    <row r="111" spans="2:17" x14ac:dyDescent="0.25">
      <c r="J111" s="128"/>
    </row>
    <row r="112" spans="2:17" x14ac:dyDescent="0.25">
      <c r="J112" s="128"/>
    </row>
    <row r="113" spans="2:17" x14ac:dyDescent="0.25">
      <c r="J113" s="128"/>
    </row>
    <row r="114" spans="2:17" x14ac:dyDescent="0.25">
      <c r="J114" s="128"/>
    </row>
    <row r="115" spans="2:17" x14ac:dyDescent="0.25">
      <c r="J115" s="128"/>
    </row>
    <row r="116" spans="2:17" x14ac:dyDescent="0.25">
      <c r="J116" s="128"/>
    </row>
    <row r="117" spans="2:17" x14ac:dyDescent="0.25">
      <c r="J117" s="128"/>
    </row>
    <row r="118" spans="2:17" x14ac:dyDescent="0.25">
      <c r="J118" s="128"/>
    </row>
    <row r="119" spans="2:17" x14ac:dyDescent="0.25">
      <c r="J119" s="128"/>
    </row>
    <row r="120" spans="2:17" x14ac:dyDescent="0.25">
      <c r="J120" s="128"/>
      <c r="M120" s="131"/>
    </row>
    <row r="121" spans="2:17" x14ac:dyDescent="0.25">
      <c r="J121" s="128"/>
    </row>
    <row r="122" spans="2:17" x14ac:dyDescent="0.25">
      <c r="J122" s="128"/>
    </row>
    <row r="123" spans="2:17" x14ac:dyDescent="0.25">
      <c r="J123" s="128"/>
    </row>
    <row r="124" spans="2:17" x14ac:dyDescent="0.25">
      <c r="J124" s="128"/>
    </row>
    <row r="125" spans="2:17" x14ac:dyDescent="0.25">
      <c r="J125" s="128"/>
    </row>
    <row r="126" spans="2:17" x14ac:dyDescent="0.25">
      <c r="J126" s="128"/>
    </row>
    <row r="127" spans="2:17" x14ac:dyDescent="0.25">
      <c r="B127" s="132"/>
      <c r="C127" s="133" t="s">
        <v>130</v>
      </c>
      <c r="D127" s="133" t="s">
        <v>131</v>
      </c>
      <c r="E127" s="134" t="s">
        <v>132</v>
      </c>
      <c r="G127" s="132"/>
      <c r="H127" s="135"/>
      <c r="I127" s="135"/>
      <c r="J127" s="136"/>
      <c r="K127" s="135"/>
      <c r="L127" s="135"/>
      <c r="M127" s="135"/>
      <c r="N127" s="135"/>
      <c r="O127" s="133" t="s">
        <v>130</v>
      </c>
      <c r="P127" s="133" t="s">
        <v>131</v>
      </c>
      <c r="Q127" s="134" t="s">
        <v>132</v>
      </c>
    </row>
    <row r="128" spans="2:17" x14ac:dyDescent="0.25">
      <c r="B128" s="163" t="str">
        <f>"DCF Value at "&amp;TEXT(E99,"0.0x")&amp;"-"&amp;TEXT(I99,"0.0x")&amp;" Exit EBITDA Range at "&amp;TEXT(D102,"0.0%")&amp;" WACC"</f>
        <v>DCF Value at 5.4x-7.4x Exit EBITDA Range at 21.5% WACC</v>
      </c>
      <c r="C128" s="164">
        <f>E102</f>
        <v>71.091790453088436</v>
      </c>
      <c r="D128" s="164">
        <f>E128-C128</f>
        <v>6.9914374236398942</v>
      </c>
      <c r="E128" s="165">
        <f>I102</f>
        <v>78.08322787672833</v>
      </c>
      <c r="G128" s="163" t="str">
        <f>"LTM EBITDA Purchase Multiple at "&amp;TEXT(M90,"0.0%")&amp;"-"&amp;TEXT(Q90,"0.0%")&amp;" Perpetuity Growth at "&amp;TEXT(L93,"0.0%")&amp;" WACC"</f>
        <v>LTM EBITDA Purchase Multiple at 9.0%-11.0% Perpetuity Growth at 21.5% WACC</v>
      </c>
      <c r="H128"/>
      <c r="I128"/>
      <c r="J128" s="171"/>
      <c r="K128"/>
      <c r="L128"/>
      <c r="M128"/>
      <c r="N128"/>
      <c r="O128" s="172">
        <f>M93</f>
        <v>5.8672520692128138</v>
      </c>
      <c r="P128" s="172">
        <f>Q128-O128</f>
        <v>0.3457785213394704</v>
      </c>
      <c r="Q128" s="173">
        <f>Q93</f>
        <v>6.2130305905522842</v>
      </c>
    </row>
    <row r="129" spans="2:17" x14ac:dyDescent="0.25">
      <c r="B129" s="166" t="str">
        <f>"DCF Value at "&amp;TEXT(E90,"0.0%")&amp;"-"&amp;TEXT(I90,"0.0%")&amp;" Perpetuity Range at "&amp;TEXT(D102,"0.0%")&amp;" WACC"</f>
        <v>DCF Value at 9.0%-11.0% Perpetuity Range at 21.5% WACC</v>
      </c>
      <c r="C129" s="164">
        <f>E93</f>
        <v>75.8772481041822</v>
      </c>
      <c r="D129" s="164">
        <f>E129-C129</f>
        <v>4.1100779488175334</v>
      </c>
      <c r="E129" s="165">
        <f>I93</f>
        <v>79.987326052999734</v>
      </c>
      <c r="G129" s="166" t="str">
        <f>"LTM EBITDA Purchase Multiple at "&amp;TEXT(M102,"0.0x")&amp;"-"&amp;TEXT(Q102,"0.0x")&amp;" Exit EBITDA Multiple at "&amp;TEXT(L102,"0.0%")&amp;" WACC"</f>
        <v>LTM EBITDA Purchase Multiple at 5.5x-6.1x Exit EBITDA Multiple at 21.5% WACC</v>
      </c>
      <c r="H129"/>
      <c r="I129"/>
      <c r="J129" s="171"/>
      <c r="K129"/>
      <c r="L129"/>
      <c r="M129"/>
      <c r="N129"/>
      <c r="O129" s="172">
        <f>M102</f>
        <v>5.4646542374602767</v>
      </c>
      <c r="P129" s="172">
        <f>Q129-O129</f>
        <v>0.58818565596283801</v>
      </c>
      <c r="Q129" s="173">
        <f>Q102</f>
        <v>6.0528398934231147</v>
      </c>
    </row>
    <row r="130" spans="2:17" x14ac:dyDescent="0.25">
      <c r="B130" s="167" t="s">
        <v>133</v>
      </c>
      <c r="C130" s="168">
        <v>30.5</v>
      </c>
      <c r="D130" s="169">
        <f>E130-C130</f>
        <v>29.9</v>
      </c>
      <c r="E130" s="170">
        <v>60.4</v>
      </c>
      <c r="G130" s="167" t="str">
        <f>"LTM EBITDA Purchase Multiple at "&amp;TEXT(L104,"0.0%")&amp;"-"&amp;TEXT(L100,"0.0%")&amp;" WACC at "&amp;TEXT(O99,"0.0x")&amp;" Exit EBITDA"</f>
        <v>LTM EBITDA Purchase Multiple at 19.5%-23.5% WACC at 6.4x Exit EBITDA</v>
      </c>
      <c r="H130" s="40"/>
      <c r="I130" s="40"/>
      <c r="J130" s="174"/>
      <c r="K130" s="40"/>
      <c r="L130" s="40"/>
      <c r="M130" s="40"/>
      <c r="N130" s="40"/>
      <c r="O130" s="169">
        <f>O100</f>
        <v>4.9103553529256851</v>
      </c>
      <c r="P130" s="169">
        <f>Q130-O130</f>
        <v>0.54132123157405676</v>
      </c>
      <c r="Q130" s="175">
        <f>O104</f>
        <v>5.4516765844997419</v>
      </c>
    </row>
    <row r="131" spans="2:17" x14ac:dyDescent="0.25">
      <c r="J131" s="128"/>
    </row>
    <row r="132" spans="2:17" x14ac:dyDescent="0.25">
      <c r="J132" s="128"/>
    </row>
  </sheetData>
  <conditionalFormatting sqref="E91:J95 E100:J104">
    <cfRule type="cellIs" dxfId="1" priority="2" operator="lessThan">
      <formula>#REF!</formula>
    </cfRule>
  </conditionalFormatting>
  <dataValidations count="1">
    <dataValidation type="list" allowBlank="1" showInputMessage="1" showErrorMessage="1" sqref="H9" xr:uid="{CB45C56C-AFB1-4E43-A477-1FC1C59EBD22}">
      <formula1>"0,1"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F4E94-4BEA-4BEC-A3D4-AE92824096F5}">
  <dimension ref="B1:I24"/>
  <sheetViews>
    <sheetView zoomScaleNormal="100" workbookViewId="0">
      <selection activeCell="E21" sqref="E21"/>
    </sheetView>
  </sheetViews>
  <sheetFormatPr defaultColWidth="9.140625" defaultRowHeight="15" x14ac:dyDescent="0.25"/>
  <cols>
    <col min="1" max="1" width="1.42578125" style="51" customWidth="1"/>
    <col min="2" max="2" width="50.28515625" style="51" customWidth="1"/>
    <col min="3" max="3" width="15.5703125" style="51" bestFit="1" customWidth="1"/>
    <col min="4" max="9" width="12.7109375" style="51" customWidth="1"/>
    <col min="10" max="10" width="1.7109375" style="51" customWidth="1"/>
    <col min="11" max="11" width="11" style="51" bestFit="1" customWidth="1"/>
    <col min="12" max="16" width="9.42578125" style="51" customWidth="1"/>
    <col min="17" max="16384" width="9.140625" style="51"/>
  </cols>
  <sheetData>
    <row r="1" spans="2:9" ht="15.75" thickBot="1" x14ac:dyDescent="0.3"/>
    <row r="2" spans="2:9" ht="15.75" thickBot="1" x14ac:dyDescent="0.3">
      <c r="B2" s="52" t="s">
        <v>134</v>
      </c>
      <c r="C2" s="53"/>
      <c r="D2" s="53"/>
      <c r="E2" s="53"/>
      <c r="F2" s="53"/>
      <c r="G2" s="53"/>
      <c r="H2" s="53"/>
      <c r="I2" s="53"/>
    </row>
    <row r="3" spans="2:9" x14ac:dyDescent="0.25">
      <c r="B3" s="54" t="str">
        <f>DCF!B3</f>
        <v>All amounts are shown in EGP, except per-share data, ratios, and shares outstanding</v>
      </c>
    </row>
    <row r="4" spans="2:9" ht="15" customHeight="1" x14ac:dyDescent="0.25">
      <c r="B4" s="138" t="s">
        <v>135</v>
      </c>
      <c r="C4" s="139"/>
      <c r="D4" s="139"/>
      <c r="E4" s="140"/>
      <c r="F4" s="141"/>
    </row>
    <row r="5" spans="2:9" x14ac:dyDescent="0.25">
      <c r="E5" s="94"/>
    </row>
    <row r="6" spans="2:9" ht="15" customHeight="1" x14ac:dyDescent="0.25">
      <c r="B6" s="51" t="s">
        <v>136</v>
      </c>
      <c r="C6" s="279">
        <v>0.20599999999999999</v>
      </c>
    </row>
    <row r="7" spans="2:9" ht="15" customHeight="1" x14ac:dyDescent="0.25">
      <c r="B7" s="51" t="s">
        <v>26</v>
      </c>
      <c r="C7" s="269">
        <v>0.22500000000000001</v>
      </c>
    </row>
    <row r="8" spans="2:9" ht="15" customHeight="1" x14ac:dyDescent="0.25">
      <c r="B8" s="51" t="s">
        <v>137</v>
      </c>
      <c r="C8" s="144">
        <f>C6*(1-C7)</f>
        <v>0.15964999999999999</v>
      </c>
    </row>
    <row r="10" spans="2:9" x14ac:dyDescent="0.25">
      <c r="B10" s="51" t="s">
        <v>138</v>
      </c>
      <c r="C10" s="277">
        <v>0.195826</v>
      </c>
      <c r="D10" s="208"/>
    </row>
    <row r="11" spans="2:9" x14ac:dyDescent="0.25">
      <c r="B11" s="51" t="s">
        <v>139</v>
      </c>
      <c r="C11" s="157">
        <f>(2/3*0.3)+1/3</f>
        <v>0.53333333333333333</v>
      </c>
    </row>
    <row r="12" spans="2:9" ht="15" customHeight="1" x14ac:dyDescent="0.25">
      <c r="B12" s="51" t="s">
        <v>140</v>
      </c>
      <c r="C12" s="145">
        <f>13.94%-9.71%</f>
        <v>4.229999999999999E-2</v>
      </c>
      <c r="D12" s="208"/>
    </row>
    <row r="13" spans="2:9" x14ac:dyDescent="0.25">
      <c r="B13" s="51" t="s">
        <v>141</v>
      </c>
      <c r="C13" s="146">
        <f>C10+C11*C12</f>
        <v>0.218386</v>
      </c>
      <c r="D13" s="270"/>
    </row>
    <row r="14" spans="2:9" x14ac:dyDescent="0.25">
      <c r="C14" s="147"/>
    </row>
    <row r="15" spans="2:9" x14ac:dyDescent="0.25">
      <c r="B15" s="142" t="s">
        <v>142</v>
      </c>
      <c r="C15" s="148"/>
      <c r="D15" s="148"/>
      <c r="E15" s="148"/>
    </row>
    <row r="16" spans="2:9" x14ac:dyDescent="0.25">
      <c r="B16" s="72"/>
      <c r="C16" s="118"/>
      <c r="D16" s="118" t="s">
        <v>143</v>
      </c>
    </row>
    <row r="17" spans="2:5" ht="17.25" x14ac:dyDescent="0.4">
      <c r="C17" s="149" t="s">
        <v>144</v>
      </c>
      <c r="D17" s="149" t="s">
        <v>145</v>
      </c>
      <c r="E17" s="149" t="s">
        <v>146</v>
      </c>
    </row>
    <row r="18" spans="2:5" x14ac:dyDescent="0.25">
      <c r="B18" s="51" t="s">
        <v>15</v>
      </c>
      <c r="C18" s="70">
        <f>DCF!H5*DCF!I61</f>
        <v>21251084567</v>
      </c>
      <c r="D18" s="150"/>
      <c r="E18" s="151">
        <f>C18/(C18+C19)</f>
        <v>0.94929425264084843</v>
      </c>
    </row>
    <row r="19" spans="2:5" x14ac:dyDescent="0.25">
      <c r="B19" s="51" t="s">
        <v>100</v>
      </c>
      <c r="C19" s="70">
        <f>DCF!C57</f>
        <v>1135108658</v>
      </c>
      <c r="D19" s="152"/>
      <c r="E19" s="151">
        <f>C19/(C18+C19)</f>
        <v>5.0705747359151544E-2</v>
      </c>
    </row>
    <row r="21" spans="2:5" x14ac:dyDescent="0.25">
      <c r="B21" s="143" t="s">
        <v>147</v>
      </c>
      <c r="C21" s="153"/>
      <c r="D21" s="135"/>
      <c r="E21" s="154">
        <f>C13*E18+C8*E19</f>
        <v>0.21540774722311287</v>
      </c>
    </row>
    <row r="22" spans="2:5" x14ac:dyDescent="0.25">
      <c r="B22" s="71"/>
      <c r="C22" s="99"/>
    </row>
    <row r="23" spans="2:5" x14ac:dyDescent="0.25">
      <c r="B23" s="71"/>
      <c r="C23" s="99"/>
    </row>
    <row r="24" spans="2:5" x14ac:dyDescent="0.25">
      <c r="B24" s="71"/>
      <c r="C24" s="99"/>
    </row>
  </sheetData>
  <conditionalFormatting sqref="B22:C24">
    <cfRule type="expression" dxfId="0" priority="1">
      <formula>#REF!="Industry"</formula>
    </cfRule>
  </conditionalFormatting>
  <dataValidations count="1">
    <dataValidation type="list" allowBlank="1" showInputMessage="1" showErrorMessage="1" sqref="C11" xr:uid="{BA86EDE5-7159-4B66-829E-7171B4D698DF}">
      <formula1>"0.30,=(2/3*0.30)+1/3"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FSM</vt:lpstr>
      <vt:lpstr>DCF</vt:lpstr>
      <vt:lpstr>WACC</vt:lpstr>
      <vt:lpstr>FSM!Company_Name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Ahmed WAEL</dc:creator>
  <dc:description/>
  <cp:lastModifiedBy>Ahmed Wael</cp:lastModifiedBy>
  <cp:revision>0</cp:revision>
  <dcterms:created xsi:type="dcterms:W3CDTF">2015-06-05T18:17:20Z</dcterms:created>
  <dcterms:modified xsi:type="dcterms:W3CDTF">2026-06-20T01:43:07Z</dcterms:modified>
  <dc:language>en-US</dc:language>
</cp:coreProperties>
</file>