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user\Desktop\CLHO - CA\"/>
    </mc:Choice>
  </mc:AlternateContent>
  <xr:revisionPtr revIDLastSave="0" documentId="13_ncr:1_{D1974C66-B74C-48F9-8FC4-B267F095F54C}" xr6:coauthVersionLast="47" xr6:coauthVersionMax="47" xr10:uidLastSave="{00000000-0000-0000-0000-000000000000}"/>
  <bookViews>
    <workbookView xWindow="-20610" yWindow="1845" windowWidth="20730" windowHeight="11160" tabRatio="500" activeTab="1" xr2:uid="{00000000-000D-0000-FFFF-FFFF00000000}"/>
  </bookViews>
  <sheets>
    <sheet name="FSM" sheetId="1" r:id="rId1"/>
    <sheet name="DCF" sheetId="2" r:id="rId2"/>
    <sheet name="WACC" sheetId="3" r:id="rId3"/>
  </sheets>
  <definedNames>
    <definedName name="CIQWBGuid" localSheetId="1" hidden="1">"DCF_complete.xlsx"</definedName>
    <definedName name="CIQWBGuid" localSheetId="2" hidden="1">"DCF_complete.xlsx"</definedName>
    <definedName name="CIQWBGuid" hidden="1">"a611639b-bab1-425e-aaa5-008c326fdfdb"</definedName>
    <definedName name="Company_Name">FSM!$D$5</definedName>
    <definedName name="Hist_Yr">FSM!#REF!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localSheetId="1" hidden="1">43549.6880671296</definedName>
    <definedName name="IQ_NAMES_REVISION_DATE_" localSheetId="2" hidden="1">43549.6880671296</definedName>
    <definedName name="IQ_NAMES_REVISION_DATE_" hidden="1">43588.5561574074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MLNK841c85bef3244d5c8fb6b3f84988d79e" localSheetId="1" hidden="1">#REF!</definedName>
    <definedName name="MLNK841c85bef3244d5c8fb6b3f84988d79e" localSheetId="2" hidden="1">#REF!</definedName>
    <definedName name="MLNK841c85bef3244d5c8fb6b3f84988d79e" hidden="1">#REF!</definedName>
    <definedName name="MLNKa7775792bf444a4785f8ed5c82461a24" localSheetId="1" hidden="1">#REF!</definedName>
    <definedName name="MLNKa7775792bf444a4785f8ed5c82461a24" localSheetId="2" hidden="1">#REF!</definedName>
    <definedName name="MLNKa7775792bf444a4785f8ed5c82461a24" hidden="1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O99" i="2" l="1"/>
  <c r="N99" i="2" s="1"/>
  <c r="M99" i="2" s="1"/>
  <c r="M30" i="1"/>
  <c r="M21" i="1"/>
  <c r="M16" i="1"/>
  <c r="G99" i="2"/>
  <c r="H99" i="2" s="1"/>
  <c r="I99" i="2" s="1"/>
  <c r="O90" i="2"/>
  <c r="P90" i="2" s="1"/>
  <c r="Q90" i="2" s="1"/>
  <c r="G90" i="2"/>
  <c r="F90" i="2" s="1"/>
  <c r="E90" i="2" s="1"/>
  <c r="C57" i="2"/>
  <c r="C65" i="2" s="1"/>
  <c r="C11" i="3"/>
  <c r="C6" i="3"/>
  <c r="F34" i="1"/>
  <c r="E34" i="1"/>
  <c r="D34" i="1"/>
  <c r="K33" i="1"/>
  <c r="J33" i="1"/>
  <c r="I33" i="1"/>
  <c r="H33" i="1"/>
  <c r="G33" i="1"/>
  <c r="F33" i="1"/>
  <c r="E33" i="1"/>
  <c r="D33" i="1"/>
  <c r="I61" i="2"/>
  <c r="C72" i="2" s="1"/>
  <c r="C70" i="2" l="1"/>
  <c r="D70" i="2"/>
  <c r="D72" i="2"/>
  <c r="F99" i="2"/>
  <c r="E99" i="2" s="1"/>
  <c r="H90" i="2"/>
  <c r="I90" i="2" s="1"/>
  <c r="N90" i="2"/>
  <c r="M90" i="2" s="1"/>
  <c r="P99" i="2"/>
  <c r="Q99" i="2" s="1"/>
  <c r="C19" i="3"/>
  <c r="C18" i="3"/>
  <c r="E19" i="3" l="1"/>
  <c r="E18" i="3"/>
  <c r="C8" i="3" l="1"/>
  <c r="E21" i="3" s="1"/>
  <c r="C13" i="3"/>
  <c r="G198" i="1"/>
  <c r="G45" i="1"/>
  <c r="D25" i="2"/>
  <c r="E22" i="2"/>
  <c r="D14" i="2"/>
  <c r="D93" i="2" l="1"/>
  <c r="L102" i="2"/>
  <c r="D102" i="2"/>
  <c r="L93" i="2"/>
  <c r="H202" i="1"/>
  <c r="I202" i="1" s="1"/>
  <c r="J202" i="1" s="1"/>
  <c r="K202" i="1" s="1"/>
  <c r="H198" i="1"/>
  <c r="I198" i="1" s="1"/>
  <c r="J198" i="1" s="1"/>
  <c r="K198" i="1" s="1"/>
  <c r="H192" i="1"/>
  <c r="I192" i="1" s="1"/>
  <c r="J192" i="1" s="1"/>
  <c r="K192" i="1" s="1"/>
  <c r="G206" i="1"/>
  <c r="G181" i="1"/>
  <c r="G180" i="1"/>
  <c r="G93" i="1"/>
  <c r="H93" i="1" s="1"/>
  <c r="I93" i="1" s="1"/>
  <c r="J93" i="1" s="1"/>
  <c r="K93" i="1" s="1"/>
  <c r="G86" i="1"/>
  <c r="H86" i="1" s="1"/>
  <c r="I86" i="1" s="1"/>
  <c r="J86" i="1" s="1"/>
  <c r="K86" i="1" s="1"/>
  <c r="G87" i="1"/>
  <c r="H87" i="1" s="1"/>
  <c r="I87" i="1" s="1"/>
  <c r="J87" i="1" s="1"/>
  <c r="K87" i="1" s="1"/>
  <c r="G85" i="1"/>
  <c r="H85" i="1" s="1"/>
  <c r="I85" i="1" s="1"/>
  <c r="G80" i="1"/>
  <c r="H80" i="1" s="1"/>
  <c r="H109" i="1" s="1"/>
  <c r="G79" i="1"/>
  <c r="H79" i="1" s="1"/>
  <c r="I79" i="1" s="1"/>
  <c r="J79" i="1" s="1"/>
  <c r="K79" i="1" s="1"/>
  <c r="G81" i="1"/>
  <c r="H81" i="1" s="1"/>
  <c r="I81" i="1" s="1"/>
  <c r="J81" i="1" s="1"/>
  <c r="K81" i="1" s="1"/>
  <c r="G77" i="1"/>
  <c r="H77" i="1" s="1"/>
  <c r="H134" i="1" s="1"/>
  <c r="G76" i="1"/>
  <c r="G61" i="1"/>
  <c r="H61" i="1" s="1"/>
  <c r="I61" i="1" s="1"/>
  <c r="I118" i="1" s="1"/>
  <c r="H157" i="1"/>
  <c r="I157" i="1" s="1"/>
  <c r="J157" i="1" s="1"/>
  <c r="G16" i="1"/>
  <c r="I46" i="1"/>
  <c r="J46" i="1" s="1"/>
  <c r="K46" i="1" s="1"/>
  <c r="H46" i="1"/>
  <c r="H49" i="1"/>
  <c r="I49" i="1" s="1"/>
  <c r="J49" i="1" s="1"/>
  <c r="K49" i="1" s="1"/>
  <c r="H48" i="1"/>
  <c r="I48" i="1" s="1"/>
  <c r="J48" i="1" s="1"/>
  <c r="K48" i="1" s="1"/>
  <c r="H50" i="1"/>
  <c r="H181" i="1" s="1"/>
  <c r="L94" i="2" l="1"/>
  <c r="L95" i="2" s="1"/>
  <c r="L92" i="2"/>
  <c r="L91" i="2" s="1"/>
  <c r="L101" i="2"/>
  <c r="L100" i="2" s="1"/>
  <c r="L103" i="2"/>
  <c r="L104" i="2" s="1"/>
  <c r="D103" i="2"/>
  <c r="D104" i="2" s="1"/>
  <c r="D101" i="2"/>
  <c r="D100" i="2" s="1"/>
  <c r="D92" i="2"/>
  <c r="D91" i="2" s="1"/>
  <c r="D94" i="2"/>
  <c r="D95" i="2" s="1"/>
  <c r="G19" i="1"/>
  <c r="E14" i="2"/>
  <c r="G109" i="1"/>
  <c r="G134" i="1"/>
  <c r="H88" i="1"/>
  <c r="H16" i="1"/>
  <c r="F14" i="2" s="1"/>
  <c r="F15" i="2" s="1"/>
  <c r="H118" i="1"/>
  <c r="G88" i="1"/>
  <c r="I88" i="1"/>
  <c r="J85" i="1"/>
  <c r="I80" i="1"/>
  <c r="I50" i="1"/>
  <c r="G197" i="1"/>
  <c r="G118" i="1"/>
  <c r="G146" i="1"/>
  <c r="E27" i="2" s="1"/>
  <c r="G156" i="1"/>
  <c r="G163" i="1" s="1"/>
  <c r="G199" i="1"/>
  <c r="G17" i="1"/>
  <c r="H76" i="1"/>
  <c r="I77" i="1"/>
  <c r="I134" i="1" s="1"/>
  <c r="J61" i="1"/>
  <c r="J118" i="1" s="1"/>
  <c r="K157" i="1"/>
  <c r="H39" i="1"/>
  <c r="I39" i="1" s="1"/>
  <c r="H38" i="1"/>
  <c r="I38" i="1" s="1"/>
  <c r="J38" i="1" s="1"/>
  <c r="K38" i="1" s="1"/>
  <c r="H40" i="1"/>
  <c r="F42" i="1"/>
  <c r="J42" i="1" s="1"/>
  <c r="E42" i="1"/>
  <c r="D42" i="1"/>
  <c r="F41" i="1"/>
  <c r="J41" i="1" s="1"/>
  <c r="E28" i="2" l="1"/>
  <c r="E15" i="2"/>
  <c r="I40" i="1"/>
  <c r="F22" i="2"/>
  <c r="H19" i="1"/>
  <c r="J80" i="1"/>
  <c r="J109" i="1" s="1"/>
  <c r="I109" i="1"/>
  <c r="I16" i="1"/>
  <c r="H146" i="1"/>
  <c r="F27" i="2" s="1"/>
  <c r="F28" i="2" s="1"/>
  <c r="H156" i="1"/>
  <c r="H163" i="1" s="1"/>
  <c r="K85" i="1"/>
  <c r="K88" i="1" s="1"/>
  <c r="J88" i="1"/>
  <c r="I76" i="1"/>
  <c r="I199" i="1" s="1"/>
  <c r="H197" i="1"/>
  <c r="G18" i="1"/>
  <c r="J50" i="1"/>
  <c r="I181" i="1"/>
  <c r="H199" i="1"/>
  <c r="J39" i="1"/>
  <c r="G124" i="1"/>
  <c r="G150" i="1"/>
  <c r="K80" i="1"/>
  <c r="K109" i="1" s="1"/>
  <c r="J77" i="1"/>
  <c r="J134" i="1" s="1"/>
  <c r="K61" i="1"/>
  <c r="K118" i="1" s="1"/>
  <c r="H17" i="1"/>
  <c r="K41" i="1"/>
  <c r="K42" i="1"/>
  <c r="H41" i="1"/>
  <c r="H60" i="1" s="1"/>
  <c r="H42" i="1"/>
  <c r="G41" i="1"/>
  <c r="G60" i="1" s="1"/>
  <c r="G116" i="1" s="1"/>
  <c r="I41" i="1"/>
  <c r="I42" i="1"/>
  <c r="G42" i="1"/>
  <c r="G59" i="1" s="1"/>
  <c r="I19" i="1" l="1"/>
  <c r="G14" i="2"/>
  <c r="G15" i="2" s="1"/>
  <c r="J40" i="1"/>
  <c r="G22" i="2"/>
  <c r="I60" i="1"/>
  <c r="I116" i="1" s="1"/>
  <c r="H124" i="1"/>
  <c r="H150" i="1"/>
  <c r="J16" i="1"/>
  <c r="H14" i="2" s="1"/>
  <c r="I146" i="1"/>
  <c r="G27" i="2" s="1"/>
  <c r="I156" i="1"/>
  <c r="I163" i="1" s="1"/>
  <c r="I17" i="1"/>
  <c r="I59" i="1" s="1"/>
  <c r="H116" i="1"/>
  <c r="G115" i="1"/>
  <c r="K50" i="1"/>
  <c r="J181" i="1"/>
  <c r="H18" i="1"/>
  <c r="H59" i="1"/>
  <c r="K39" i="1"/>
  <c r="J19" i="1"/>
  <c r="J76" i="1"/>
  <c r="I197" i="1"/>
  <c r="K77" i="1"/>
  <c r="K134" i="1" s="1"/>
  <c r="J17" i="1"/>
  <c r="G28" i="2" l="1"/>
  <c r="H15" i="2"/>
  <c r="I115" i="1"/>
  <c r="K40" i="1"/>
  <c r="I22" i="2" s="1"/>
  <c r="H22" i="2"/>
  <c r="H115" i="1"/>
  <c r="I18" i="1"/>
  <c r="I124" i="1"/>
  <c r="I150" i="1"/>
  <c r="K16" i="1"/>
  <c r="I14" i="2" s="1"/>
  <c r="I15" i="2" s="1"/>
  <c r="J156" i="1"/>
  <c r="J163" i="1" s="1"/>
  <c r="J146" i="1"/>
  <c r="H27" i="2" s="1"/>
  <c r="H28" i="2" s="1"/>
  <c r="J60" i="1"/>
  <c r="J116" i="1" s="1"/>
  <c r="J18" i="1"/>
  <c r="J59" i="1"/>
  <c r="J197" i="1"/>
  <c r="K76" i="1"/>
  <c r="K197" i="1" s="1"/>
  <c r="K181" i="1"/>
  <c r="J199" i="1"/>
  <c r="J115" i="1" l="1"/>
  <c r="K19" i="1"/>
  <c r="K146" i="1"/>
  <c r="I27" i="2" s="1"/>
  <c r="I28" i="2" s="1"/>
  <c r="K156" i="1"/>
  <c r="K163" i="1" s="1"/>
  <c r="K60" i="1"/>
  <c r="K116" i="1" s="1"/>
  <c r="K17" i="1"/>
  <c r="K199" i="1"/>
  <c r="J124" i="1"/>
  <c r="J150" i="1"/>
  <c r="K18" i="1" l="1"/>
  <c r="K59" i="1"/>
  <c r="K124" i="1"/>
  <c r="K150" i="1"/>
  <c r="K115" i="1" l="1"/>
  <c r="F39" i="1"/>
  <c r="E39" i="1"/>
  <c r="D39" i="1"/>
  <c r="F37" i="1"/>
  <c r="E37" i="1"/>
  <c r="D93" i="1"/>
  <c r="D95" i="1"/>
  <c r="E93" i="1"/>
  <c r="E94" i="1"/>
  <c r="D78" i="1"/>
  <c r="E78" i="1"/>
  <c r="D88" i="1"/>
  <c r="E88" i="1"/>
  <c r="F95" i="1"/>
  <c r="G169" i="1" s="1"/>
  <c r="F94" i="1"/>
  <c r="G94" i="1" s="1"/>
  <c r="H94" i="1" s="1"/>
  <c r="I94" i="1" s="1"/>
  <c r="J94" i="1" s="1"/>
  <c r="K94" i="1" s="1"/>
  <c r="D66" i="1"/>
  <c r="D65" i="1"/>
  <c r="E48" i="1" s="1"/>
  <c r="E65" i="1"/>
  <c r="F48" i="1" s="1"/>
  <c r="E66" i="1"/>
  <c r="D60" i="1"/>
  <c r="E60" i="1"/>
  <c r="E62" i="1" s="1"/>
  <c r="F88" i="1"/>
  <c r="F78" i="1"/>
  <c r="D32" i="2" s="1"/>
  <c r="F67" i="1"/>
  <c r="G162" i="1" s="1"/>
  <c r="F66" i="1"/>
  <c r="G66" i="1" s="1"/>
  <c r="H66" i="1" s="1"/>
  <c r="I66" i="1" s="1"/>
  <c r="J66" i="1" s="1"/>
  <c r="K66" i="1" s="1"/>
  <c r="F65" i="1"/>
  <c r="G145" i="1" s="1"/>
  <c r="G147" i="1" s="1"/>
  <c r="F62" i="1"/>
  <c r="D18" i="1"/>
  <c r="D21" i="1" s="1"/>
  <c r="E18" i="1"/>
  <c r="E21" i="1" s="1"/>
  <c r="F18" i="1"/>
  <c r="F38" i="1" s="1"/>
  <c r="D33" i="2" l="1"/>
  <c r="E97" i="1"/>
  <c r="F97" i="1"/>
  <c r="E43" i="1"/>
  <c r="F43" i="1"/>
  <c r="E41" i="1"/>
  <c r="D62" i="1"/>
  <c r="D41" i="1"/>
  <c r="D68" i="1"/>
  <c r="D82" i="1"/>
  <c r="D43" i="1"/>
  <c r="E38" i="1"/>
  <c r="E25" i="1"/>
  <c r="E30" i="1"/>
  <c r="E31" i="1" s="1"/>
  <c r="F82" i="1"/>
  <c r="F90" i="1" s="1"/>
  <c r="D25" i="1"/>
  <c r="D30" i="1"/>
  <c r="D31" i="1" s="1"/>
  <c r="E68" i="1"/>
  <c r="E70" i="1" s="1"/>
  <c r="E82" i="1"/>
  <c r="E90" i="1" s="1"/>
  <c r="D38" i="1"/>
  <c r="F68" i="1"/>
  <c r="F70" i="1" s="1"/>
  <c r="D90" i="1"/>
  <c r="D97" i="1"/>
  <c r="F21" i="1"/>
  <c r="D18" i="2" s="1"/>
  <c r="D19" i="2" l="1"/>
  <c r="F44" i="1"/>
  <c r="J43" i="1"/>
  <c r="J78" i="1" s="1"/>
  <c r="H32" i="2" s="1"/>
  <c r="I43" i="1"/>
  <c r="I78" i="1" s="1"/>
  <c r="K43" i="1"/>
  <c r="K78" i="1" s="1"/>
  <c r="H43" i="1"/>
  <c r="H78" i="1" s="1"/>
  <c r="F32" i="2" s="1"/>
  <c r="G43" i="1"/>
  <c r="G78" i="1" s="1"/>
  <c r="E99" i="1"/>
  <c r="E101" i="1" s="1"/>
  <c r="F99" i="1"/>
  <c r="F101" i="1" s="1"/>
  <c r="D44" i="1"/>
  <c r="E44" i="1"/>
  <c r="D70" i="1"/>
  <c r="F25" i="1"/>
  <c r="F30" i="1"/>
  <c r="E27" i="1"/>
  <c r="E40" i="1"/>
  <c r="D27" i="1"/>
  <c r="D40" i="1"/>
  <c r="D99" i="1"/>
  <c r="F33" i="2" l="1"/>
  <c r="K117" i="1"/>
  <c r="I32" i="2"/>
  <c r="I33" i="2" s="1"/>
  <c r="I117" i="1"/>
  <c r="G32" i="2"/>
  <c r="G26" i="2" s="1"/>
  <c r="F31" i="1"/>
  <c r="D16" i="2"/>
  <c r="D17" i="2" s="1"/>
  <c r="G117" i="1"/>
  <c r="E32" i="2"/>
  <c r="H33" i="2"/>
  <c r="I26" i="2"/>
  <c r="H117" i="1"/>
  <c r="J117" i="1"/>
  <c r="D101" i="1"/>
  <c r="F27" i="1"/>
  <c r="F40" i="1"/>
  <c r="D22" i="2" s="1"/>
  <c r="F26" i="2" l="1"/>
  <c r="E33" i="2"/>
  <c r="E26" i="2"/>
  <c r="G33" i="2"/>
  <c r="H26" i="2"/>
  <c r="D23" i="2"/>
  <c r="D21" i="2"/>
  <c r="B3" i="2"/>
  <c r="Q130" i="2"/>
  <c r="O130" i="2"/>
  <c r="G130" i="2"/>
  <c r="Q129" i="2"/>
  <c r="O129" i="2"/>
  <c r="G129" i="2"/>
  <c r="Q128" i="2"/>
  <c r="O128" i="2"/>
  <c r="G128" i="2"/>
  <c r="D130" i="2"/>
  <c r="E129" i="2"/>
  <c r="C129" i="2"/>
  <c r="B129" i="2"/>
  <c r="E128" i="2"/>
  <c r="C128" i="2"/>
  <c r="B128" i="2"/>
  <c r="P129" i="2" l="1"/>
  <c r="D128" i="2"/>
  <c r="P128" i="2"/>
  <c r="P130" i="2"/>
  <c r="D129" i="2"/>
  <c r="B3" i="3" l="1"/>
  <c r="B35" i="2"/>
  <c r="C12" i="2" l="1"/>
  <c r="D37" i="2"/>
  <c r="D12" i="2"/>
  <c r="E12" i="2" s="1"/>
  <c r="D5" i="2"/>
  <c r="D8" i="2" s="1"/>
  <c r="C38" i="2" l="1"/>
  <c r="C14" i="2"/>
  <c r="F12" i="2"/>
  <c r="G12" i="2" l="1"/>
  <c r="H12" i="2" l="1"/>
  <c r="I12" i="2" l="1"/>
  <c r="B43" i="2" l="1"/>
  <c r="E44" i="2"/>
  <c r="B44" i="2"/>
  <c r="F13" i="1" l="1"/>
  <c r="F14" i="1"/>
  <c r="F54" i="1" l="1"/>
  <c r="G13" i="1"/>
  <c r="G186" i="1" s="1"/>
  <c r="F53" i="1"/>
  <c r="E13" i="1"/>
  <c r="D13" i="1" l="1"/>
  <c r="E53" i="1"/>
  <c r="H13" i="1"/>
  <c r="H186" i="1" s="1"/>
  <c r="G177" i="1"/>
  <c r="G142" i="1"/>
  <c r="G104" i="1"/>
  <c r="G53" i="1"/>
  <c r="I13" i="1" l="1"/>
  <c r="I186" i="1" s="1"/>
  <c r="H53" i="1"/>
  <c r="H177" i="1"/>
  <c r="H142" i="1"/>
  <c r="H104" i="1"/>
  <c r="D53" i="1"/>
  <c r="J13" i="1" l="1"/>
  <c r="J186" i="1" s="1"/>
  <c r="I53" i="1"/>
  <c r="I177" i="1"/>
  <c r="I142" i="1"/>
  <c r="I104" i="1"/>
  <c r="K13" i="1" l="1"/>
  <c r="K186" i="1" s="1"/>
  <c r="J53" i="1"/>
  <c r="J177" i="1"/>
  <c r="J142" i="1"/>
  <c r="J104" i="1"/>
  <c r="K177" i="1" l="1"/>
  <c r="K142" i="1"/>
  <c r="K104" i="1"/>
  <c r="K53" i="1"/>
  <c r="C2" i="1" l="1"/>
  <c r="G14" i="1"/>
  <c r="G187" i="1" s="1"/>
  <c r="G178" i="1" l="1"/>
  <c r="G143" i="1"/>
  <c r="G105" i="1"/>
  <c r="G54" i="1"/>
  <c r="H14" i="1"/>
  <c r="H187" i="1" s="1"/>
  <c r="E14" i="1"/>
  <c r="H178" i="1" l="1"/>
  <c r="H143" i="1"/>
  <c r="H105" i="1"/>
  <c r="H54" i="1"/>
  <c r="E54" i="1"/>
  <c r="D14" i="1"/>
  <c r="I14" i="1"/>
  <c r="I187" i="1" s="1"/>
  <c r="I178" i="1" l="1"/>
  <c r="I143" i="1"/>
  <c r="I105" i="1"/>
  <c r="I54" i="1"/>
  <c r="D54" i="1"/>
  <c r="J14" i="1"/>
  <c r="J187" i="1" s="1"/>
  <c r="J178" i="1" l="1"/>
  <c r="J143" i="1"/>
  <c r="J105" i="1"/>
  <c r="J54" i="1"/>
  <c r="K14" i="1"/>
  <c r="K187" i="1" s="1"/>
  <c r="K178" i="1" l="1"/>
  <c r="K143" i="1"/>
  <c r="K105" i="1"/>
  <c r="K54" i="1"/>
  <c r="H4" i="2" l="1"/>
  <c r="G158" i="1"/>
  <c r="G29" i="1" s="1"/>
  <c r="E25" i="2" s="1"/>
  <c r="G108" i="1" l="1"/>
  <c r="G148" i="1"/>
  <c r="G65" i="1" l="1"/>
  <c r="H145" i="1"/>
  <c r="H147" i="1" s="1"/>
  <c r="H158" i="1" s="1"/>
  <c r="H29" i="1" s="1"/>
  <c r="G152" i="1"/>
  <c r="H108" i="1" l="1"/>
  <c r="F25" i="2"/>
  <c r="H148" i="1"/>
  <c r="H152" i="1" s="1"/>
  <c r="H65" i="1" l="1"/>
  <c r="I145" i="1"/>
  <c r="I147" i="1" s="1"/>
  <c r="I158" i="1" s="1"/>
  <c r="I29" i="1" s="1"/>
  <c r="I108" i="1" l="1"/>
  <c r="G25" i="2"/>
  <c r="I148" i="1"/>
  <c r="I152" i="1" s="1"/>
  <c r="J145" i="1" l="1"/>
  <c r="J147" i="1" s="1"/>
  <c r="J158" i="1" s="1"/>
  <c r="J29" i="1" s="1"/>
  <c r="I65" i="1"/>
  <c r="J108" i="1" l="1"/>
  <c r="H25" i="2"/>
  <c r="J148" i="1"/>
  <c r="J152" i="1"/>
  <c r="K145" i="1" l="1"/>
  <c r="K147" i="1" s="1"/>
  <c r="K158" i="1" s="1"/>
  <c r="K29" i="1" s="1"/>
  <c r="J65" i="1"/>
  <c r="K108" i="1" l="1"/>
  <c r="I25" i="2"/>
  <c r="K148" i="1"/>
  <c r="K65" i="1" s="1"/>
  <c r="K152" i="1" l="1"/>
  <c r="G127" i="1" l="1"/>
  <c r="G128" i="1" s="1"/>
  <c r="G165" i="1"/>
  <c r="H162" i="1" s="1"/>
  <c r="H127" i="1"/>
  <c r="H128" i="1" s="1"/>
  <c r="I127" i="1"/>
  <c r="I128" i="1" s="1"/>
  <c r="J127" i="1"/>
  <c r="J128" i="1" s="1"/>
  <c r="K127" i="1"/>
  <c r="K128" i="1" s="1"/>
  <c r="H165" i="1"/>
  <c r="I162" i="1" s="1"/>
  <c r="I165" i="1" s="1"/>
  <c r="H67" i="1" l="1"/>
  <c r="H68" i="1" s="1"/>
  <c r="I67" i="1"/>
  <c r="I68" i="1" s="1"/>
  <c r="J162" i="1"/>
  <c r="J165" i="1" s="1"/>
  <c r="G67" i="1"/>
  <c r="G68" i="1" s="1"/>
  <c r="J67" i="1" l="1"/>
  <c r="J68" i="1" s="1"/>
  <c r="K162" i="1"/>
  <c r="K165" i="1" s="1"/>
  <c r="K67" i="1" s="1"/>
  <c r="K68" i="1" s="1"/>
  <c r="G20" i="1"/>
  <c r="G21" i="1" l="1"/>
  <c r="H45" i="1"/>
  <c r="H20" i="1" s="1"/>
  <c r="E18" i="2"/>
  <c r="G30" i="1"/>
  <c r="H21" i="1" l="1"/>
  <c r="I45" i="1"/>
  <c r="I20" i="1" s="1"/>
  <c r="G31" i="1"/>
  <c r="E16" i="2"/>
  <c r="E21" i="2"/>
  <c r="C18" i="2"/>
  <c r="E23" i="2"/>
  <c r="E30" i="2" s="1"/>
  <c r="E38" i="2" s="1"/>
  <c r="E19" i="2"/>
  <c r="I21" i="1" l="1"/>
  <c r="J45" i="1"/>
  <c r="J20" i="1" s="1"/>
  <c r="H30" i="1"/>
  <c r="F18" i="2"/>
  <c r="G18" i="2"/>
  <c r="I30" i="1"/>
  <c r="E17" i="2"/>
  <c r="C16" i="2"/>
  <c r="J21" i="1" l="1"/>
  <c r="K45" i="1"/>
  <c r="K20" i="1" s="1"/>
  <c r="K21" i="1" s="1"/>
  <c r="I18" i="2" s="1"/>
  <c r="F19" i="2"/>
  <c r="F23" i="2"/>
  <c r="F30" i="2" s="1"/>
  <c r="F38" i="2" s="1"/>
  <c r="F21" i="2"/>
  <c r="F16" i="2"/>
  <c r="F17" i="2" s="1"/>
  <c r="H31" i="1"/>
  <c r="G16" i="2"/>
  <c r="G17" i="2" s="1"/>
  <c r="I31" i="1"/>
  <c r="G19" i="2"/>
  <c r="G21" i="2"/>
  <c r="G23" i="2"/>
  <c r="G30" i="2" s="1"/>
  <c r="G38" i="2" s="1"/>
  <c r="H18" i="2"/>
  <c r="J30" i="1"/>
  <c r="K30" i="1" l="1"/>
  <c r="K31" i="1" s="1"/>
  <c r="H16" i="2"/>
  <c r="H17" i="2" s="1"/>
  <c r="J31" i="1"/>
  <c r="I21" i="2"/>
  <c r="I23" i="2"/>
  <c r="I30" i="2" s="1"/>
  <c r="I38" i="2" s="1"/>
  <c r="I19" i="2"/>
  <c r="H23" i="2"/>
  <c r="H30" i="2" s="1"/>
  <c r="H38" i="2" s="1"/>
  <c r="H19" i="2"/>
  <c r="H21" i="2"/>
  <c r="C43" i="2" l="1"/>
  <c r="C44" i="2" s="1"/>
  <c r="I16" i="2"/>
  <c r="I17" i="2" l="1"/>
  <c r="I42" i="2"/>
  <c r="I44" i="2" s="1"/>
  <c r="C51" i="2"/>
  <c r="I51" i="2" l="1"/>
  <c r="H7" i="2" l="1"/>
  <c r="H8" i="2"/>
  <c r="E37" i="2"/>
  <c r="F37" i="2"/>
  <c r="G37" i="2"/>
  <c r="H37" i="2"/>
  <c r="I37" i="2"/>
  <c r="E39" i="2"/>
  <c r="F39" i="2"/>
  <c r="G39" i="2"/>
  <c r="H39" i="2"/>
  <c r="I39" i="2"/>
  <c r="C45" i="2"/>
  <c r="I45" i="2"/>
  <c r="C46" i="2"/>
  <c r="I46" i="2"/>
  <c r="C47" i="2"/>
  <c r="I47" i="2"/>
  <c r="C49" i="2"/>
  <c r="I49" i="2"/>
  <c r="C50" i="2"/>
  <c r="I50" i="2"/>
  <c r="C69" i="2"/>
  <c r="D69" i="2"/>
  <c r="C71" i="2"/>
  <c r="D71" i="2"/>
  <c r="C73" i="2"/>
  <c r="D73" i="2"/>
  <c r="C77" i="2"/>
  <c r="D77" i="2"/>
  <c r="C78" i="2"/>
  <c r="D78" i="2"/>
  <c r="C79" i="2"/>
  <c r="D79" i="2"/>
  <c r="C82" i="2"/>
  <c r="D82" i="2"/>
  <c r="C83" i="2"/>
  <c r="D83" i="2"/>
  <c r="C84" i="2"/>
  <c r="D84" i="2"/>
  <c r="D90" i="2"/>
  <c r="L90" i="2"/>
  <c r="D99" i="2"/>
  <c r="L99" i="2"/>
  <c r="G22" i="1"/>
  <c r="H22" i="1"/>
  <c r="I22" i="1"/>
  <c r="J22" i="1"/>
  <c r="K22" i="1"/>
  <c r="G23" i="1"/>
  <c r="H23" i="1"/>
  <c r="I23" i="1"/>
  <c r="J23" i="1"/>
  <c r="K23" i="1"/>
  <c r="G25" i="1"/>
  <c r="H25" i="1"/>
  <c r="I25" i="1"/>
  <c r="J25" i="1"/>
  <c r="K25" i="1"/>
  <c r="G26" i="1"/>
  <c r="H26" i="1"/>
  <c r="I26" i="1"/>
  <c r="J26" i="1"/>
  <c r="K26" i="1"/>
  <c r="G27" i="1"/>
  <c r="H27" i="1"/>
  <c r="I27" i="1"/>
  <c r="J27" i="1"/>
  <c r="K27" i="1"/>
  <c r="M27" i="1"/>
  <c r="G34" i="1"/>
  <c r="H34" i="1"/>
  <c r="I34" i="1"/>
  <c r="J34" i="1"/>
  <c r="K34" i="1"/>
  <c r="G58" i="1"/>
  <c r="H58" i="1"/>
  <c r="I58" i="1"/>
  <c r="J58" i="1"/>
  <c r="K58" i="1"/>
  <c r="G62" i="1"/>
  <c r="H62" i="1"/>
  <c r="I62" i="1"/>
  <c r="J62" i="1"/>
  <c r="K62" i="1"/>
  <c r="G70" i="1"/>
  <c r="H70" i="1"/>
  <c r="I70" i="1"/>
  <c r="J70" i="1"/>
  <c r="K70" i="1"/>
  <c r="G75" i="1"/>
  <c r="H75" i="1"/>
  <c r="I75" i="1"/>
  <c r="J75" i="1"/>
  <c r="K75" i="1"/>
  <c r="G82" i="1"/>
  <c r="H82" i="1"/>
  <c r="I82" i="1"/>
  <c r="J82" i="1"/>
  <c r="K82" i="1"/>
  <c r="G90" i="1"/>
  <c r="H90" i="1"/>
  <c r="I90" i="1"/>
  <c r="J90" i="1"/>
  <c r="K90" i="1"/>
  <c r="G95" i="1"/>
  <c r="H95" i="1"/>
  <c r="I95" i="1"/>
  <c r="J95" i="1"/>
  <c r="K95" i="1"/>
  <c r="G96" i="1"/>
  <c r="H96" i="1"/>
  <c r="I96" i="1"/>
  <c r="J96" i="1"/>
  <c r="K96" i="1"/>
  <c r="G97" i="1"/>
  <c r="H97" i="1"/>
  <c r="I97" i="1"/>
  <c r="J97" i="1"/>
  <c r="K97" i="1"/>
  <c r="G99" i="1"/>
  <c r="H99" i="1"/>
  <c r="I99" i="1"/>
  <c r="J99" i="1"/>
  <c r="K99" i="1"/>
  <c r="G101" i="1"/>
  <c r="H101" i="1"/>
  <c r="I101" i="1"/>
  <c r="J101" i="1"/>
  <c r="K101" i="1"/>
  <c r="G107" i="1"/>
  <c r="H107" i="1"/>
  <c r="I107" i="1"/>
  <c r="J107" i="1"/>
  <c r="K107" i="1"/>
  <c r="G113" i="1"/>
  <c r="H113" i="1"/>
  <c r="I113" i="1"/>
  <c r="J113" i="1"/>
  <c r="K113" i="1"/>
  <c r="G119" i="1"/>
  <c r="H119" i="1"/>
  <c r="I119" i="1"/>
  <c r="J119" i="1"/>
  <c r="K119" i="1"/>
  <c r="G120" i="1"/>
  <c r="H120" i="1"/>
  <c r="I120" i="1"/>
  <c r="J120" i="1"/>
  <c r="K120" i="1"/>
  <c r="G132" i="1"/>
  <c r="H132" i="1"/>
  <c r="I132" i="1"/>
  <c r="J132" i="1"/>
  <c r="K132" i="1"/>
  <c r="G133" i="1"/>
  <c r="H133" i="1"/>
  <c r="I133" i="1"/>
  <c r="J133" i="1"/>
  <c r="K133" i="1"/>
  <c r="G135" i="1"/>
  <c r="H135" i="1"/>
  <c r="I135" i="1"/>
  <c r="J135" i="1"/>
  <c r="K135" i="1"/>
  <c r="G137" i="1"/>
  <c r="H137" i="1"/>
  <c r="I137" i="1"/>
  <c r="J137" i="1"/>
  <c r="K137" i="1"/>
  <c r="G139" i="1"/>
  <c r="H139" i="1"/>
  <c r="I139" i="1"/>
  <c r="J139" i="1"/>
  <c r="K139" i="1"/>
  <c r="H169" i="1"/>
  <c r="I169" i="1"/>
  <c r="J169" i="1"/>
  <c r="K169" i="1"/>
  <c r="G170" i="1"/>
  <c r="H170" i="1"/>
  <c r="I170" i="1"/>
  <c r="J170" i="1"/>
  <c r="K170" i="1"/>
  <c r="G171" i="1"/>
  <c r="H171" i="1"/>
  <c r="I171" i="1"/>
  <c r="J171" i="1"/>
  <c r="K171" i="1"/>
  <c r="G172" i="1"/>
  <c r="H172" i="1"/>
  <c r="I172" i="1"/>
  <c r="J172" i="1"/>
  <c r="K172" i="1"/>
  <c r="G174" i="1"/>
  <c r="H174" i="1"/>
  <c r="I174" i="1"/>
  <c r="J174" i="1"/>
  <c r="K174" i="1"/>
  <c r="H180" i="1"/>
  <c r="I180" i="1"/>
  <c r="J180" i="1"/>
  <c r="K180" i="1"/>
  <c r="G182" i="1"/>
  <c r="H182" i="1"/>
  <c r="I182" i="1"/>
  <c r="J182" i="1"/>
  <c r="K182" i="1"/>
  <c r="G183" i="1"/>
  <c r="H183" i="1"/>
  <c r="I183" i="1"/>
  <c r="J183" i="1"/>
  <c r="K183" i="1"/>
  <c r="G189" i="1"/>
  <c r="H189" i="1"/>
  <c r="I189" i="1"/>
  <c r="J189" i="1"/>
  <c r="K189" i="1"/>
  <c r="G193" i="1"/>
  <c r="H193" i="1"/>
  <c r="I193" i="1"/>
  <c r="J193" i="1"/>
  <c r="K193" i="1"/>
  <c r="G194" i="1"/>
  <c r="H194" i="1"/>
  <c r="I194" i="1"/>
  <c r="J194" i="1"/>
  <c r="K194" i="1"/>
  <c r="G203" i="1"/>
  <c r="H203" i="1"/>
  <c r="I203" i="1"/>
  <c r="J203" i="1"/>
  <c r="K203" i="1"/>
  <c r="H206" i="1"/>
  <c r="I206" i="1"/>
  <c r="J206" i="1"/>
  <c r="K206" i="1"/>
  <c r="G207" i="1"/>
  <c r="H207" i="1"/>
  <c r="I207" i="1"/>
  <c r="J207" i="1"/>
  <c r="K207" i="1"/>
  <c r="G208" i="1"/>
  <c r="H208" i="1"/>
  <c r="I208" i="1"/>
  <c r="J208" i="1"/>
  <c r="K208" i="1"/>
  <c r="G209" i="1"/>
  <c r="H209" i="1"/>
  <c r="I209" i="1"/>
  <c r="J209" i="1"/>
  <c r="K20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Ahmed Wael</author>
  </authors>
  <commentList>
    <comment ref="F20" authorId="0" shapeId="0" xr:uid="{91509E5C-E99E-490F-89FB-E7861F13C4B0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ECL on financial assets (Note 29), Other expenses and Other revenues.</t>
        </r>
      </text>
    </comment>
    <comment ref="F24" authorId="0" shapeId="0" xr:uid="{671E6805-9398-404E-9992-0B471E9DCBFC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Consulting exp (acquisitions) 
combine w/ consulting </t>
        </r>
      </text>
    </comment>
    <comment ref="F26" authorId="0" shapeId="0" xr:uid="{00C2F632-D501-4162-A69E-8883ABDC00DA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Current tax + Deferred tax</t>
        </r>
      </text>
    </comment>
    <comment ref="D29" authorId="0" shapeId="0" xr:uid="{85D61369-FA9F-4CDC-A375-DF85375497F4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2023: PP&amp;E 152.4M + ROU 26.8M + Intang 2.1M − Lease derec 21.7M + Impair intang 14.1M</t>
        </r>
      </text>
    </comment>
    <comment ref="E29" authorId="0" shapeId="0" xr:uid="{25F6AD19-BB2E-4E24-BFBA-07F62EAFE04C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2024: PP&amp;E 182.2M + ROU 53.0M + Intang 2.1M + Lease adj 37.7M</t>
        </r>
      </text>
    </comment>
    <comment ref="F29" authorId="0" shapeId="0" xr:uid="{5D78BD69-2428-4DD5-BA47-E38840773AFF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2025: PP&amp;E 217.6M + ROU 33.0M + Adv Pmts 1.4M + Intang 2.1M</t>
        </r>
      </text>
    </comment>
    <comment ref="E60" authorId="0" shapeId="0" xr:uid="{FF065677-936B-41C1-965A-D303B861A37C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Trade receivables + Due from related parties</t>
        </r>
      </text>
    </comment>
    <comment ref="F65" authorId="0" shapeId="0" xr:uid="{5C815FD8-D865-406B-8799-EE2D00162F49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Fixed assets + Right of use </t>
        </r>
      </text>
    </comment>
    <comment ref="F66" authorId="0" shapeId="0" xr:uid="{1F1CB940-8F20-42E6-AA49-67F15D3FBB88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Goodwill + Other intangible assets </t>
        </r>
      </text>
    </comment>
    <comment ref="F67" authorId="0" shapeId="0" xr:uid="{D683FAC0-472A-4717-9C0D-596F4865F98B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Investments in associates + Advance Payments / Lease </t>
        </r>
      </text>
    </comment>
    <comment ref="F78" authorId="0" shapeId="0" xr:uid="{FB462EBE-9942-456A-A0B2-31081FE60041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Trade and other payables + Other liabilities</t>
        </r>
      </text>
    </comment>
    <comment ref="E93" authorId="0" shapeId="0" xr:uid="{2CDC4718-41CB-4589-8611-5FA9AF1D930E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Capital + Treasury shares</t>
        </r>
      </text>
    </comment>
    <comment ref="F94" authorId="0" shapeId="0" xr:uid="{D659B89E-1685-4530-A002-D2711C462655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Reserves + Employee incentive plan (equity portion)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Ahmed Wael</author>
  </authors>
  <commentList>
    <comment ref="C60" authorId="0" shapeId="0" xr:uid="{FEBB61A8-B53B-4E8D-A05A-0AE9B3781F3D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Balance Sheet, Equity Section [7, 5]</t>
        </r>
      </text>
    </comment>
    <comment ref="C62" authorId="0" shapeId="0" xr:uid="{F48B0000-2637-4BDD-8DE4-1EF0071D0334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Balance Sheet, Cash &amp; cash equivalents [7, 5]</t>
        </r>
      </text>
    </comment>
    <comment ref="C63" authorId="0" shapeId="0" xr:uid="{887203BB-9926-413C-8DA1-5E528C18DFBF}">
      <text>
        <r>
          <rPr>
            <b/>
            <sz val="9"/>
            <color indexed="81"/>
            <rFont val="Tahoma"/>
            <family val="2"/>
          </rPr>
          <t>Ahmed Wael:</t>
        </r>
        <r>
          <rPr>
            <sz val="9"/>
            <color indexed="81"/>
            <rFont val="Tahoma"/>
            <family val="2"/>
          </rPr>
          <t xml:space="preserve">
Balance Sheet, Investments in associates [7, 5]</t>
        </r>
      </text>
    </comment>
  </commentList>
</comments>
</file>

<file path=xl/sharedStrings.xml><?xml version="1.0" encoding="utf-8"?>
<sst xmlns="http://schemas.openxmlformats.org/spreadsheetml/2006/main" count="311" uniqueCount="251">
  <si>
    <t>Company Name</t>
  </si>
  <si>
    <t>Ticker</t>
  </si>
  <si>
    <t>Last Historical Year</t>
  </si>
  <si>
    <t>Gross Profit</t>
  </si>
  <si>
    <t>Profit Before Tax</t>
  </si>
  <si>
    <t>ASSETS</t>
  </si>
  <si>
    <t>Current Assets</t>
  </si>
  <si>
    <t>Total Current Assets</t>
  </si>
  <si>
    <t>Non-Current Assets</t>
  </si>
  <si>
    <t>Total Non-Current Assets</t>
  </si>
  <si>
    <t>Total Assets</t>
  </si>
  <si>
    <t>LIABILITIES AND EQUITY</t>
  </si>
  <si>
    <t>Current Liabilities</t>
  </si>
  <si>
    <t>Provisions</t>
  </si>
  <si>
    <t>Creditors and other credit balances</t>
  </si>
  <si>
    <t>Total Current Liabilities</t>
  </si>
  <si>
    <t>Non-Current Liabilities</t>
  </si>
  <si>
    <t>Total Non-Current Liabilities</t>
  </si>
  <si>
    <t>Total Liabilities</t>
  </si>
  <si>
    <t>Equity</t>
  </si>
  <si>
    <t>Reserves</t>
  </si>
  <si>
    <t>Retained earnings</t>
  </si>
  <si>
    <t>Total Equity</t>
  </si>
  <si>
    <t>Total Liabilites &amp; Equity</t>
  </si>
  <si>
    <t>Balance Check</t>
  </si>
  <si>
    <t>(+) Depreciation &amp; Amortization</t>
  </si>
  <si>
    <t>(+/-) Change in Provisions</t>
  </si>
  <si>
    <t>(+/-) Other non-cash adjustments</t>
  </si>
  <si>
    <t>Operating Cash Flow Before WC Changes</t>
  </si>
  <si>
    <t>(Increase) / Decrease in Inventory</t>
  </si>
  <si>
    <t>(Increase) / Decrease in Receivables</t>
  </si>
  <si>
    <t>Increase / (Decrease) in Payables</t>
  </si>
  <si>
    <t>Increase / (Decrease) in Other WC items</t>
  </si>
  <si>
    <t>Cash Generated from Operations</t>
  </si>
  <si>
    <t>Net Cash Inflow from Operating Activities</t>
  </si>
  <si>
    <t>CASH FLOWS FROM INVESTING ACTIVITIES</t>
  </si>
  <si>
    <t>(+) Proceeds from sale of fixed assets</t>
  </si>
  <si>
    <t>Net Cash Used in Investing Activities</t>
  </si>
  <si>
    <t>CASH FLOWS FROM FINANCING ACTIVITIES</t>
  </si>
  <si>
    <t>(-) Dividends Paid</t>
  </si>
  <si>
    <t>(+/-) Change in Borrowings &amp; Overdraft</t>
  </si>
  <si>
    <t>(+/-) Lease Payments</t>
  </si>
  <si>
    <t>Net Cash Used in Financing Activities</t>
  </si>
  <si>
    <t>Reconciliation Check vs BS Cash</t>
  </si>
  <si>
    <t>Depreciation &amp; amortization</t>
  </si>
  <si>
    <t>EBITDA</t>
  </si>
  <si>
    <t>Revenue growth</t>
  </si>
  <si>
    <t>Gross profit margin</t>
  </si>
  <si>
    <t>Tax rate</t>
  </si>
  <si>
    <t>Growth Rates &amp; Margins</t>
  </si>
  <si>
    <t>Net change in cash during period</t>
  </si>
  <si>
    <t>Latest Closing Share Price</t>
  </si>
  <si>
    <t>Latest Closing Share Price Date</t>
  </si>
  <si>
    <t>Operating Profit (EBIT)</t>
  </si>
  <si>
    <t>Net Income</t>
  </si>
  <si>
    <t>Taxes (enter expense as -)</t>
  </si>
  <si>
    <t>Cost of sales (enter as -)</t>
  </si>
  <si>
    <t>General &amp; administrative expenses (enter as -)</t>
  </si>
  <si>
    <t>Other operating items, net</t>
  </si>
  <si>
    <t>G&amp;A % of sales</t>
  </si>
  <si>
    <t>Cash and cash equivalents</t>
  </si>
  <si>
    <t>Inventory</t>
  </si>
  <si>
    <t>Trade and other receivables</t>
  </si>
  <si>
    <t>Other current assets</t>
  </si>
  <si>
    <t>Goodwill and other long-term assets</t>
  </si>
  <si>
    <t>Bank credit facilities</t>
  </si>
  <si>
    <t>Loans (current portion)</t>
  </si>
  <si>
    <t>Lease liabilities (current)</t>
  </si>
  <si>
    <t>Income tax liabilities</t>
  </si>
  <si>
    <t>Loans (non-current)</t>
  </si>
  <si>
    <t>Lease liabilities (non-current)</t>
  </si>
  <si>
    <t>Deferred tax liabilities</t>
  </si>
  <si>
    <t>Non-controlling interest</t>
  </si>
  <si>
    <t>Shares outstanding</t>
  </si>
  <si>
    <t>(+/-) Net Investments</t>
  </si>
  <si>
    <t>(-) CapEx</t>
  </si>
  <si>
    <t>(+/-) Reversal of Net Financing Cost</t>
  </si>
  <si>
    <t>(+/-) Reversal of Investing Income</t>
  </si>
  <si>
    <t>Net income</t>
  </si>
  <si>
    <t>PROPERTY, PLANT &amp; EQUIPMENT</t>
  </si>
  <si>
    <t>Beginning of period</t>
  </si>
  <si>
    <t>Plus: Capital expenditures</t>
  </si>
  <si>
    <t>Less: Depreciation</t>
  </si>
  <si>
    <t>End of period</t>
  </si>
  <si>
    <t>IMPUTING TOTAL DEPRECIATION &amp; AMORTIZATION</t>
  </si>
  <si>
    <t>D&amp;A not related to PP&amp;E</t>
  </si>
  <si>
    <t>as % of revenue</t>
  </si>
  <si>
    <t xml:space="preserve">Depreciation &amp; Amortization - Total </t>
  </si>
  <si>
    <t>Less: D&amp;A not related to PP&amp;E</t>
  </si>
  <si>
    <t xml:space="preserve">Plus: Additions </t>
  </si>
  <si>
    <t>OTHER NON-CURRENT ASSETS</t>
  </si>
  <si>
    <t>Plus: Net income</t>
  </si>
  <si>
    <t>Less: Dividends</t>
  </si>
  <si>
    <t>Dividend payout ratio</t>
  </si>
  <si>
    <t>RETAINED EARNINGS</t>
  </si>
  <si>
    <t>Property, plant &amp; equipment (incl. CIP)</t>
  </si>
  <si>
    <t>Other non-current assets</t>
  </si>
  <si>
    <t>(-) Additions to other non-current assets</t>
  </si>
  <si>
    <t>REVOLVER (MODEL PLUG)</t>
  </si>
  <si>
    <t>Cash at beginning of period (BOP)</t>
  </si>
  <si>
    <t>Less: Minimum cash balance</t>
  </si>
  <si>
    <t>Plus: Free cash flows generated during period</t>
  </si>
  <si>
    <t>Equals: Cash available (needed) to pay down (draw from) revolver</t>
  </si>
  <si>
    <t>Draw / (paydown)</t>
  </si>
  <si>
    <t>Discretionary borrowing / (paydown)</t>
  </si>
  <si>
    <t>INTEREST EXPENSE AND INTEREST INCOME</t>
  </si>
  <si>
    <t>Total interest expense (from I/S)</t>
  </si>
  <si>
    <t>Commercial Paper / Revolver</t>
  </si>
  <si>
    <t>Weighted average interest rate</t>
  </si>
  <si>
    <t>End of period balance (from B/S)</t>
  </si>
  <si>
    <t>Interest expense</t>
  </si>
  <si>
    <t>Long term debt</t>
  </si>
  <si>
    <t xml:space="preserve">Interest expense </t>
  </si>
  <si>
    <t>Interest rate on cash</t>
  </si>
  <si>
    <t>Weighted average interest rate on cash</t>
  </si>
  <si>
    <t>Interest income</t>
  </si>
  <si>
    <t>REVOLVER BALANCE ROLL-FORWARD</t>
  </si>
  <si>
    <t>% growth</t>
  </si>
  <si>
    <t>DSO (Days Sales Outstanding)</t>
  </si>
  <si>
    <t>DIO (Days Inventory Outstanding)</t>
  </si>
  <si>
    <t>DPO (Days Payable Outstanding)</t>
  </si>
  <si>
    <t>Basic EPS (EGP)</t>
  </si>
  <si>
    <t>Shares outstanding (thousands)</t>
  </si>
  <si>
    <t>INCOME STATEMENT</t>
  </si>
  <si>
    <t xml:space="preserve">Fiscal year  </t>
  </si>
  <si>
    <t>Fiscal year end date</t>
  </si>
  <si>
    <t>BALANCE SHEET</t>
  </si>
  <si>
    <t>CASH FLOW STATEMENT</t>
  </si>
  <si>
    <t>Discounted Cash Flow Valuation</t>
  </si>
  <si>
    <t>Most recent fiscal year end</t>
  </si>
  <si>
    <t>Discount rate (WACC)</t>
  </si>
  <si>
    <t>Link from WACC</t>
  </si>
  <si>
    <t>End of first fiscal year</t>
  </si>
  <si>
    <t>Share price (Public Co)</t>
  </si>
  <si>
    <t>Most recent quarter end date</t>
  </si>
  <si>
    <t>Share price date</t>
  </si>
  <si>
    <t xml:space="preserve">Valuation date </t>
  </si>
  <si>
    <t>Portion of First Year Cash Flows</t>
  </si>
  <si>
    <t>Unlevered Free Cash Flows</t>
  </si>
  <si>
    <t>LTM</t>
  </si>
  <si>
    <t>Actual</t>
  </si>
  <si>
    <t>Forecasts</t>
  </si>
  <si>
    <t>Fiscal year ended</t>
  </si>
  <si>
    <t>Revenue</t>
  </si>
  <si>
    <t>% margin</t>
  </si>
  <si>
    <t>EBIT</t>
  </si>
  <si>
    <t>Tax on EBIT</t>
  </si>
  <si>
    <t>NOPAT (aka EBIAT)</t>
  </si>
  <si>
    <t>Changes in net working capital</t>
  </si>
  <si>
    <t>Capital expenditures</t>
  </si>
  <si>
    <t>Unlevered free cash flows (UFCF)</t>
  </si>
  <si>
    <t>Net working capital (WC Assets - WC liabilities)</t>
  </si>
  <si>
    <t>Val date</t>
  </si>
  <si>
    <t xml:space="preserve">Yr 1 - Stub </t>
  </si>
  <si>
    <t>Year 2</t>
  </si>
  <si>
    <t>Year 3</t>
  </si>
  <si>
    <t>Year 4</t>
  </si>
  <si>
    <t>Year 5</t>
  </si>
  <si>
    <t>Date for discounting cash flows</t>
  </si>
  <si>
    <t>Unlevered free cash flows (UFCF) stub adjusted</t>
  </si>
  <si>
    <t>Present value of of unlevered free cash flows</t>
  </si>
  <si>
    <t>Terminal value - growth in perpetuity approach</t>
  </si>
  <si>
    <t>Terminal value - EBITDA multiple approach</t>
  </si>
  <si>
    <t>Long term growth rate</t>
  </si>
  <si>
    <t>Terminal year EBITDA</t>
  </si>
  <si>
    <t>EBITDA multiple</t>
  </si>
  <si>
    <t>Present value of terminal value</t>
  </si>
  <si>
    <t>Present value of stage 1 cash flows</t>
  </si>
  <si>
    <t>Total enterprise value (TEV)</t>
  </si>
  <si>
    <t>Enterprise value (stage 1 + 2)</t>
  </si>
  <si>
    <t>Terminal value as % of TEV</t>
  </si>
  <si>
    <t>Stage 1 cash flows as % of TEV</t>
  </si>
  <si>
    <t>Cash flows as % of TEV</t>
  </si>
  <si>
    <t>Implied TV exit EBITDA multiple</t>
  </si>
  <si>
    <t>Implied terminal growth rate</t>
  </si>
  <si>
    <t>Net debt</t>
  </si>
  <si>
    <t>Source doc</t>
  </si>
  <si>
    <t>Source date</t>
  </si>
  <si>
    <t>Date</t>
  </si>
  <si>
    <t>Shares</t>
  </si>
  <si>
    <t>Gross debt and equivalents</t>
  </si>
  <si>
    <t>Basic shares</t>
  </si>
  <si>
    <t>Debt</t>
  </si>
  <si>
    <t>Restricted stock / RSUs</t>
  </si>
  <si>
    <t>Convertible debt</t>
  </si>
  <si>
    <t>Options / warrants</t>
  </si>
  <si>
    <t>Preferred stock</t>
  </si>
  <si>
    <t>Noncontrolling (minority) interests</t>
  </si>
  <si>
    <t>Convertible preferred stock</t>
  </si>
  <si>
    <t>Nonoperating assets</t>
  </si>
  <si>
    <t>Net diluted shares outstanding</t>
  </si>
  <si>
    <t xml:space="preserve">Cash </t>
  </si>
  <si>
    <t xml:space="preserve">Equity investments </t>
  </si>
  <si>
    <t>Valuation</t>
  </si>
  <si>
    <t>Perpetuity</t>
  </si>
  <si>
    <t>Enterprise value</t>
  </si>
  <si>
    <t xml:space="preserve">Equity value </t>
  </si>
  <si>
    <t>Equity value per share</t>
  </si>
  <si>
    <t>Last twelve months (LTM)</t>
  </si>
  <si>
    <t>EV / Revenue</t>
  </si>
  <si>
    <t xml:space="preserve">EV / EBITDA </t>
  </si>
  <si>
    <t>EV / EBIT</t>
  </si>
  <si>
    <t>Year 1</t>
  </si>
  <si>
    <t>Outputs</t>
  </si>
  <si>
    <t>LTM EBITDA multiple</t>
  </si>
  <si>
    <t>Long term growth rate (g):</t>
  </si>
  <si>
    <t>WACC:</t>
  </si>
  <si>
    <t xml:space="preserve">Data </t>
  </si>
  <si>
    <t>Tables</t>
  </si>
  <si>
    <t>Exit EBITDA Multiple</t>
  </si>
  <si>
    <t>Equity value range</t>
  </si>
  <si>
    <t>Football field</t>
  </si>
  <si>
    <t>Low</t>
  </si>
  <si>
    <t>Diff.</t>
  </si>
  <si>
    <t>High</t>
  </si>
  <si>
    <t>52 Week Market High/Low</t>
  </si>
  <si>
    <t>WACC Buildup</t>
  </si>
  <si>
    <t>Cost of capital assumptions</t>
  </si>
  <si>
    <t>Cost of debt</t>
  </si>
  <si>
    <t>Cost of debt (after tax)</t>
  </si>
  <si>
    <t xml:space="preserve">Risk free rate </t>
  </si>
  <si>
    <t xml:space="preserve">Beta </t>
  </si>
  <si>
    <t>Market risk premium</t>
  </si>
  <si>
    <t>Cost of equity</t>
  </si>
  <si>
    <t>Capital weights (capital structure)</t>
  </si>
  <si>
    <t xml:space="preserve">Target </t>
  </si>
  <si>
    <t xml:space="preserve">Current </t>
  </si>
  <si>
    <t>(override)</t>
  </si>
  <si>
    <t>% of total</t>
  </si>
  <si>
    <t>Cost of capital (WACC)</t>
  </si>
  <si>
    <t>CapEx % of revenue</t>
  </si>
  <si>
    <t>D&amp;A as % of PP&amp;E (avg of BOP and EOP)</t>
  </si>
  <si>
    <t>CLEOPATRA HOSPITAL COMPANY “S.A.E.</t>
  </si>
  <si>
    <t>CLHO.CA</t>
  </si>
  <si>
    <t>All amounts are shown in Egyptian pounds, except per-share data, ratios, and shares outstanding</t>
  </si>
  <si>
    <t>Interest expense (enter as -)</t>
  </si>
  <si>
    <t>Other expense, net (enter as -)</t>
  </si>
  <si>
    <t>Employee incentive plan</t>
  </si>
  <si>
    <t>Capital</t>
  </si>
  <si>
    <t>EBITDA margin %</t>
  </si>
  <si>
    <t>CCC (Cash Conversion Cycle)</t>
  </si>
  <si>
    <t>Other op items % rev</t>
  </si>
  <si>
    <t>NCI share of NI</t>
  </si>
  <si>
    <t>D&amp;A % of BOP PP&amp;E</t>
  </si>
  <si>
    <t>Min cash balance (EGP)</t>
  </si>
  <si>
    <t>FY 2025 Audited CFS, Note 21 (p. 60) [7, 60]</t>
  </si>
  <si>
    <t>FY 2025 Audited Financial Statements [7, 5]</t>
  </si>
  <si>
    <t xml:space="preserve">5 Year </t>
  </si>
  <si>
    <t>CAGR</t>
  </si>
  <si>
    <t>Implied Share Price</t>
  </si>
  <si>
    <t>Upside / (Downside)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</si>
</sst>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7" formatCode="&quot;$&quot;#,##0.00_);\(&quot;$&quot;#,##0.00\)"/>
    <numFmt numFmtId="43" formatCode="_(* #,##0.00_);_(* \(#,##0.00\);_(* &quot;-&quot;??_);_(@_)"/>
    <numFmt numFmtId="164" formatCode="&quot;FY&quot;yy"/>
    <numFmt numFmtId="165" formatCode="0.0%"/>
    <numFmt numFmtId="166" formatCode="_(* #,##0.00_);_(* \(#,##0.00\);_(* \-??_);_(@_)"/>
    <numFmt numFmtId="167" formatCode="_(* #,##0_);_(* \(#,##0\);_(* \-??_);_(@_)"/>
    <numFmt numFmtId="168" formatCode="_(* #,##0_);_(* \(#,##0\);_(* \-_);_(@_)"/>
    <numFmt numFmtId="169" formatCode="_(* #,##0_);_(* \(#,##0\);_(* &quot;-&quot;??_);_(@_)"/>
    <numFmt numFmtId="170" formatCode="#,##0.000_);\(#,##0.000\)"/>
    <numFmt numFmtId="171" formatCode="m/d/yy;@"/>
    <numFmt numFmtId="172" formatCode="0\A;[Red]0\A"/>
    <numFmt numFmtId="173" formatCode="0\P_);\(0\P\)"/>
    <numFmt numFmtId="174" formatCode="0.0%_);\(0.0%\);@_)"/>
    <numFmt numFmtId="175" formatCode="_(#,##0.0%_);\(#,##0.0%\);_(&quot;–&quot;_)_%;_(@_)_%"/>
    <numFmt numFmtId="176" formatCode="0000\A"/>
    <numFmt numFmtId="177" formatCode="0000\P"/>
    <numFmt numFmtId="178" formatCode="#,##0_);\(#,##0\);@_)"/>
    <numFmt numFmtId="179" formatCode="0.0\x_);\(0.0\x\);@_)"/>
    <numFmt numFmtId="180" formatCode="0.000%_);\(0.000%\);@_)"/>
    <numFmt numFmtId="181" formatCode="#,##0.000_);\(#,##0.000\);@_)"/>
    <numFmt numFmtId="182" formatCode="_([$$]#,##0_)_%;\([$$]#,##0\)_%;_(&quot;–&quot;_)_%;_(@_)_%"/>
    <numFmt numFmtId="183" formatCode="&quot;$&quot;#,##0.00_);\(&quot;$&quot;#,##0.00\);@_)"/>
    <numFmt numFmtId="184" formatCode="_(0.0\x_)_';_(\(0.0\x\)_';_(&quot;–&quot;_)_%;_(@_)_%"/>
    <numFmt numFmtId="185" formatCode="_(0.0_)_'_x;_(\(0.0\)_';_(&quot;–&quot;_)_%;_(@_)_%"/>
    <numFmt numFmtId="186" formatCode="#,##0.00_);\(#,##0.00\);\-_);@_)"/>
    <numFmt numFmtId="187" formatCode="#,##0.0_);\(#,##0.0\);\-_);@_)"/>
    <numFmt numFmtId="188" formatCode="_(#,##0.00%_);\(#,##0.00%\);_(&quot;–&quot;_)_%;_(@_)_%"/>
    <numFmt numFmtId="189" formatCode="[$EGP]\ #,##0.00_);\([$EGP]\ #,##0.00\)"/>
    <numFmt numFmtId="190" formatCode="[$EGP]\ #,##0.00_);[Red]\([$EGP]\ #,##0.00\)"/>
    <numFmt numFmtId="191" formatCode="0_);\(0\)"/>
  </numFmts>
  <fonts count="38">
    <font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  <font>
      <b/>
      <sz val="11"/>
      <color theme="1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sz val="11"/>
      <color theme="4" tint="-0.249977111117893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i/>
      <sz val="11"/>
      <color theme="1"/>
      <name val="Calibri"/>
      <family val="2"/>
    </font>
    <font>
      <sz val="11"/>
      <color theme="0"/>
      <name val="Calibri"/>
      <family val="2"/>
    </font>
    <font>
      <i/>
      <sz val="11"/>
      <color theme="1"/>
      <name val="Calibri"/>
      <family val="2"/>
      <scheme val="minor"/>
    </font>
    <font>
      <i/>
      <sz val="11"/>
      <name val="Calibri"/>
      <family val="2"/>
    </font>
    <font>
      <i/>
      <sz val="9"/>
      <color rgb="FF000000"/>
      <name val="Calibri"/>
      <family val="2"/>
      <scheme val="minor"/>
    </font>
    <font>
      <sz val="10"/>
      <name val="Times New Roman"/>
      <family val="1"/>
    </font>
    <font>
      <sz val="11"/>
      <color rgb="FF008000"/>
      <name val="Calibri"/>
      <family val="2"/>
      <scheme val="minor"/>
    </font>
    <font>
      <u/>
      <sz val="11"/>
      <color theme="10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singleAccounting"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Arial Unicode MS"/>
    </font>
    <font>
      <i/>
      <sz val="11"/>
      <color rgb="FF000000"/>
      <name val="Calibri"/>
      <family val="2"/>
    </font>
    <font>
      <sz val="11"/>
      <color theme="4" tint="-0.249977111117893"/>
      <name val="Calibri"/>
      <family val="2"/>
      <charset val="1"/>
    </font>
    <font>
      <sz val="11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D2F2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rgb="FFC0C0C0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6">
    <xf numFmtId="0" fontId="0" fillId="0" borderId="0"/>
    <xf numFmtId="166" fontId="3" fillId="0" borderId="0"/>
    <xf numFmtId="9" fontId="3" fillId="0" borderId="0"/>
    <xf numFmtId="0" fontId="2" fillId="0" borderId="0"/>
    <xf numFmtId="37" fontId="22" fillId="0" borderId="0"/>
    <xf numFmtId="0" fontId="24" fillId="0" borderId="0" applyNumberFormat="0" applyFill="0" applyBorder="0" applyAlignment="0" applyProtection="0"/>
  </cellStyleXfs>
  <cellXfs count="276">
    <xf numFmtId="0" fontId="0" fillId="0" borderId="0" xfId="0"/>
    <xf numFmtId="165" fontId="3" fillId="0" borderId="0" xfId="2" applyNumberFormat="1"/>
    <xf numFmtId="0" fontId="4" fillId="0" borderId="4" xfId="0" applyFont="1" applyBorder="1"/>
    <xf numFmtId="14" fontId="5" fillId="0" borderId="0" xfId="0" applyNumberFormat="1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center"/>
    </xf>
    <xf numFmtId="14" fontId="7" fillId="0" borderId="0" xfId="0" applyNumberFormat="1" applyFont="1" applyAlignment="1">
      <alignment horizontal="center"/>
    </xf>
    <xf numFmtId="171" fontId="7" fillId="0" borderId="0" xfId="0" applyNumberFormat="1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 vertical="center"/>
    </xf>
    <xf numFmtId="0" fontId="8" fillId="0" borderId="4" xfId="0" applyFont="1" applyBorder="1"/>
    <xf numFmtId="0" fontId="8" fillId="0" borderId="5" xfId="0" applyFont="1" applyBorder="1"/>
    <xf numFmtId="167" fontId="11" fillId="0" borderId="0" xfId="1" applyNumberFormat="1" applyFont="1"/>
    <xf numFmtId="168" fontId="12" fillId="0" borderId="0" xfId="1" applyNumberFormat="1" applyFont="1"/>
    <xf numFmtId="169" fontId="8" fillId="0" borderId="0" xfId="0" applyNumberFormat="1" applyFont="1"/>
    <xf numFmtId="0" fontId="13" fillId="0" borderId="1" xfId="0" applyFont="1" applyBorder="1"/>
    <xf numFmtId="167" fontId="13" fillId="0" borderId="1" xfId="1" applyNumberFormat="1" applyFont="1" applyBorder="1"/>
    <xf numFmtId="167" fontId="13" fillId="0" borderId="3" xfId="1" applyNumberFormat="1" applyFont="1" applyBorder="1"/>
    <xf numFmtId="0" fontId="13" fillId="0" borderId="0" xfId="0" applyFont="1"/>
    <xf numFmtId="167" fontId="13" fillId="0" borderId="0" xfId="1" applyNumberFormat="1" applyFont="1"/>
    <xf numFmtId="169" fontId="13" fillId="0" borderId="0" xfId="1" applyNumberFormat="1" applyFont="1"/>
    <xf numFmtId="169" fontId="8" fillId="0" borderId="0" xfId="2" applyNumberFormat="1" applyFont="1"/>
    <xf numFmtId="165" fontId="9" fillId="0" borderId="0" xfId="2" applyNumberFormat="1" applyFont="1"/>
    <xf numFmtId="0" fontId="13" fillId="0" borderId="3" xfId="0" applyFont="1" applyBorder="1"/>
    <xf numFmtId="167" fontId="14" fillId="0" borderId="3" xfId="1" applyNumberFormat="1" applyFont="1" applyBorder="1"/>
    <xf numFmtId="0" fontId="8" fillId="0" borderId="0" xfId="0" applyFont="1" applyAlignment="1">
      <alignment horizontal="left" indent="1"/>
    </xf>
    <xf numFmtId="167" fontId="8" fillId="0" borderId="0" xfId="0" applyNumberFormat="1" applyFont="1"/>
    <xf numFmtId="0" fontId="8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167" fontId="8" fillId="0" borderId="0" xfId="1" applyNumberFormat="1" applyFont="1"/>
    <xf numFmtId="166" fontId="8" fillId="0" borderId="0" xfId="1" applyFont="1"/>
    <xf numFmtId="0" fontId="15" fillId="0" borderId="2" xfId="0" applyFont="1" applyBorder="1"/>
    <xf numFmtId="167" fontId="13" fillId="0" borderId="2" xfId="1" applyNumberFormat="1" applyFont="1" applyBorder="1"/>
    <xf numFmtId="165" fontId="8" fillId="0" borderId="0" xfId="2" applyNumberFormat="1" applyFont="1"/>
    <xf numFmtId="165" fontId="12" fillId="0" borderId="0" xfId="0" applyNumberFormat="1" applyFont="1"/>
    <xf numFmtId="1" fontId="8" fillId="0" borderId="0" xfId="2" applyNumberFormat="1" applyFont="1"/>
    <xf numFmtId="168" fontId="8" fillId="0" borderId="0" xfId="1" applyNumberFormat="1" applyFont="1"/>
    <xf numFmtId="0" fontId="9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left" indent="1"/>
    </xf>
    <xf numFmtId="166" fontId="8" fillId="0" borderId="0" xfId="0" applyNumberFormat="1" applyFont="1"/>
    <xf numFmtId="167" fontId="13" fillId="0" borderId="0" xfId="0" applyNumberFormat="1" applyFont="1"/>
    <xf numFmtId="0" fontId="13" fillId="0" borderId="1" xfId="0" applyFont="1" applyBorder="1" applyAlignment="1">
      <alignment horizontal="left"/>
    </xf>
    <xf numFmtId="0" fontId="17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168" fontId="11" fillId="0" borderId="0" xfId="1" applyNumberFormat="1" applyFont="1"/>
    <xf numFmtId="168" fontId="8" fillId="0" borderId="0" xfId="0" applyNumberFormat="1" applyFont="1"/>
    <xf numFmtId="168" fontId="13" fillId="0" borderId="0" xfId="1" applyNumberFormat="1" applyFont="1"/>
    <xf numFmtId="168" fontId="13" fillId="0" borderId="1" xfId="1" applyNumberFormat="1" applyFont="1" applyBorder="1"/>
    <xf numFmtId="166" fontId="13" fillId="0" borderId="1" xfId="1" applyFont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indent="2"/>
    </xf>
    <xf numFmtId="168" fontId="14" fillId="0" borderId="3" xfId="1" applyNumberFormat="1" applyFont="1" applyBorder="1"/>
    <xf numFmtId="168" fontId="13" fillId="0" borderId="3" xfId="0" applyNumberFormat="1" applyFont="1" applyBorder="1"/>
    <xf numFmtId="0" fontId="18" fillId="0" borderId="0" xfId="0" applyFont="1"/>
    <xf numFmtId="0" fontId="10" fillId="0" borderId="0" xfId="0" applyFont="1"/>
    <xf numFmtId="0" fontId="18" fillId="0" borderId="0" xfId="0" applyFont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0" fontId="11" fillId="0" borderId="0" xfId="0" applyFont="1"/>
    <xf numFmtId="168" fontId="11" fillId="0" borderId="0" xfId="0" applyNumberFormat="1" applyFont="1" applyAlignment="1">
      <alignment horizontal="center" vertical="center"/>
    </xf>
    <xf numFmtId="10" fontId="8" fillId="0" borderId="0" xfId="2" applyNumberFormat="1" applyFont="1"/>
    <xf numFmtId="10" fontId="12" fillId="0" borderId="0" xfId="2" applyNumberFormat="1" applyFont="1"/>
    <xf numFmtId="0" fontId="13" fillId="0" borderId="3" xfId="0" applyFont="1" applyBorder="1" applyAlignment="1">
      <alignment horizontal="left"/>
    </xf>
    <xf numFmtId="0" fontId="13" fillId="0" borderId="3" xfId="0" applyFont="1" applyBorder="1" applyAlignment="1">
      <alignment horizontal="center" vertical="center"/>
    </xf>
    <xf numFmtId="167" fontId="12" fillId="0" borderId="0" xfId="0" applyNumberFormat="1" applyFont="1"/>
    <xf numFmtId="0" fontId="14" fillId="0" borderId="3" xfId="0" applyFont="1" applyBorder="1"/>
    <xf numFmtId="0" fontId="17" fillId="0" borderId="3" xfId="0" applyFont="1" applyBorder="1" applyAlignment="1">
      <alignment horizontal="center" vertical="center"/>
    </xf>
    <xf numFmtId="9" fontId="8" fillId="0" borderId="0" xfId="2" applyFont="1"/>
    <xf numFmtId="165" fontId="12" fillId="0" borderId="0" xfId="2" applyNumberFormat="1" applyFont="1"/>
    <xf numFmtId="43" fontId="13" fillId="0" borderId="3" xfId="0" applyNumberFormat="1" applyFont="1" applyBorder="1"/>
    <xf numFmtId="9" fontId="12" fillId="0" borderId="0" xfId="2" applyFont="1"/>
    <xf numFmtId="0" fontId="9" fillId="0" borderId="3" xfId="0" applyFont="1" applyBorder="1" applyAlignment="1">
      <alignment horizontal="center" vertical="center"/>
    </xf>
    <xf numFmtId="0" fontId="8" fillId="0" borderId="3" xfId="0" applyFont="1" applyBorder="1"/>
    <xf numFmtId="0" fontId="4" fillId="0" borderId="6" xfId="0" applyFont="1" applyBorder="1"/>
    <xf numFmtId="0" fontId="0" fillId="0" borderId="6" xfId="0" applyBorder="1"/>
    <xf numFmtId="172" fontId="4" fillId="0" borderId="0" xfId="0" applyNumberFormat="1" applyFont="1"/>
    <xf numFmtId="173" fontId="4" fillId="0" borderId="0" xfId="0" applyNumberFormat="1" applyFont="1"/>
    <xf numFmtId="0" fontId="19" fillId="0" borderId="6" xfId="0" applyFont="1" applyBorder="1"/>
    <xf numFmtId="171" fontId="19" fillId="0" borderId="2" xfId="0" applyNumberFormat="1" applyFont="1" applyBorder="1"/>
    <xf numFmtId="0" fontId="14" fillId="0" borderId="0" xfId="0" applyFont="1"/>
    <xf numFmtId="171" fontId="19" fillId="0" borderId="6" xfId="0" applyNumberFormat="1" applyFont="1" applyBorder="1"/>
    <xf numFmtId="0" fontId="20" fillId="0" borderId="0" xfId="0" applyFont="1" applyAlignment="1">
      <alignment horizontal="center" vertical="center"/>
    </xf>
    <xf numFmtId="164" fontId="14" fillId="0" borderId="0" xfId="0" applyNumberFormat="1" applyFont="1" applyAlignment="1">
      <alignment horizontal="center" vertical="center"/>
    </xf>
    <xf numFmtId="0" fontId="0" fillId="0" borderId="3" xfId="0" applyBorder="1"/>
    <xf numFmtId="172" fontId="4" fillId="0" borderId="3" xfId="0" applyNumberFormat="1" applyFont="1" applyBorder="1"/>
    <xf numFmtId="173" fontId="4" fillId="0" borderId="3" xfId="0" applyNumberFormat="1" applyFont="1" applyBorder="1"/>
    <xf numFmtId="0" fontId="2" fillId="0" borderId="0" xfId="3"/>
    <xf numFmtId="0" fontId="4" fillId="0" borderId="4" xfId="3" applyFont="1" applyBorder="1"/>
    <xf numFmtId="0" fontId="2" fillId="0" borderId="4" xfId="3" applyBorder="1"/>
    <xf numFmtId="0" fontId="21" fillId="0" borderId="5" xfId="3" applyFont="1" applyBorder="1"/>
    <xf numFmtId="14" fontId="7" fillId="0" borderId="0" xfId="4" applyNumberFormat="1" applyFont="1" applyAlignment="1">
      <alignment horizontal="right"/>
    </xf>
    <xf numFmtId="174" fontId="23" fillId="0" borderId="0" xfId="3" applyNumberFormat="1" applyFont="1"/>
    <xf numFmtId="14" fontId="6" fillId="0" borderId="0" xfId="4" applyNumberFormat="1" applyFont="1" applyAlignment="1">
      <alignment horizontal="right"/>
    </xf>
    <xf numFmtId="14" fontId="7" fillId="0" borderId="0" xfId="3" applyNumberFormat="1" applyFont="1" applyAlignment="1">
      <alignment horizontal="right"/>
    </xf>
    <xf numFmtId="0" fontId="24" fillId="0" borderId="0" xfId="5" applyBorder="1"/>
    <xf numFmtId="175" fontId="6" fillId="0" borderId="0" xfId="3" applyNumberFormat="1" applyFont="1"/>
    <xf numFmtId="7" fontId="23" fillId="0" borderId="0" xfId="3" applyNumberFormat="1" applyFont="1" applyAlignment="1">
      <alignment horizontal="right"/>
    </xf>
    <xf numFmtId="0" fontId="4" fillId="0" borderId="7" xfId="3" applyFont="1" applyBorder="1"/>
    <xf numFmtId="0" fontId="2" fillId="0" borderId="7" xfId="3" applyBorder="1"/>
    <xf numFmtId="7" fontId="23" fillId="0" borderId="7" xfId="3" applyNumberFormat="1" applyFont="1" applyBorder="1" applyAlignment="1">
      <alignment horizontal="right"/>
    </xf>
    <xf numFmtId="0" fontId="25" fillId="0" borderId="0" xfId="3" applyFont="1" applyAlignment="1">
      <alignment horizontal="centerContinuous"/>
    </xf>
    <xf numFmtId="0" fontId="26" fillId="0" borderId="8" xfId="3" applyFont="1" applyBorder="1" applyAlignment="1">
      <alignment horizontal="centerContinuous"/>
    </xf>
    <xf numFmtId="0" fontId="19" fillId="0" borderId="0" xfId="3" applyFont="1"/>
    <xf numFmtId="14" fontId="2" fillId="0" borderId="0" xfId="3" applyNumberFormat="1" applyAlignment="1">
      <alignment horizontal="center"/>
    </xf>
    <xf numFmtId="171" fontId="2" fillId="0" borderId="9" xfId="3" applyNumberFormat="1" applyBorder="1" applyAlignment="1">
      <alignment horizontal="center"/>
    </xf>
    <xf numFmtId="171" fontId="2" fillId="0" borderId="10" xfId="3" applyNumberFormat="1" applyBorder="1" applyAlignment="1">
      <alignment horizontal="center"/>
    </xf>
    <xf numFmtId="171" fontId="2" fillId="0" borderId="0" xfId="3" applyNumberFormat="1" applyAlignment="1">
      <alignment horizontal="center"/>
    </xf>
    <xf numFmtId="178" fontId="6" fillId="0" borderId="0" xfId="3" applyNumberFormat="1" applyFont="1"/>
    <xf numFmtId="178" fontId="23" fillId="0" borderId="0" xfId="3" applyNumberFormat="1" applyFont="1"/>
    <xf numFmtId="0" fontId="2" fillId="0" borderId="0" xfId="3" applyAlignment="1">
      <alignment horizontal="left" indent="1"/>
    </xf>
    <xf numFmtId="0" fontId="4" fillId="0" borderId="0" xfId="3" applyFont="1"/>
    <xf numFmtId="178" fontId="27" fillId="0" borderId="0" xfId="3" applyNumberFormat="1" applyFont="1"/>
    <xf numFmtId="178" fontId="2" fillId="0" borderId="0" xfId="3" applyNumberFormat="1"/>
    <xf numFmtId="37" fontId="6" fillId="0" borderId="0" xfId="3" applyNumberFormat="1" applyFont="1"/>
    <xf numFmtId="178" fontId="23" fillId="0" borderId="7" xfId="3" applyNumberFormat="1" applyFont="1" applyBorder="1"/>
    <xf numFmtId="178" fontId="26" fillId="0" borderId="7" xfId="3" applyNumberFormat="1" applyFont="1" applyBorder="1" applyAlignment="1">
      <alignment horizontal="center"/>
    </xf>
    <xf numFmtId="178" fontId="26" fillId="0" borderId="0" xfId="3" applyNumberFormat="1" applyFont="1"/>
    <xf numFmtId="14" fontId="2" fillId="0" borderId="0" xfId="3" applyNumberFormat="1"/>
    <xf numFmtId="175" fontId="2" fillId="0" borderId="0" xfId="3" applyNumberFormat="1" applyAlignment="1">
      <alignment horizontal="center"/>
    </xf>
    <xf numFmtId="178" fontId="6" fillId="0" borderId="7" xfId="3" applyNumberFormat="1" applyFont="1" applyBorder="1"/>
    <xf numFmtId="0" fontId="27" fillId="0" borderId="0" xfId="3" applyFont="1"/>
    <xf numFmtId="175" fontId="7" fillId="0" borderId="0" xfId="3" applyNumberFormat="1" applyFont="1"/>
    <xf numFmtId="177" fontId="2" fillId="0" borderId="0" xfId="3" applyNumberFormat="1"/>
    <xf numFmtId="179" fontId="7" fillId="0" borderId="0" xfId="3" applyNumberFormat="1" applyFont="1"/>
    <xf numFmtId="178" fontId="4" fillId="0" borderId="0" xfId="3" applyNumberFormat="1" applyFont="1"/>
    <xf numFmtId="0" fontId="19" fillId="0" borderId="0" xfId="3" applyFont="1" applyAlignment="1">
      <alignment horizontal="left"/>
    </xf>
    <xf numFmtId="175" fontId="19" fillId="0" borderId="0" xfId="3" applyNumberFormat="1" applyFont="1"/>
    <xf numFmtId="180" fontId="19" fillId="0" borderId="0" xfId="3" applyNumberFormat="1" applyFont="1"/>
    <xf numFmtId="175" fontId="2" fillId="0" borderId="0" xfId="3" applyNumberFormat="1"/>
    <xf numFmtId="179" fontId="19" fillId="0" borderId="0" xfId="3" applyNumberFormat="1" applyFont="1"/>
    <xf numFmtId="174" fontId="2" fillId="0" borderId="0" xfId="3" quotePrefix="1" applyNumberFormat="1"/>
    <xf numFmtId="0" fontId="2" fillId="0" borderId="0" xfId="3" applyAlignment="1">
      <alignment horizontal="left"/>
    </xf>
    <xf numFmtId="0" fontId="28" fillId="0" borderId="0" xfId="3" applyFont="1"/>
    <xf numFmtId="0" fontId="28" fillId="0" borderId="0" xfId="3" applyFont="1" applyAlignment="1">
      <alignment horizontal="right"/>
    </xf>
    <xf numFmtId="0" fontId="28" fillId="0" borderId="0" xfId="3" applyFont="1" applyAlignment="1">
      <alignment horizontal="left" vertical="center"/>
    </xf>
    <xf numFmtId="14" fontId="6" fillId="0" borderId="0" xfId="3" applyNumberFormat="1" applyFont="1"/>
    <xf numFmtId="181" fontId="7" fillId="0" borderId="0" xfId="3" applyNumberFormat="1" applyFont="1"/>
    <xf numFmtId="37" fontId="7" fillId="0" borderId="0" xfId="3" applyNumberFormat="1" applyFont="1"/>
    <xf numFmtId="170" fontId="7" fillId="0" borderId="0" xfId="3" applyNumberFormat="1" applyFont="1"/>
    <xf numFmtId="37" fontId="23" fillId="0" borderId="0" xfId="3" applyNumberFormat="1" applyFont="1"/>
    <xf numFmtId="170" fontId="23" fillId="0" borderId="0" xfId="3" applyNumberFormat="1" applyFont="1" applyAlignment="1">
      <alignment horizontal="right"/>
    </xf>
    <xf numFmtId="0" fontId="6" fillId="0" borderId="0" xfId="3" applyFont="1" applyAlignment="1">
      <alignment horizontal="left" indent="1"/>
    </xf>
    <xf numFmtId="0" fontId="4" fillId="0" borderId="0" xfId="3" applyFont="1" applyAlignment="1">
      <alignment horizontal="left"/>
    </xf>
    <xf numFmtId="182" fontId="7" fillId="0" borderId="0" xfId="3" applyNumberFormat="1" applyFont="1"/>
    <xf numFmtId="0" fontId="2" fillId="0" borderId="0" xfId="3" applyAlignment="1">
      <alignment horizontal="left" vertical="center" indent="1"/>
    </xf>
    <xf numFmtId="170" fontId="2" fillId="0" borderId="0" xfId="3" applyNumberFormat="1"/>
    <xf numFmtId="181" fontId="29" fillId="0" borderId="0" xfId="3" applyNumberFormat="1" applyFont="1"/>
    <xf numFmtId="0" fontId="4" fillId="0" borderId="0" xfId="3" applyFont="1" applyAlignment="1">
      <alignment vertical="center"/>
    </xf>
    <xf numFmtId="37" fontId="4" fillId="0" borderId="0" xfId="3" applyNumberFormat="1" applyFont="1"/>
    <xf numFmtId="0" fontId="25" fillId="0" borderId="0" xfId="3" applyFont="1" applyAlignment="1">
      <alignment horizontal="right"/>
    </xf>
    <xf numFmtId="178" fontId="2" fillId="0" borderId="0" xfId="3" applyNumberFormat="1" applyAlignment="1">
      <alignment horizontal="right"/>
    </xf>
    <xf numFmtId="37" fontId="19" fillId="0" borderId="7" xfId="3" applyNumberFormat="1" applyFont="1" applyBorder="1" applyAlignment="1">
      <alignment horizontal="right"/>
    </xf>
    <xf numFmtId="37" fontId="2" fillId="0" borderId="0" xfId="3" applyNumberFormat="1" applyAlignment="1">
      <alignment horizontal="right"/>
    </xf>
    <xf numFmtId="183" fontId="4" fillId="0" borderId="0" xfId="3" applyNumberFormat="1" applyFont="1" applyAlignment="1">
      <alignment horizontal="right"/>
    </xf>
    <xf numFmtId="184" fontId="2" fillId="0" borderId="0" xfId="3" applyNumberFormat="1" applyAlignment="1">
      <alignment horizontal="right"/>
    </xf>
    <xf numFmtId="185" fontId="2" fillId="0" borderId="0" xfId="3" applyNumberFormat="1" applyAlignment="1">
      <alignment horizontal="right"/>
    </xf>
    <xf numFmtId="0" fontId="6" fillId="2" borderId="0" xfId="3" applyFont="1" applyFill="1"/>
    <xf numFmtId="0" fontId="30" fillId="0" borderId="0" xfId="3" applyFont="1" applyAlignment="1">
      <alignment horizontal="centerContinuous"/>
    </xf>
    <xf numFmtId="0" fontId="25" fillId="0" borderId="10" xfId="3" applyFont="1" applyBorder="1" applyAlignment="1">
      <alignment horizontal="centerContinuous"/>
    </xf>
    <xf numFmtId="0" fontId="2" fillId="0" borderId="0" xfId="3" applyAlignment="1">
      <alignment horizontal="centerContinuous"/>
    </xf>
    <xf numFmtId="0" fontId="2" fillId="0" borderId="10" xfId="3" applyBorder="1" applyAlignment="1">
      <alignment horizontal="centerContinuous"/>
    </xf>
    <xf numFmtId="0" fontId="2" fillId="0" borderId="0" xfId="3" applyAlignment="1">
      <alignment horizontal="right"/>
    </xf>
    <xf numFmtId="165" fontId="7" fillId="3" borderId="12" xfId="3" applyNumberFormat="1" applyFont="1" applyFill="1" applyBorder="1"/>
    <xf numFmtId="179" fontId="2" fillId="0" borderId="13" xfId="3" applyNumberFormat="1" applyBorder="1" applyAlignment="1">
      <alignment horizontal="right"/>
    </xf>
    <xf numFmtId="186" fontId="2" fillId="0" borderId="0" xfId="3" applyNumberFormat="1"/>
    <xf numFmtId="186" fontId="2" fillId="0" borderId="10" xfId="3" applyNumberFormat="1" applyBorder="1"/>
    <xf numFmtId="179" fontId="2" fillId="0" borderId="0" xfId="3" applyNumberFormat="1" applyAlignment="1">
      <alignment horizontal="right"/>
    </xf>
    <xf numFmtId="165" fontId="7" fillId="3" borderId="15" xfId="3" applyNumberFormat="1" applyFont="1" applyFill="1" applyBorder="1" applyAlignment="1">
      <alignment horizontal="right"/>
    </xf>
    <xf numFmtId="0" fontId="27" fillId="2" borderId="0" xfId="3" applyFont="1" applyFill="1" applyAlignment="1">
      <alignment horizontal="center"/>
    </xf>
    <xf numFmtId="187" fontId="2" fillId="0" borderId="0" xfId="3" applyNumberFormat="1"/>
    <xf numFmtId="179" fontId="7" fillId="3" borderId="12" xfId="3" applyNumberFormat="1" applyFont="1" applyFill="1" applyBorder="1"/>
    <xf numFmtId="179" fontId="6" fillId="3" borderId="10" xfId="3" applyNumberFormat="1" applyFont="1" applyFill="1" applyBorder="1"/>
    <xf numFmtId="0" fontId="2" fillId="0" borderId="10" xfId="3" applyBorder="1"/>
    <xf numFmtId="0" fontId="4" fillId="4" borderId="0" xfId="3" applyFont="1" applyFill="1"/>
    <xf numFmtId="0" fontId="4" fillId="4" borderId="10" xfId="3" applyFont="1" applyFill="1" applyBorder="1"/>
    <xf numFmtId="188" fontId="2" fillId="0" borderId="0" xfId="3" applyNumberFormat="1"/>
    <xf numFmtId="0" fontId="2" fillId="0" borderId="11" xfId="3" applyBorder="1"/>
    <xf numFmtId="0" fontId="2" fillId="0" borderId="12" xfId="3" applyBorder="1" applyAlignment="1">
      <alignment horizontal="right"/>
    </xf>
    <xf numFmtId="0" fontId="2" fillId="0" borderId="14" xfId="3" applyBorder="1" applyAlignment="1">
      <alignment horizontal="right"/>
    </xf>
    <xf numFmtId="0" fontId="2" fillId="0" borderId="12" xfId="3" applyBorder="1"/>
    <xf numFmtId="0" fontId="2" fillId="0" borderId="16" xfId="3" applyBorder="1"/>
    <xf numFmtId="175" fontId="6" fillId="0" borderId="0" xfId="0" applyNumberFormat="1" applyFont="1"/>
    <xf numFmtId="0" fontId="27" fillId="0" borderId="7" xfId="3" applyFont="1" applyBorder="1"/>
    <xf numFmtId="0" fontId="6" fillId="0" borderId="7" xfId="3" applyFont="1" applyBorder="1"/>
    <xf numFmtId="0" fontId="27" fillId="0" borderId="7" xfId="3" applyFont="1" applyBorder="1" applyAlignment="1">
      <alignment horizontal="right"/>
    </xf>
    <xf numFmtId="0" fontId="28" fillId="0" borderId="0" xfId="3" applyFont="1" applyAlignment="1">
      <alignment horizontal="left"/>
    </xf>
    <xf numFmtId="0" fontId="4" fillId="0" borderId="6" xfId="3" applyFont="1" applyBorder="1"/>
    <xf numFmtId="0" fontId="4" fillId="0" borderId="11" xfId="3" applyFont="1" applyBorder="1"/>
    <xf numFmtId="10" fontId="7" fillId="0" borderId="0" xfId="3" applyNumberFormat="1" applyFont="1"/>
    <xf numFmtId="188" fontId="23" fillId="0" borderId="7" xfId="3" applyNumberFormat="1" applyFont="1" applyBorder="1"/>
    <xf numFmtId="188" fontId="6" fillId="0" borderId="0" xfId="3" applyNumberFormat="1" applyFont="1"/>
    <xf numFmtId="10" fontId="7" fillId="0" borderId="7" xfId="3" applyNumberFormat="1" applyFont="1" applyBorder="1"/>
    <xf numFmtId="10" fontId="6" fillId="0" borderId="0" xfId="3" applyNumberFormat="1" applyFont="1"/>
    <xf numFmtId="165" fontId="6" fillId="0" borderId="0" xfId="3" applyNumberFormat="1" applyFont="1"/>
    <xf numFmtId="0" fontId="2" fillId="0" borderId="6" xfId="3" applyBorder="1"/>
    <xf numFmtId="165" fontId="26" fillId="0" borderId="0" xfId="3" applyNumberFormat="1" applyFont="1" applyAlignment="1">
      <alignment horizontal="right"/>
    </xf>
    <xf numFmtId="9" fontId="7" fillId="0" borderId="0" xfId="3" applyNumberFormat="1" applyFont="1"/>
    <xf numFmtId="174" fontId="2" fillId="0" borderId="0" xfId="3" applyNumberFormat="1"/>
    <xf numFmtId="9" fontId="6" fillId="0" borderId="0" xfId="3" applyNumberFormat="1" applyFont="1"/>
    <xf numFmtId="0" fontId="4" fillId="0" borderId="12" xfId="3" applyFont="1" applyBorder="1"/>
    <xf numFmtId="174" fontId="4" fillId="0" borderId="14" xfId="3" applyNumberFormat="1" applyFont="1" applyBorder="1"/>
    <xf numFmtId="189" fontId="7" fillId="0" borderId="0" xfId="3" applyNumberFormat="1" applyFont="1"/>
    <xf numFmtId="178" fontId="6" fillId="0" borderId="0" xfId="0" applyNumberFormat="1" applyFont="1"/>
    <xf numFmtId="14" fontId="0" fillId="0" borderId="0" xfId="0" applyNumberFormat="1"/>
    <xf numFmtId="39" fontId="7" fillId="0" borderId="0" xfId="3" applyNumberFormat="1" applyFont="1"/>
    <xf numFmtId="168" fontId="14" fillId="0" borderId="0" xfId="1" applyNumberFormat="1" applyFont="1"/>
    <xf numFmtId="168" fontId="13" fillId="0" borderId="0" xfId="0" applyNumberFormat="1" applyFont="1"/>
    <xf numFmtId="190" fontId="7" fillId="0" borderId="0" xfId="0" applyNumberFormat="1" applyFont="1" applyAlignment="1">
      <alignment horizontal="center"/>
    </xf>
    <xf numFmtId="183" fontId="0" fillId="0" borderId="6" xfId="0" applyNumberFormat="1" applyBorder="1" applyAlignment="1">
      <alignment horizontal="right"/>
    </xf>
    <xf numFmtId="183" fontId="0" fillId="0" borderId="13" xfId="0" applyNumberFormat="1" applyBorder="1"/>
    <xf numFmtId="179" fontId="31" fillId="3" borderId="12" xfId="3" applyNumberFormat="1" applyFont="1" applyFill="1" applyBorder="1"/>
    <xf numFmtId="0" fontId="0" fillId="0" borderId="17" xfId="0" quotePrefix="1" applyBorder="1"/>
    <xf numFmtId="39" fontId="0" fillId="0" borderId="0" xfId="0" applyNumberFormat="1"/>
    <xf numFmtId="39" fontId="0" fillId="0" borderId="18" xfId="0" applyNumberFormat="1" applyBorder="1"/>
    <xf numFmtId="0" fontId="0" fillId="0" borderId="17" xfId="0" applyBorder="1"/>
    <xf numFmtId="0" fontId="0" fillId="0" borderId="19" xfId="0" applyBorder="1"/>
    <xf numFmtId="39" fontId="0" fillId="0" borderId="6" xfId="0" applyNumberFormat="1" applyBorder="1"/>
    <xf numFmtId="39" fontId="6" fillId="0" borderId="6" xfId="0" applyNumberFormat="1" applyFont="1" applyBorder="1"/>
    <xf numFmtId="39" fontId="0" fillId="0" borderId="13" xfId="0" applyNumberFormat="1" applyBorder="1"/>
    <xf numFmtId="0" fontId="0" fillId="0" borderId="10" xfId="0" applyBorder="1"/>
    <xf numFmtId="39" fontId="6" fillId="0" borderId="0" xfId="0" applyNumberFormat="1" applyFont="1"/>
    <xf numFmtId="39" fontId="6" fillId="0" borderId="18" xfId="0" applyNumberFormat="1" applyFont="1" applyBorder="1"/>
    <xf numFmtId="0" fontId="0" fillId="0" borderId="20" xfId="0" applyBorder="1"/>
    <xf numFmtId="39" fontId="6" fillId="0" borderId="13" xfId="0" applyNumberFormat="1" applyFont="1" applyBorder="1"/>
    <xf numFmtId="9" fontId="3" fillId="0" borderId="0" xfId="2"/>
    <xf numFmtId="176" fontId="4" fillId="0" borderId="21" xfId="3" applyNumberFormat="1" applyFont="1" applyBorder="1"/>
    <xf numFmtId="178" fontId="23" fillId="0" borderId="22" xfId="3" applyNumberFormat="1" applyFont="1" applyBorder="1"/>
    <xf numFmtId="9" fontId="3" fillId="0" borderId="22" xfId="2" applyBorder="1"/>
    <xf numFmtId="178" fontId="6" fillId="0" borderId="22" xfId="3" applyNumberFormat="1" applyFont="1" applyBorder="1"/>
    <xf numFmtId="174" fontId="23" fillId="0" borderId="22" xfId="3" applyNumberFormat="1" applyFont="1" applyBorder="1"/>
    <xf numFmtId="178" fontId="27" fillId="0" borderId="23" xfId="3" applyNumberFormat="1" applyFont="1" applyBorder="1"/>
    <xf numFmtId="177" fontId="4" fillId="0" borderId="24" xfId="3" applyNumberFormat="1" applyFont="1" applyBorder="1"/>
    <xf numFmtId="178" fontId="23" fillId="0" borderId="25" xfId="3" applyNumberFormat="1" applyFont="1" applyBorder="1"/>
    <xf numFmtId="177" fontId="4" fillId="0" borderId="21" xfId="3" applyNumberFormat="1" applyFont="1" applyBorder="1"/>
    <xf numFmtId="175" fontId="6" fillId="0" borderId="22" xfId="3" applyNumberFormat="1" applyFont="1" applyBorder="1"/>
    <xf numFmtId="14" fontId="21" fillId="0" borderId="5" xfId="3" applyNumberFormat="1" applyFont="1" applyBorder="1"/>
    <xf numFmtId="0" fontId="7" fillId="0" borderId="0" xfId="0" applyFont="1" applyAlignment="1">
      <alignment horizontal="centerContinuous" vertical="center"/>
    </xf>
    <xf numFmtId="3" fontId="8" fillId="0" borderId="0" xfId="0" applyNumberFormat="1" applyFont="1"/>
    <xf numFmtId="166" fontId="3" fillId="0" borderId="0" xfId="1"/>
    <xf numFmtId="167" fontId="14" fillId="0" borderId="0" xfId="1" applyNumberFormat="1" applyFont="1"/>
    <xf numFmtId="165" fontId="8" fillId="0" borderId="0" xfId="2" applyNumberFormat="1" applyFont="1" applyAlignment="1">
      <alignment horizontal="left"/>
    </xf>
    <xf numFmtId="167" fontId="3" fillId="0" borderId="0" xfId="1" applyNumberFormat="1"/>
    <xf numFmtId="168" fontId="8" fillId="0" borderId="0" xfId="0" applyNumberFormat="1" applyFont="1" applyAlignment="1">
      <alignment horizontal="center" vertical="center"/>
    </xf>
    <xf numFmtId="168" fontId="8" fillId="0" borderId="3" xfId="0" applyNumberFormat="1" applyFont="1" applyBorder="1" applyAlignment="1">
      <alignment horizontal="center" vertical="center"/>
    </xf>
    <xf numFmtId="168" fontId="0" fillId="0" borderId="0" xfId="0" applyNumberFormat="1"/>
    <xf numFmtId="168" fontId="34" fillId="0" borderId="0" xfId="0" applyNumberFormat="1" applyFont="1"/>
    <xf numFmtId="168" fontId="0" fillId="0" borderId="3" xfId="0" applyNumberFormat="1" applyBorder="1"/>
    <xf numFmtId="10" fontId="3" fillId="0" borderId="0" xfId="2" applyNumberFormat="1"/>
    <xf numFmtId="167" fontId="11" fillId="0" borderId="0" xfId="0" applyNumberFormat="1" applyFont="1"/>
    <xf numFmtId="168" fontId="14" fillId="0" borderId="3" xfId="0" applyNumberFormat="1" applyFont="1" applyBorder="1"/>
    <xf numFmtId="167" fontId="0" fillId="0" borderId="0" xfId="0" applyNumberFormat="1"/>
    <xf numFmtId="168" fontId="14" fillId="0" borderId="1" xfId="1" applyNumberFormat="1" applyFont="1" applyBorder="1"/>
    <xf numFmtId="167" fontId="14" fillId="0" borderId="1" xfId="1" applyNumberFormat="1" applyFont="1" applyBorder="1"/>
    <xf numFmtId="0" fontId="35" fillId="0" borderId="0" xfId="0" applyFont="1" applyAlignment="1">
      <alignment horizontal="left"/>
    </xf>
    <xf numFmtId="191" fontId="8" fillId="0" borderId="0" xfId="2" applyNumberFormat="1" applyFont="1"/>
    <xf numFmtId="167" fontId="36" fillId="0" borderId="0" xfId="1" applyNumberFormat="1" applyFont="1"/>
    <xf numFmtId="9" fontId="8" fillId="0" borderId="3" xfId="2" applyFont="1" applyBorder="1"/>
    <xf numFmtId="9" fontId="6" fillId="0" borderId="0" xfId="0" applyNumberFormat="1" applyFont="1"/>
    <xf numFmtId="167" fontId="37" fillId="0" borderId="0" xfId="1" applyNumberFormat="1" applyFont="1"/>
    <xf numFmtId="9" fontId="12" fillId="0" borderId="3" xfId="2" applyFont="1" applyBorder="1"/>
    <xf numFmtId="9" fontId="36" fillId="0" borderId="0" xfId="2" applyFont="1"/>
    <xf numFmtId="9" fontId="12" fillId="0" borderId="0" xfId="0" applyNumberFormat="1" applyFont="1"/>
    <xf numFmtId="10" fontId="11" fillId="0" borderId="0" xfId="2" applyNumberFormat="1" applyFont="1"/>
    <xf numFmtId="168" fontId="11" fillId="0" borderId="0" xfId="0" applyNumberFormat="1" applyFont="1"/>
    <xf numFmtId="178" fontId="7" fillId="0" borderId="0" xfId="3" applyNumberFormat="1" applyFont="1"/>
    <xf numFmtId="3" fontId="4" fillId="0" borderId="0" xfId="3" applyNumberFormat="1" applyFont="1"/>
    <xf numFmtId="14" fontId="7" fillId="0" borderId="0" xfId="3" applyNumberFormat="1" applyFont="1" applyAlignment="1">
      <alignment horizontal="left" vertical="center"/>
    </xf>
    <xf numFmtId="0" fontId="7" fillId="0" borderId="0" xfId="3" applyFont="1" applyAlignment="1">
      <alignment horizontal="left" vertical="center"/>
    </xf>
    <xf numFmtId="165" fontId="6" fillId="3" borderId="15" xfId="0" applyNumberFormat="1" applyFont="1" applyFill="1" applyBorder="1" applyAlignment="1">
      <alignment horizontal="right"/>
    </xf>
    <xf numFmtId="165" fontId="6" fillId="3" borderId="26" xfId="0" applyNumberFormat="1" applyFont="1" applyFill="1" applyBorder="1" applyAlignment="1">
      <alignment horizontal="right"/>
    </xf>
    <xf numFmtId="165" fontId="6" fillId="3" borderId="11" xfId="0" applyNumberFormat="1" applyFont="1" applyFill="1" applyBorder="1"/>
    <xf numFmtId="165" fontId="6" fillId="3" borderId="12" xfId="0" applyNumberFormat="1" applyFont="1" applyFill="1" applyBorder="1"/>
    <xf numFmtId="171" fontId="19" fillId="0" borderId="6" xfId="0" applyNumberFormat="1" applyFont="1" applyBorder="1" applyAlignment="1">
      <alignment horizontal="center"/>
    </xf>
    <xf numFmtId="173" fontId="4" fillId="0" borderId="3" xfId="0" applyNumberFormat="1" applyFont="1" applyBorder="1" applyAlignment="1">
      <alignment horizontal="center"/>
    </xf>
    <xf numFmtId="165" fontId="8" fillId="0" borderId="0" xfId="2" applyNumberFormat="1" applyFont="1" applyAlignment="1">
      <alignment horizontal="center" vertical="center"/>
    </xf>
    <xf numFmtId="0" fontId="1" fillId="0" borderId="0" xfId="3" applyFont="1"/>
  </cellXfs>
  <cellStyles count="6">
    <cellStyle name="Comma" xfId="1" builtinId="3"/>
    <cellStyle name="Hyperlink" xfId="5" builtinId="8"/>
    <cellStyle name="Normal" xfId="0" builtinId="0"/>
    <cellStyle name="Normal 2" xfId="3" xr:uid="{937EC6E3-AE83-4BBC-ACEF-6FAAD38BC45D}"/>
    <cellStyle name="Normal_DCF_Model" xfId="4" xr:uid="{EB47B55B-6DFA-4D8F-B164-61C0BEC4F72F}"/>
    <cellStyle name="Percent" xfId="2" builtinId="5"/>
  </cellStyles>
  <dxfs count="3">
    <dxf>
      <font>
        <b/>
        <i val="0"/>
      </font>
      <fill>
        <patternFill patternType="solid">
          <bgColor theme="2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  <border>
        <left/>
        <right/>
        <top style="thin">
          <color rgb="FF9C0006"/>
        </top>
        <bottom style="thin">
          <color rgb="FF9C0006"/>
        </bottom>
        <vertical/>
        <horizontal/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F4F"/>
      <rgbColor rgb="FF222A35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DCF Equity Valuation Range 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9.3x-11.3x Exit EBITDA Range at 22.7% WACC</c:v>
                </c:pt>
                <c:pt idx="1">
                  <c:v>DCF Value at 9.0%-11.0% Perpetuity Range at 22.7%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DCF!$C$128:$C$130</c:f>
              <c:numCache>
                <c:formatCode>#,##0.00_);\(#,##0.00\)</c:formatCode>
                <c:ptCount val="3"/>
                <c:pt idx="0">
                  <c:v>11.37955458028879</c:v>
                </c:pt>
                <c:pt idx="1">
                  <c:v>5.1387029818587342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83-4E91-8D66-944AAAC33F38}"/>
            </c:ext>
          </c:extLst>
        </c:ser>
        <c:ser>
          <c:idx val="1"/>
          <c:order val="1"/>
          <c:invertIfNegative val="0"/>
          <c:cat>
            <c:strRef>
              <c:f>DCF!$B$128:$B$130</c:f>
              <c:strCache>
                <c:ptCount val="3"/>
                <c:pt idx="0">
                  <c:v>DCF Value at 9.3x-11.3x Exit EBITDA Range at 22.7% WACC</c:v>
                </c:pt>
                <c:pt idx="1">
                  <c:v>DCF Value at 9.0%-11.0% Perpetuity Range at 22.7%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DCF!$D$128:$D$130</c:f>
              <c:numCache>
                <c:formatCode>#,##0.00_);\(#,##0.00\)</c:formatCode>
                <c:ptCount val="3"/>
                <c:pt idx="0">
                  <c:v>1.2811077666731681</c:v>
                </c:pt>
                <c:pt idx="1">
                  <c:v>0.50416426287484128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83-4E91-8D66-944AAAC33F38}"/>
            </c:ext>
          </c:extLst>
        </c:ser>
        <c:ser>
          <c:idx val="2"/>
          <c:order val="2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9.3x-11.3x Exit EBITDA Range at 22.7% WACC</c:v>
                </c:pt>
                <c:pt idx="1">
                  <c:v>DCF Value at 9.0%-11.0% Perpetuity Range at 22.7%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DCF!$E$128:$E$130</c:f>
              <c:numCache>
                <c:formatCode>#,##0.00_);\(#,##0.00\)</c:formatCode>
                <c:ptCount val="3"/>
                <c:pt idx="0">
                  <c:v>12.660662346961958</c:v>
                </c:pt>
                <c:pt idx="1">
                  <c:v>5.6428672447335755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83-4E91-8D66-944AAAC33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400"/>
          <c:min val="100"/>
        </c:scaling>
        <c:delete val="0"/>
        <c:axPos val="l"/>
        <c:numFmt formatCode="#,##0.00_);\(#,##0.00\)" sourceLinked="1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LTM EBITDA Multiple Range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9.0%-11.0% Perpetuity Growth at 22.7% WACC</c:v>
                </c:pt>
                <c:pt idx="1">
                  <c:v>LTM EBITDA Purchase Multiple at 9.7x-10.6x Exit EBITDA Multiple at 22.7% WACC</c:v>
                </c:pt>
                <c:pt idx="2">
                  <c:v>LTM EBITDA Purchase Multiple at 20.7%-24.7% WACC at 10.3x Exit EBITDA</c:v>
                </c:pt>
              </c:strCache>
            </c:strRef>
          </c:cat>
          <c:val>
            <c:numRef>
              <c:f>DCF!$O$128:$O$130</c:f>
              <c:numCache>
                <c:formatCode>#,##0.00_);\(#,##0.00\)</c:formatCode>
                <c:ptCount val="3"/>
                <c:pt idx="0">
                  <c:v>5.2964036362942952</c:v>
                </c:pt>
                <c:pt idx="1">
                  <c:v>9.6561930538361729</c:v>
                </c:pt>
                <c:pt idx="2">
                  <c:v>8.562498670706292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5-4FE9-8BD7-0E0161403D7A}"/>
            </c:ext>
          </c:extLst>
        </c:ser>
        <c:ser>
          <c:idx val="1"/>
          <c:order val="1"/>
          <c:spPr>
            <a:solidFill>
              <a:schemeClr val="tx2"/>
            </a:solidFill>
          </c:spPr>
          <c:invertIfNegative val="0"/>
          <c:cat>
            <c:strRef>
              <c:f>DCF!$G$128:$G$130</c:f>
              <c:strCache>
                <c:ptCount val="3"/>
                <c:pt idx="0">
                  <c:v>LTM EBITDA Purchase Multiple at 9.0%-11.0% Perpetuity Growth at 22.7% WACC</c:v>
                </c:pt>
                <c:pt idx="1">
                  <c:v>LTM EBITDA Purchase Multiple at 9.7x-10.6x Exit EBITDA Multiple at 22.7% WACC</c:v>
                </c:pt>
                <c:pt idx="2">
                  <c:v>LTM EBITDA Purchase Multiple at 20.7%-24.7% WACC at 10.3x Exit EBITDA</c:v>
                </c:pt>
              </c:strCache>
            </c:strRef>
          </c:cat>
          <c:val>
            <c:numRef>
              <c:f>DCF!$P$128:$P$130</c:f>
              <c:numCache>
                <c:formatCode>#,##0.00_);\(#,##0.00\)</c:formatCode>
                <c:ptCount val="3"/>
                <c:pt idx="0">
                  <c:v>0.35220353878266852</c:v>
                </c:pt>
                <c:pt idx="1">
                  <c:v>0.89496761712414852</c:v>
                </c:pt>
                <c:pt idx="2">
                  <c:v>1.3530677297899594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D5-4FE9-8BD7-0E0161403D7A}"/>
            </c:ext>
          </c:extLst>
        </c:ser>
        <c:ser>
          <c:idx val="2"/>
          <c:order val="2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9.0%-11.0% Perpetuity Growth at 22.7% WACC</c:v>
                </c:pt>
                <c:pt idx="1">
                  <c:v>LTM EBITDA Purchase Multiple at 9.7x-10.6x Exit EBITDA Multiple at 22.7% WACC</c:v>
                </c:pt>
                <c:pt idx="2">
                  <c:v>LTM EBITDA Purchase Multiple at 20.7%-24.7% WACC at 10.3x Exit EBITDA</c:v>
                </c:pt>
              </c:strCache>
            </c:strRef>
          </c:cat>
          <c:val>
            <c:numRef>
              <c:f>DCF!$Q$128:$Q$130</c:f>
              <c:numCache>
                <c:formatCode>#,##0.00_);\(#,##0.00\)</c:formatCode>
                <c:ptCount val="3"/>
                <c:pt idx="0">
                  <c:v>5.6486071750769637</c:v>
                </c:pt>
                <c:pt idx="1">
                  <c:v>10.551160670960321</c:v>
                </c:pt>
                <c:pt idx="2">
                  <c:v>9.9155664004962514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D5-4FE9-8BD7-0E0161403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20"/>
          <c:min val="10"/>
        </c:scaling>
        <c:delete val="0"/>
        <c:axPos val="l"/>
        <c:numFmt formatCode="#,##0.0\x;\-#,##0.0\x" sourceLinked="0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53578</xdr:colOff>
      <xdr:row>106</xdr:row>
      <xdr:rowOff>149424</xdr:rowOff>
    </xdr:from>
    <xdr:to>
      <xdr:col>4</xdr:col>
      <xdr:colOff>654844</xdr:colOff>
      <xdr:row>125</xdr:row>
      <xdr:rowOff>53578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529BCA-2888-434E-AC7E-5B03FCA5B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47228</xdr:colOff>
      <xdr:row>106</xdr:row>
      <xdr:rowOff>149424</xdr:rowOff>
    </xdr:from>
    <xdr:to>
      <xdr:col>15</xdr:col>
      <xdr:colOff>657225</xdr:colOff>
      <xdr:row>125</xdr:row>
      <xdr:rowOff>47228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38233F-A324-4062-8E99-2AF6A530E0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9"/>
  <sheetViews>
    <sheetView showGridLines="0" topLeftCell="C15" zoomScaleNormal="100" workbookViewId="0">
      <selection activeCell="D30" sqref="D30"/>
    </sheetView>
  </sheetViews>
  <sheetFormatPr defaultColWidth="9.140625" defaultRowHeight="15"/>
  <cols>
    <col min="1" max="2" width="1.7109375" style="8" customWidth="1"/>
    <col min="3" max="3" width="66.42578125" style="8" bestFit="1" customWidth="1"/>
    <col min="4" max="4" width="15.7109375" style="9" customWidth="1"/>
    <col min="5" max="5" width="15" style="8" customWidth="1"/>
    <col min="6" max="6" width="17.42578125" style="8" bestFit="1" customWidth="1"/>
    <col min="7" max="7" width="16.85546875" style="8" customWidth="1"/>
    <col min="8" max="8" width="16.85546875" style="8" bestFit="1" customWidth="1"/>
    <col min="9" max="9" width="17.7109375" style="8" bestFit="1" customWidth="1"/>
    <col min="10" max="11" width="18" style="8" bestFit="1" customWidth="1"/>
    <col min="12" max="12" width="2.7109375" style="8" customWidth="1"/>
    <col min="13" max="13" width="17" style="8" bestFit="1" customWidth="1"/>
    <col min="14" max="14" width="16" style="8" bestFit="1" customWidth="1"/>
    <col min="15" max="16384" width="9.140625" style="8"/>
  </cols>
  <sheetData>
    <row r="1" spans="3:13" ht="15" customHeight="1" thickBot="1"/>
    <row r="2" spans="3:13" ht="15.75" thickBot="1">
      <c r="C2" s="2" t="str">
        <f>Company_Name&amp;" - Financial Statement Model"</f>
        <v>CLEOPATRA HOSPITAL COMPANY “S.A.E. - Financial Statement Model</v>
      </c>
      <c r="D2" s="10"/>
      <c r="E2" s="10"/>
      <c r="F2" s="10"/>
      <c r="G2" s="10"/>
      <c r="H2" s="10"/>
      <c r="I2" s="10"/>
      <c r="J2" s="10"/>
      <c r="K2" s="10"/>
    </row>
    <row r="3" spans="3:13">
      <c r="C3" s="3" t="s">
        <v>234</v>
      </c>
      <c r="D3" s="11"/>
      <c r="E3" s="11"/>
      <c r="F3" s="11"/>
      <c r="G3" s="11"/>
      <c r="H3" s="11"/>
    </row>
    <row r="4" spans="3:13" ht="15" customHeight="1"/>
    <row r="5" spans="3:13">
      <c r="C5" s="4" t="s">
        <v>0</v>
      </c>
      <c r="D5" s="236" t="s">
        <v>232</v>
      </c>
    </row>
    <row r="6" spans="3:13">
      <c r="C6" s="4" t="s">
        <v>1</v>
      </c>
      <c r="D6" s="5" t="s">
        <v>233</v>
      </c>
    </row>
    <row r="7" spans="3:13">
      <c r="C7" s="8" t="s">
        <v>51</v>
      </c>
      <c r="D7" s="207">
        <v>15.12</v>
      </c>
    </row>
    <row r="8" spans="3:13">
      <c r="C8" s="8" t="s">
        <v>52</v>
      </c>
      <c r="D8" s="6">
        <v>46167</v>
      </c>
    </row>
    <row r="9" spans="3:13">
      <c r="C9" s="4" t="s">
        <v>2</v>
      </c>
      <c r="D9" s="7">
        <v>46022</v>
      </c>
    </row>
    <row r="10" spans="3:13" ht="15" customHeight="1">
      <c r="C10" s="8" t="s">
        <v>73</v>
      </c>
      <c r="D10" s="241">
        <v>1449450084</v>
      </c>
    </row>
    <row r="11" spans="3:13" ht="15" customHeight="1"/>
    <row r="12" spans="3:13" customFormat="1">
      <c r="C12" s="73" t="s">
        <v>123</v>
      </c>
      <c r="D12" s="74"/>
      <c r="E12" s="74"/>
      <c r="F12" s="74"/>
      <c r="G12" s="74"/>
      <c r="H12" s="74"/>
      <c r="I12" s="74"/>
      <c r="J12" s="74"/>
      <c r="K12" s="74"/>
    </row>
    <row r="13" spans="3:13" customFormat="1">
      <c r="C13" t="s">
        <v>124</v>
      </c>
      <c r="D13" s="75">
        <f>E13-1</f>
        <v>2023</v>
      </c>
      <c r="E13" s="75">
        <f>F13-1</f>
        <v>2024</v>
      </c>
      <c r="F13" s="75">
        <f>YEAR(D9)</f>
        <v>2025</v>
      </c>
      <c r="G13" s="76">
        <f>F13+1</f>
        <v>2026</v>
      </c>
      <c r="H13" s="76">
        <f>G13+1</f>
        <v>2027</v>
      </c>
      <c r="I13" s="76">
        <f>H13+1</f>
        <v>2028</v>
      </c>
      <c r="J13" s="76">
        <f>I13+1</f>
        <v>2029</v>
      </c>
      <c r="K13" s="76">
        <f>J13+1</f>
        <v>2030</v>
      </c>
      <c r="M13" s="273" t="s">
        <v>247</v>
      </c>
    </row>
    <row r="14" spans="3:13" customFormat="1">
      <c r="C14" s="77" t="s">
        <v>125</v>
      </c>
      <c r="D14" s="78">
        <f>EOMONTH(E14,-12)</f>
        <v>45291</v>
      </c>
      <c r="E14" s="78">
        <f>EOMONTH(F14,-12)</f>
        <v>45657</v>
      </c>
      <c r="F14" s="78">
        <f>D9</f>
        <v>46022</v>
      </c>
      <c r="G14" s="78">
        <f>EOMONTH(F14,12)</f>
        <v>46387</v>
      </c>
      <c r="H14" s="78">
        <f>EOMONTH(G14,12)</f>
        <v>46752</v>
      </c>
      <c r="I14" s="78">
        <f>EOMONTH(H14,12)</f>
        <v>47118</v>
      </c>
      <c r="J14" s="78">
        <f>EOMONTH(I14,12)</f>
        <v>47483</v>
      </c>
      <c r="K14" s="78">
        <f>EOMONTH(J14,12)</f>
        <v>47848</v>
      </c>
      <c r="M14" s="272" t="s">
        <v>248</v>
      </c>
    </row>
    <row r="15" spans="3:13" ht="15" customHeight="1"/>
    <row r="16" spans="3:13" ht="15" customHeight="1">
      <c r="C16" s="8" t="s">
        <v>143</v>
      </c>
      <c r="D16" s="13">
        <v>3595299364</v>
      </c>
      <c r="E16" s="13">
        <v>5420396411</v>
      </c>
      <c r="F16" s="13">
        <v>7227264460</v>
      </c>
      <c r="G16" s="12">
        <f>F16*(1+G37)</f>
        <v>10479533467</v>
      </c>
      <c r="H16" s="12">
        <f t="shared" ref="H16:K16" si="0">G16*(1+H37)</f>
        <v>13099416833.75</v>
      </c>
      <c r="I16" s="12">
        <f t="shared" si="0"/>
        <v>15326317695.487499</v>
      </c>
      <c r="J16" s="12">
        <f t="shared" si="0"/>
        <v>17318738995.900871</v>
      </c>
      <c r="K16" s="12">
        <f t="shared" si="0"/>
        <v>19223800285.44997</v>
      </c>
      <c r="M16" s="274">
        <f>(K16/F16)^(1/COUNT(G16:K16))-1</f>
        <v>0.21611056055628719</v>
      </c>
    </row>
    <row r="17" spans="3:14" ht="15" customHeight="1">
      <c r="C17" s="8" t="s">
        <v>56</v>
      </c>
      <c r="D17" s="13">
        <v>-2386677071</v>
      </c>
      <c r="E17" s="13">
        <v>-3407053062</v>
      </c>
      <c r="F17" s="13">
        <v>-4368794593</v>
      </c>
      <c r="G17" s="14">
        <f>-G16*(1-G38)</f>
        <v>-6287720080.1999998</v>
      </c>
      <c r="H17" s="14">
        <f t="shared" ref="H17:K17" si="1">-H16*(1-H38)</f>
        <v>-7859650100.25</v>
      </c>
      <c r="I17" s="14">
        <f t="shared" si="1"/>
        <v>-9195790617.2924995</v>
      </c>
      <c r="J17" s="14">
        <f t="shared" si="1"/>
        <v>-10391243397.540522</v>
      </c>
      <c r="K17" s="14">
        <f t="shared" si="1"/>
        <v>-11534280171.269981</v>
      </c>
    </row>
    <row r="18" spans="3:14" ht="15" customHeight="1">
      <c r="C18" s="15" t="s">
        <v>3</v>
      </c>
      <c r="D18" s="16">
        <f>SUM(D16:D17)</f>
        <v>1208622293</v>
      </c>
      <c r="E18" s="16">
        <f>SUM(E16:E17)</f>
        <v>2013343349</v>
      </c>
      <c r="F18" s="16">
        <f>SUM(F16:F17)</f>
        <v>2858469867</v>
      </c>
      <c r="G18" s="16">
        <f t="shared" ref="G18:K18" si="2">SUM(G16:G17)</f>
        <v>4191813386.8000002</v>
      </c>
      <c r="H18" s="16">
        <f t="shared" si="2"/>
        <v>5239766733.5</v>
      </c>
      <c r="I18" s="16">
        <f t="shared" si="2"/>
        <v>6130527078.1949997</v>
      </c>
      <c r="J18" s="16">
        <f t="shared" si="2"/>
        <v>6927495598.3603497</v>
      </c>
      <c r="K18" s="16">
        <f t="shared" si="2"/>
        <v>7689520114.1799889</v>
      </c>
    </row>
    <row r="19" spans="3:14" s="22" customFormat="1" ht="15" customHeight="1">
      <c r="C19" s="240" t="s">
        <v>57</v>
      </c>
      <c r="D19" s="13">
        <v>-494187272</v>
      </c>
      <c r="E19" s="13">
        <v>-749796569</v>
      </c>
      <c r="F19" s="13">
        <v>-1229331039</v>
      </c>
      <c r="G19" s="21">
        <f>-G16*G39</f>
        <v>-1781520689.3900001</v>
      </c>
      <c r="H19" s="21">
        <f t="shared" ref="H19:K19" si="3">-H16*H39</f>
        <v>-2226900861.7375002</v>
      </c>
      <c r="I19" s="21">
        <f t="shared" si="3"/>
        <v>-2605474008.2328749</v>
      </c>
      <c r="J19" s="21">
        <f t="shared" si="3"/>
        <v>-2944185629.3031483</v>
      </c>
      <c r="K19" s="21">
        <f t="shared" si="3"/>
        <v>-3268046048.526495</v>
      </c>
      <c r="M19" s="13"/>
    </row>
    <row r="20" spans="3:14" s="22" customFormat="1" ht="15" customHeight="1">
      <c r="C20" s="240" t="s">
        <v>58</v>
      </c>
      <c r="D20" s="13">
        <v>-63593697</v>
      </c>
      <c r="E20" s="13">
        <v>-104574055</v>
      </c>
      <c r="F20" s="13">
        <v>-139088199</v>
      </c>
      <c r="G20" s="21">
        <f>-G16*G45</f>
        <v>-201677888.55000001</v>
      </c>
      <c r="H20" s="21">
        <f t="shared" ref="H20:K20" si="4">-H16*H45</f>
        <v>-252097360.6875</v>
      </c>
      <c r="I20" s="21">
        <f t="shared" si="4"/>
        <v>-294953912.00437498</v>
      </c>
      <c r="J20" s="21">
        <f t="shared" si="4"/>
        <v>-333297920.56494367</v>
      </c>
      <c r="K20" s="21">
        <f t="shared" si="4"/>
        <v>-369960691.82708752</v>
      </c>
      <c r="M20" s="13"/>
    </row>
    <row r="21" spans="3:14" ht="15" customHeight="1">
      <c r="C21" s="23" t="s">
        <v>53</v>
      </c>
      <c r="D21" s="24">
        <f>SUM(D18:D20)</f>
        <v>650841324</v>
      </c>
      <c r="E21" s="24">
        <f>SUM(E18:E20)</f>
        <v>1158972725</v>
      </c>
      <c r="F21" s="24">
        <f>SUM(F18:F20)</f>
        <v>1490050629</v>
      </c>
      <c r="G21" s="24">
        <f>SUM(G18:G20)</f>
        <v>2208614808.8599997</v>
      </c>
      <c r="H21" s="24">
        <f t="shared" ref="H21:K21" si="5">SUM(H18:H20)</f>
        <v>2760768511.0749998</v>
      </c>
      <c r="I21" s="24">
        <f t="shared" si="5"/>
        <v>3230099157.9577498</v>
      </c>
      <c r="J21" s="24">
        <f t="shared" si="5"/>
        <v>3650012048.4922576</v>
      </c>
      <c r="K21" s="24">
        <f t="shared" si="5"/>
        <v>4051513373.8264065</v>
      </c>
      <c r="M21" s="274">
        <f>(K21/F21)^(1/COUNT(G21:K21))-1</f>
        <v>0.22147125275523494</v>
      </c>
    </row>
    <row r="22" spans="3:14" ht="15" customHeight="1">
      <c r="C22" s="27" t="s">
        <v>115</v>
      </c>
      <c r="D22" s="13">
        <v>27795203</v>
      </c>
      <c r="E22" s="13">
        <v>42933901</v>
      </c>
      <c r="F22" s="13">
        <v>46632479</v>
      </c>
      <c r="G22" s="239">
        <f ca="1">G203</f>
        <v>19938571.025000002</v>
      </c>
      <c r="H22" s="239">
        <f t="shared" ref="H22:K22" ca="1" si="6">H203</f>
        <v>12500000</v>
      </c>
      <c r="I22" s="239">
        <f t="shared" ca="1" si="6"/>
        <v>12500000</v>
      </c>
      <c r="J22" s="239">
        <f t="shared" ca="1" si="6"/>
        <v>44495793.918291844</v>
      </c>
      <c r="K22" s="239">
        <f t="shared" ca="1" si="6"/>
        <v>131968542.1165351</v>
      </c>
      <c r="M22" s="237"/>
    </row>
    <row r="23" spans="3:14" ht="15" customHeight="1">
      <c r="C23" s="27" t="s">
        <v>235</v>
      </c>
      <c r="D23" s="13">
        <v>-69547984</v>
      </c>
      <c r="E23" s="13">
        <v>-122045000</v>
      </c>
      <c r="F23" s="13">
        <v>-227319411</v>
      </c>
      <c r="G23" s="12">
        <f ca="1">-G189</f>
        <v>-343864486.75314051</v>
      </c>
      <c r="H23" s="12">
        <f t="shared" ref="H23:K23" ca="1" si="7">-H189</f>
        <v>-397518754.0450933</v>
      </c>
      <c r="I23" s="12">
        <f t="shared" ca="1" si="7"/>
        <v>-340350680.97570872</v>
      </c>
      <c r="J23" s="12">
        <f t="shared" ca="1" si="7"/>
        <v>-263216902.04375592</v>
      </c>
      <c r="K23" s="12">
        <f t="shared" ca="1" si="7"/>
        <v>-242640237.9866561</v>
      </c>
      <c r="M23" s="237"/>
    </row>
    <row r="24" spans="3:14" ht="15" customHeight="1">
      <c r="C24" s="27" t="s">
        <v>236</v>
      </c>
      <c r="D24" s="13">
        <v>0</v>
      </c>
      <c r="E24" s="13">
        <v>3804133</v>
      </c>
      <c r="F24" s="13">
        <v>9735687</v>
      </c>
      <c r="G24" s="238">
        <v>0</v>
      </c>
      <c r="H24" s="238">
        <v>0</v>
      </c>
      <c r="I24" s="238">
        <v>0</v>
      </c>
      <c r="J24" s="238">
        <v>0</v>
      </c>
      <c r="K24" s="238">
        <v>0</v>
      </c>
      <c r="M24" s="237"/>
      <c r="N24" s="238"/>
    </row>
    <row r="25" spans="3:14" ht="15" customHeight="1">
      <c r="C25" s="23" t="s">
        <v>4</v>
      </c>
      <c r="D25" s="17">
        <f>SUM(D21:D24)</f>
        <v>609088543</v>
      </c>
      <c r="E25" s="17">
        <f>SUM(E21:E24)</f>
        <v>1083665759</v>
      </c>
      <c r="F25" s="17">
        <f>SUM(F21:F24)</f>
        <v>1319099384</v>
      </c>
      <c r="G25" s="17">
        <f ca="1">SUM(G21:G24)</f>
        <v>1884688893.1318593</v>
      </c>
      <c r="H25" s="17">
        <f t="shared" ref="H25:K25" ca="1" si="8">SUM(H21:H24)</f>
        <v>2375749757.0299063</v>
      </c>
      <c r="I25" s="17">
        <f t="shared" ca="1" si="8"/>
        <v>2902248476.9820414</v>
      </c>
      <c r="J25" s="17">
        <f t="shared" ca="1" si="8"/>
        <v>3431290940.3667936</v>
      </c>
      <c r="K25" s="17">
        <f t="shared" ca="1" si="8"/>
        <v>3940841677.9562855</v>
      </c>
      <c r="M25" s="237"/>
      <c r="N25" s="238"/>
    </row>
    <row r="26" spans="3:14" ht="15" customHeight="1">
      <c r="C26" s="27" t="s">
        <v>55</v>
      </c>
      <c r="D26" s="13">
        <v>-135526468</v>
      </c>
      <c r="E26" s="13">
        <v>-266653770</v>
      </c>
      <c r="F26" s="13">
        <v>-351233067</v>
      </c>
      <c r="G26" s="14">
        <f ca="1">-G25*G40</f>
        <v>-424055000.95466834</v>
      </c>
      <c r="H26" s="14">
        <f t="shared" ref="H26:K26" ca="1" si="9">-H25*H40</f>
        <v>-534543695.33172894</v>
      </c>
      <c r="I26" s="14">
        <f t="shared" ca="1" si="9"/>
        <v>-653005907.32095933</v>
      </c>
      <c r="J26" s="14">
        <f t="shared" ca="1" si="9"/>
        <v>-772040461.58252859</v>
      </c>
      <c r="K26" s="14">
        <f t="shared" ca="1" si="9"/>
        <v>-886689377.54016423</v>
      </c>
      <c r="M26" s="237"/>
      <c r="N26" s="238"/>
    </row>
    <row r="27" spans="3:14" ht="15" customHeight="1">
      <c r="C27" s="15" t="s">
        <v>54</v>
      </c>
      <c r="D27" s="17">
        <f>SUM(D25:D26)</f>
        <v>473562075</v>
      </c>
      <c r="E27" s="17">
        <f>SUM(E25:E26)</f>
        <v>817011989</v>
      </c>
      <c r="F27" s="17">
        <f>SUM(F25:F26)</f>
        <v>967866317</v>
      </c>
      <c r="G27" s="17">
        <f ca="1">SUM(G25:G26)</f>
        <v>1460633892.177191</v>
      </c>
      <c r="H27" s="17">
        <f t="shared" ref="H27:K27" ca="1" si="10">SUM(H25:H26)</f>
        <v>1841206061.6981773</v>
      </c>
      <c r="I27" s="17">
        <f t="shared" ca="1" si="10"/>
        <v>2249242569.6610823</v>
      </c>
      <c r="J27" s="17">
        <f t="shared" ca="1" si="10"/>
        <v>2659250478.784265</v>
      </c>
      <c r="K27" s="17">
        <f t="shared" ca="1" si="10"/>
        <v>3054152300.4161215</v>
      </c>
      <c r="M27" s="274">
        <f ca="1">(K27/F27)^(1/COUNT(G27:K27))-1</f>
        <v>0.25838943311337226</v>
      </c>
      <c r="N27" s="237"/>
    </row>
    <row r="28" spans="3:14" ht="15" customHeight="1">
      <c r="C28" s="18"/>
      <c r="D28" s="19"/>
      <c r="E28" s="19"/>
      <c r="F28" s="19"/>
      <c r="G28" s="14"/>
      <c r="H28" s="20"/>
      <c r="I28" s="20"/>
      <c r="J28" s="20"/>
      <c r="K28" s="20"/>
      <c r="N28" s="238"/>
    </row>
    <row r="29" spans="3:14" ht="15" customHeight="1">
      <c r="C29" s="27" t="s">
        <v>44</v>
      </c>
      <c r="D29" s="13">
        <v>173639017</v>
      </c>
      <c r="E29" s="13">
        <v>274921804</v>
      </c>
      <c r="F29" s="13">
        <v>254182221</v>
      </c>
      <c r="G29" s="14">
        <f>G158</f>
        <v>370771734.01700002</v>
      </c>
      <c r="H29" s="14">
        <f t="shared" ref="H29:K29" si="11">H158</f>
        <v>512570009.3612501</v>
      </c>
      <c r="I29" s="14">
        <f t="shared" si="11"/>
        <v>607718132.10036254</v>
      </c>
      <c r="J29" s="14">
        <f t="shared" si="11"/>
        <v>672048868.85345721</v>
      </c>
      <c r="K29" s="14">
        <f t="shared" si="11"/>
        <v>719151749.1316824</v>
      </c>
      <c r="N29" s="238"/>
    </row>
    <row r="30" spans="3:14" ht="15" customHeight="1">
      <c r="C30" s="28" t="s">
        <v>45</v>
      </c>
      <c r="D30" s="19">
        <f>D21+D29</f>
        <v>824480341</v>
      </c>
      <c r="E30" s="19">
        <f>E21+E29</f>
        <v>1433894529</v>
      </c>
      <c r="F30" s="19">
        <f>F21+F29</f>
        <v>1744232850</v>
      </c>
      <c r="G30" s="19">
        <f>G21+G29</f>
        <v>2579386542.8769999</v>
      </c>
      <c r="H30" s="19">
        <f t="shared" ref="H30:K30" si="12">H21+H29</f>
        <v>3273338520.4362497</v>
      </c>
      <c r="I30" s="19">
        <f t="shared" si="12"/>
        <v>3837817290.0581121</v>
      </c>
      <c r="J30" s="19">
        <f t="shared" si="12"/>
        <v>4322060917.3457146</v>
      </c>
      <c r="K30" s="19">
        <f t="shared" si="12"/>
        <v>4770665122.9580889</v>
      </c>
      <c r="M30" s="274">
        <f>(K30/F30)^(1/COUNT(G30:K30))-1</f>
        <v>0.22291112022418558</v>
      </c>
    </row>
    <row r="31" spans="3:14" ht="15" customHeight="1">
      <c r="C31" s="253" t="s">
        <v>239</v>
      </c>
      <c r="D31" s="22">
        <f>D30/D16</f>
        <v>0.2293217497423394</v>
      </c>
      <c r="E31" s="22">
        <f>E30/E16</f>
        <v>0.26453683831870578</v>
      </c>
      <c r="F31" s="22">
        <f>F30/F16</f>
        <v>0.24134067040906373</v>
      </c>
      <c r="G31" s="22">
        <f>G30/G16</f>
        <v>0.24613562722037918</v>
      </c>
      <c r="H31" s="22">
        <f t="shared" ref="H31:K31" si="13">H30/H16</f>
        <v>0.24988429347500835</v>
      </c>
      <c r="I31" s="22">
        <f t="shared" si="13"/>
        <v>0.25040700358104112</v>
      </c>
      <c r="J31" s="22">
        <f t="shared" si="13"/>
        <v>0.24955979291383121</v>
      </c>
      <c r="K31" s="22">
        <f t="shared" si="13"/>
        <v>0.24816451753136917</v>
      </c>
    </row>
    <row r="32" spans="3:14" ht="15" customHeight="1">
      <c r="C32" s="28"/>
      <c r="D32" s="19"/>
      <c r="E32" s="19"/>
      <c r="F32" s="19"/>
      <c r="G32" s="19"/>
      <c r="H32" s="19"/>
      <c r="I32" s="19"/>
      <c r="J32" s="19"/>
      <c r="K32" s="19"/>
    </row>
    <row r="33" spans="3:11" ht="15" customHeight="1">
      <c r="C33" s="29" t="s">
        <v>122</v>
      </c>
      <c r="D33" s="30">
        <f>$D$10</f>
        <v>1449450084</v>
      </c>
      <c r="E33" s="30">
        <f t="shared" ref="E33:K33" si="14">$D$10</f>
        <v>1449450084</v>
      </c>
      <c r="F33" s="30">
        <f t="shared" si="14"/>
        <v>1449450084</v>
      </c>
      <c r="G33" s="30">
        <f t="shared" si="14"/>
        <v>1449450084</v>
      </c>
      <c r="H33" s="30">
        <f t="shared" si="14"/>
        <v>1449450084</v>
      </c>
      <c r="I33" s="30">
        <f t="shared" si="14"/>
        <v>1449450084</v>
      </c>
      <c r="J33" s="30">
        <f t="shared" si="14"/>
        <v>1449450084</v>
      </c>
      <c r="K33" s="30">
        <f t="shared" si="14"/>
        <v>1449450084</v>
      </c>
    </row>
    <row r="34" spans="3:11" ht="15" customHeight="1">
      <c r="C34" s="29" t="s">
        <v>121</v>
      </c>
      <c r="D34" s="31">
        <f>D27/D33</f>
        <v>0.32671844324098848</v>
      </c>
      <c r="E34" s="31">
        <f t="shared" ref="E34:K34" si="15">E27/E33</f>
        <v>0.56367031746641372</v>
      </c>
      <c r="F34" s="31">
        <f t="shared" si="15"/>
        <v>0.66774725648296285</v>
      </c>
      <c r="G34" s="31">
        <f t="shared" ca="1" si="15"/>
        <v>1.007715897429408</v>
      </c>
      <c r="H34" s="31">
        <f t="shared" ca="1" si="15"/>
        <v>1.2702790403220103</v>
      </c>
      <c r="I34" s="31">
        <f t="shared" ca="1" si="15"/>
        <v>1.551790292394148</v>
      </c>
      <c r="J34" s="31">
        <f t="shared" ca="1" si="15"/>
        <v>1.8346616472956547</v>
      </c>
      <c r="K34" s="31">
        <f t="shared" ca="1" si="15"/>
        <v>2.1071110582764447</v>
      </c>
    </row>
    <row r="35" spans="3:11" ht="15" customHeight="1">
      <c r="C35" s="25"/>
      <c r="D35" s="19"/>
      <c r="E35" s="19"/>
      <c r="F35" s="19"/>
      <c r="H35" s="19"/>
      <c r="I35" s="19"/>
      <c r="J35" s="19"/>
      <c r="K35" s="19"/>
    </row>
    <row r="36" spans="3:11" ht="15" customHeight="1">
      <c r="C36" s="32" t="s">
        <v>49</v>
      </c>
      <c r="D36" s="33"/>
      <c r="E36" s="33"/>
      <c r="F36" s="19"/>
      <c r="H36" s="33"/>
      <c r="I36" s="33"/>
      <c r="J36" s="33"/>
      <c r="K36" s="33"/>
    </row>
    <row r="37" spans="3:11" ht="15" customHeight="1">
      <c r="C37" s="25" t="s">
        <v>46</v>
      </c>
      <c r="D37" s="67"/>
      <c r="E37" s="67">
        <f>+E16/D16-1</f>
        <v>0.50763423632391569</v>
      </c>
      <c r="F37" s="256">
        <f>+F16/E16-1</f>
        <v>0.33334610829075029</v>
      </c>
      <c r="G37" s="259">
        <v>0.45</v>
      </c>
      <c r="H37" s="259">
        <v>0.25</v>
      </c>
      <c r="I37" s="259">
        <v>0.17</v>
      </c>
      <c r="J37" s="259">
        <v>0.13</v>
      </c>
      <c r="K37" s="259">
        <v>0.11</v>
      </c>
    </row>
    <row r="38" spans="3:11" ht="15" customHeight="1">
      <c r="C38" s="25" t="s">
        <v>47</v>
      </c>
      <c r="D38" s="67">
        <f>D18/D16</f>
        <v>0.33616735927528729</v>
      </c>
      <c r="E38" s="67">
        <f t="shared" ref="E38:F38" si="16">E18/E16</f>
        <v>0.3714383960763788</v>
      </c>
      <c r="F38" s="67">
        <f t="shared" si="16"/>
        <v>0.39551200635046363</v>
      </c>
      <c r="G38" s="261">
        <v>0.4</v>
      </c>
      <c r="H38" s="261">
        <f>+G38</f>
        <v>0.4</v>
      </c>
      <c r="I38" s="261">
        <f t="shared" ref="I38:K38" si="17">+H38</f>
        <v>0.4</v>
      </c>
      <c r="J38" s="261">
        <f t="shared" si="17"/>
        <v>0.4</v>
      </c>
      <c r="K38" s="261">
        <f t="shared" si="17"/>
        <v>0.4</v>
      </c>
    </row>
    <row r="39" spans="3:11" ht="15" customHeight="1">
      <c r="C39" s="25" t="s">
        <v>59</v>
      </c>
      <c r="D39" s="67">
        <f>-D19/D16</f>
        <v>0.13745371997345587</v>
      </c>
      <c r="E39" s="67">
        <f>-E19/E16</f>
        <v>0.13832873320452799</v>
      </c>
      <c r="F39" s="67">
        <f>-F19/F16</f>
        <v>0.17009631317683924</v>
      </c>
      <c r="G39" s="261">
        <v>0.17</v>
      </c>
      <c r="H39" s="261">
        <f>+G39</f>
        <v>0.17</v>
      </c>
      <c r="I39" s="261">
        <f t="shared" ref="I39:K39" si="18">+H39</f>
        <v>0.17</v>
      </c>
      <c r="J39" s="261">
        <f t="shared" si="18"/>
        <v>0.17</v>
      </c>
      <c r="K39" s="261">
        <f t="shared" si="18"/>
        <v>0.17</v>
      </c>
    </row>
    <row r="40" spans="3:11" ht="15" customHeight="1">
      <c r="C40" s="25" t="s">
        <v>48</v>
      </c>
      <c r="D40" s="257">
        <f>-(D26/D25)</f>
        <v>0.22250700584923003</v>
      </c>
      <c r="E40" s="257">
        <f>-(E26/E25)</f>
        <v>0.24606643495506073</v>
      </c>
      <c r="F40" s="257">
        <f>-(F26/F25)</f>
        <v>0.26626732698102751</v>
      </c>
      <c r="G40" s="35">
        <v>0.22500000000000001</v>
      </c>
      <c r="H40" s="34">
        <f>+G40</f>
        <v>0.22500000000000001</v>
      </c>
      <c r="I40" s="34">
        <f t="shared" ref="I40:K40" si="19">+H40</f>
        <v>0.22500000000000001</v>
      </c>
      <c r="J40" s="34">
        <f t="shared" si="19"/>
        <v>0.22500000000000001</v>
      </c>
      <c r="K40" s="34">
        <f t="shared" si="19"/>
        <v>0.22500000000000001</v>
      </c>
    </row>
    <row r="41" spans="3:11" ht="15" customHeight="1">
      <c r="C41" s="25" t="s">
        <v>118</v>
      </c>
      <c r="D41" s="36">
        <f>+D60/D16*365</f>
        <v>65.882825051171451</v>
      </c>
      <c r="E41" s="36">
        <f>+E60/E16*365</f>
        <v>71.864431064394338</v>
      </c>
      <c r="F41" s="36">
        <f>+F60/F16*365</f>
        <v>62.697504477371794</v>
      </c>
      <c r="G41" s="36">
        <f>$F41</f>
        <v>62.697504477371794</v>
      </c>
      <c r="H41" s="36">
        <f t="shared" ref="H41:K43" si="20">$F41</f>
        <v>62.697504477371794</v>
      </c>
      <c r="I41" s="36">
        <f t="shared" si="20"/>
        <v>62.697504477371794</v>
      </c>
      <c r="J41" s="36">
        <f t="shared" si="20"/>
        <v>62.697504477371794</v>
      </c>
      <c r="K41" s="36">
        <f t="shared" si="20"/>
        <v>62.697504477371794</v>
      </c>
    </row>
    <row r="42" spans="3:11" ht="15" customHeight="1">
      <c r="C42" s="25" t="s">
        <v>119</v>
      </c>
      <c r="D42" s="36">
        <f>+D59/-D17*365</f>
        <v>44.655992098815453</v>
      </c>
      <c r="E42" s="36">
        <f>+E59/-E17*365</f>
        <v>34.337674879452756</v>
      </c>
      <c r="F42" s="36">
        <f>+F59/-F17*365</f>
        <v>23.504716066196615</v>
      </c>
      <c r="G42" s="36">
        <f>$F42</f>
        <v>23.504716066196615</v>
      </c>
      <c r="H42" s="36">
        <f t="shared" si="20"/>
        <v>23.504716066196615</v>
      </c>
      <c r="I42" s="36">
        <f t="shared" si="20"/>
        <v>23.504716066196615</v>
      </c>
      <c r="J42" s="36">
        <f t="shared" si="20"/>
        <v>23.504716066196615</v>
      </c>
      <c r="K42" s="36">
        <f t="shared" si="20"/>
        <v>23.504716066196615</v>
      </c>
    </row>
    <row r="43" spans="3:11" ht="15" customHeight="1">
      <c r="C43" s="25" t="s">
        <v>120</v>
      </c>
      <c r="D43" s="36">
        <f>+D78/-D17*365</f>
        <v>148.43431242525227</v>
      </c>
      <c r="E43" s="36">
        <f>+E78/-E17*365</f>
        <v>167.75356126813384</v>
      </c>
      <c r="F43" s="36">
        <f>+F78/-F17*365</f>
        <v>164.99898155774886</v>
      </c>
      <c r="G43" s="36">
        <f>$F43</f>
        <v>164.99898155774886</v>
      </c>
      <c r="H43" s="36">
        <f t="shared" si="20"/>
        <v>164.99898155774886</v>
      </c>
      <c r="I43" s="36">
        <f t="shared" si="20"/>
        <v>164.99898155774886</v>
      </c>
      <c r="J43" s="36">
        <f t="shared" si="20"/>
        <v>164.99898155774886</v>
      </c>
      <c r="K43" s="36">
        <f t="shared" si="20"/>
        <v>164.99898155774886</v>
      </c>
    </row>
    <row r="44" spans="3:11" ht="15" customHeight="1">
      <c r="C44" s="25" t="s">
        <v>240</v>
      </c>
      <c r="D44" s="254">
        <f>D41+D42-D43</f>
        <v>-37.895495275265375</v>
      </c>
      <c r="E44" s="254">
        <f>E41+E42-E43</f>
        <v>-61.551455324286735</v>
      </c>
      <c r="F44" s="254">
        <f>F41+F42-F43</f>
        <v>-78.796761014180447</v>
      </c>
      <c r="G44" s="36"/>
      <c r="H44" s="36"/>
      <c r="I44" s="36"/>
      <c r="J44" s="36"/>
      <c r="K44" s="36"/>
    </row>
    <row r="45" spans="3:11" ht="15" customHeight="1">
      <c r="C45" s="25" t="s">
        <v>241</v>
      </c>
      <c r="D45" s="224"/>
      <c r="E45" s="224"/>
      <c r="F45" s="224"/>
      <c r="G45" s="224">
        <f xml:space="preserve"> (ABS(F20))/F16</f>
        <v>1.9244930051999232E-2</v>
      </c>
      <c r="H45" s="224">
        <f t="shared" ref="H45:K45" si="21" xml:space="preserve"> (ABS(G20))/G16</f>
        <v>1.9244930051999232E-2</v>
      </c>
      <c r="I45" s="224">
        <f t="shared" si="21"/>
        <v>1.9244930051999232E-2</v>
      </c>
      <c r="J45" s="224">
        <f t="shared" si="21"/>
        <v>1.9244930051999232E-2</v>
      </c>
      <c r="K45" s="224">
        <f t="shared" si="21"/>
        <v>1.9244930051999232E-2</v>
      </c>
    </row>
    <row r="46" spans="3:11" ht="15" customHeight="1">
      <c r="C46" s="25" t="s">
        <v>242</v>
      </c>
      <c r="D46" s="260">
        <v>0.109</v>
      </c>
      <c r="E46" s="260">
        <v>0.11459999999999999</v>
      </c>
      <c r="F46" s="260">
        <v>0.14879999999999999</v>
      </c>
      <c r="G46" s="260">
        <v>0.14899999999999999</v>
      </c>
      <c r="H46" s="224">
        <f t="shared" ref="H46:H50" si="22">G46</f>
        <v>0.14899999999999999</v>
      </c>
      <c r="I46" s="224">
        <f t="shared" ref="I46:K46" si="23">H46</f>
        <v>0.14899999999999999</v>
      </c>
      <c r="J46" s="224">
        <f t="shared" si="23"/>
        <v>0.14899999999999999</v>
      </c>
      <c r="K46" s="224">
        <f t="shared" si="23"/>
        <v>0.14899999999999999</v>
      </c>
    </row>
    <row r="47" spans="3:11" ht="15" customHeight="1">
      <c r="C47" s="25" t="s">
        <v>230</v>
      </c>
      <c r="D47" s="254"/>
      <c r="E47" s="260">
        <v>0.48899999999999999</v>
      </c>
      <c r="F47" s="260">
        <v>0.36699999999999999</v>
      </c>
      <c r="G47" s="260">
        <v>0.3</v>
      </c>
      <c r="H47" s="224">
        <v>0.18</v>
      </c>
      <c r="I47" s="224">
        <v>0.12</v>
      </c>
      <c r="J47" s="224">
        <v>0.09</v>
      </c>
      <c r="K47" s="224">
        <v>7.0000000000000007E-2</v>
      </c>
    </row>
    <row r="48" spans="3:11" ht="15" customHeight="1">
      <c r="C48" s="25" t="s">
        <v>243</v>
      </c>
      <c r="D48" s="224"/>
      <c r="E48" s="224">
        <f>E29/D65</f>
        <v>0.1190249620311802</v>
      </c>
      <c r="F48" s="224">
        <f>F29/E65</f>
        <v>5.3876816472455853E-2</v>
      </c>
      <c r="G48" s="260">
        <v>0.05</v>
      </c>
      <c r="H48" s="224">
        <f t="shared" si="22"/>
        <v>0.05</v>
      </c>
      <c r="I48" s="224">
        <f t="shared" ref="I48:K48" si="24">H48</f>
        <v>0.05</v>
      </c>
      <c r="J48" s="224">
        <f t="shared" si="24"/>
        <v>0.05</v>
      </c>
      <c r="K48" s="224">
        <f t="shared" si="24"/>
        <v>0.05</v>
      </c>
    </row>
    <row r="49" spans="3:11" ht="15" customHeight="1">
      <c r="C49" s="25" t="s">
        <v>93</v>
      </c>
      <c r="D49" s="224"/>
      <c r="E49" s="224"/>
      <c r="F49" s="260">
        <v>0.17299999999999999</v>
      </c>
      <c r="G49" s="260">
        <v>0.15</v>
      </c>
      <c r="H49" s="224">
        <f t="shared" si="22"/>
        <v>0.15</v>
      </c>
      <c r="I49" s="224">
        <f t="shared" ref="I49:K49" si="25">H49</f>
        <v>0.15</v>
      </c>
      <c r="J49" s="224">
        <f t="shared" si="25"/>
        <v>0.15</v>
      </c>
      <c r="K49" s="224">
        <f t="shared" si="25"/>
        <v>0.15</v>
      </c>
    </row>
    <row r="50" spans="3:11" ht="15" customHeight="1">
      <c r="C50" s="25" t="s">
        <v>244</v>
      </c>
      <c r="D50" s="254"/>
      <c r="E50" s="254"/>
      <c r="F50" s="254"/>
      <c r="G50" s="255">
        <v>250000000</v>
      </c>
      <c r="H50" s="258">
        <f t="shared" si="22"/>
        <v>250000000</v>
      </c>
      <c r="I50" s="258">
        <f t="shared" ref="I50:K50" si="26">H50</f>
        <v>250000000</v>
      </c>
      <c r="J50" s="258">
        <f t="shared" si="26"/>
        <v>250000000</v>
      </c>
      <c r="K50" s="258">
        <f t="shared" si="26"/>
        <v>250000000</v>
      </c>
    </row>
    <row r="51" spans="3:11" ht="15" customHeight="1">
      <c r="C51" s="25"/>
      <c r="D51" s="36"/>
      <c r="E51" s="36"/>
      <c r="F51" s="36"/>
      <c r="G51" s="36"/>
      <c r="H51" s="36"/>
      <c r="I51" s="36"/>
      <c r="J51" s="36"/>
      <c r="K51" s="36"/>
    </row>
    <row r="52" spans="3:11" customFormat="1">
      <c r="C52" s="73" t="s">
        <v>126</v>
      </c>
      <c r="D52" s="80"/>
      <c r="E52" s="80"/>
      <c r="F52" s="80"/>
      <c r="G52" s="74"/>
      <c r="H52" s="74"/>
      <c r="I52" s="74"/>
      <c r="J52" s="74"/>
      <c r="K52" s="74"/>
    </row>
    <row r="53" spans="3:11" customFormat="1">
      <c r="C53" t="s">
        <v>124</v>
      </c>
      <c r="D53" s="75">
        <f>D$13</f>
        <v>2023</v>
      </c>
      <c r="E53" s="75">
        <f t="shared" ref="E53:K53" si="27">E$13</f>
        <v>2024</v>
      </c>
      <c r="F53" s="75">
        <f t="shared" si="27"/>
        <v>2025</v>
      </c>
      <c r="G53" s="76">
        <f t="shared" si="27"/>
        <v>2026</v>
      </c>
      <c r="H53" s="76">
        <f t="shared" si="27"/>
        <v>2027</v>
      </c>
      <c r="I53" s="76">
        <f t="shared" si="27"/>
        <v>2028</v>
      </c>
      <c r="J53" s="76">
        <f t="shared" si="27"/>
        <v>2029</v>
      </c>
      <c r="K53" s="76">
        <f t="shared" si="27"/>
        <v>2030</v>
      </c>
    </row>
    <row r="54" spans="3:11" customFormat="1">
      <c r="C54" s="77" t="s">
        <v>125</v>
      </c>
      <c r="D54" s="78">
        <f>D$14</f>
        <v>45291</v>
      </c>
      <c r="E54" s="78">
        <f t="shared" ref="E54:K54" si="28">E$14</f>
        <v>45657</v>
      </c>
      <c r="F54" s="78">
        <f t="shared" si="28"/>
        <v>46022</v>
      </c>
      <c r="G54" s="78">
        <f t="shared" si="28"/>
        <v>46387</v>
      </c>
      <c r="H54" s="78">
        <f t="shared" si="28"/>
        <v>46752</v>
      </c>
      <c r="I54" s="78">
        <f t="shared" si="28"/>
        <v>47118</v>
      </c>
      <c r="J54" s="78">
        <f t="shared" si="28"/>
        <v>47483</v>
      </c>
      <c r="K54" s="78">
        <f t="shared" si="28"/>
        <v>47848</v>
      </c>
    </row>
    <row r="55" spans="3:11" s="58" customFormat="1" ht="15" customHeight="1">
      <c r="C55" s="79" t="s">
        <v>5</v>
      </c>
    </row>
    <row r="56" spans="3:11" ht="15" customHeight="1"/>
    <row r="57" spans="3:11" ht="15" customHeight="1">
      <c r="C57" s="18" t="s">
        <v>6</v>
      </c>
    </row>
    <row r="58" spans="3:11" ht="15" customHeight="1">
      <c r="C58" s="25" t="s">
        <v>60</v>
      </c>
      <c r="D58" s="13">
        <v>357897117</v>
      </c>
      <c r="E58" s="13">
        <v>473215037</v>
      </c>
      <c r="F58" s="13">
        <v>547542841</v>
      </c>
      <c r="G58" s="37">
        <f ca="1">F58+G137</f>
        <v>250000000</v>
      </c>
      <c r="H58" s="37">
        <f t="shared" ref="H58:K58" ca="1" si="29">G58+H137</f>
        <v>250000000</v>
      </c>
      <c r="I58" s="37">
        <f t="shared" ca="1" si="29"/>
        <v>250000000</v>
      </c>
      <c r="J58" s="37">
        <f t="shared" ca="1" si="29"/>
        <v>1529831756.7316737</v>
      </c>
      <c r="K58" s="37">
        <f t="shared" ca="1" si="29"/>
        <v>3748909927.9297304</v>
      </c>
    </row>
    <row r="59" spans="3:11" ht="15" customHeight="1">
      <c r="C59" s="25" t="s">
        <v>61</v>
      </c>
      <c r="D59" s="13">
        <v>291998445</v>
      </c>
      <c r="E59" s="13">
        <v>320521316</v>
      </c>
      <c r="F59" s="13">
        <v>281335004</v>
      </c>
      <c r="G59" s="37">
        <f>-G17*G42/365</f>
        <v>404907055.31184661</v>
      </c>
      <c r="H59" s="37">
        <f>-H17*H42/365</f>
        <v>506133819.13980824</v>
      </c>
      <c r="I59" s="37">
        <f>-I17*I42/365</f>
        <v>592176568.39357555</v>
      </c>
      <c r="J59" s="37">
        <f>-J17*J42/365</f>
        <v>669159522.28474033</v>
      </c>
      <c r="K59" s="37">
        <f>-K17*K42/365</f>
        <v>742767069.73606181</v>
      </c>
    </row>
    <row r="60" spans="3:11" ht="15" customHeight="1">
      <c r="C60" s="25" t="s">
        <v>62</v>
      </c>
      <c r="D60" s="13">
        <f>648472394+482343</f>
        <v>648954737</v>
      </c>
      <c r="E60" s="13">
        <f>1046760855+20454773</f>
        <v>1067215628</v>
      </c>
      <c r="F60" s="13">
        <v>1241456016</v>
      </c>
      <c r="G60" s="37">
        <f>+G16*G41/365</f>
        <v>1800111223.2</v>
      </c>
      <c r="H60" s="37">
        <f>+H16*H41/365</f>
        <v>2250139029.0000005</v>
      </c>
      <c r="I60" s="37">
        <f>+I16*I41/365</f>
        <v>2632662663.9300003</v>
      </c>
      <c r="J60" s="37">
        <f>+J16*J41/365</f>
        <v>2974908810.2408996</v>
      </c>
      <c r="K60" s="37">
        <f>+K16*K41/365</f>
        <v>3302148779.3673987</v>
      </c>
    </row>
    <row r="61" spans="3:11" ht="15" customHeight="1">
      <c r="C61" s="25" t="s">
        <v>63</v>
      </c>
      <c r="D61" s="13">
        <v>468277071</v>
      </c>
      <c r="E61" s="13">
        <v>597203334</v>
      </c>
      <c r="F61" s="13">
        <v>292992065</v>
      </c>
      <c r="G61" s="37">
        <f>F61*(1+G37)</f>
        <v>424838494.25</v>
      </c>
      <c r="H61" s="37">
        <f>G61*(1+H37)</f>
        <v>531048117.8125</v>
      </c>
      <c r="I61" s="37">
        <f>H61*(1+I37)</f>
        <v>621326297.84062493</v>
      </c>
      <c r="J61" s="37">
        <f>I61*(1+J37)</f>
        <v>702098716.55990613</v>
      </c>
      <c r="K61" s="37">
        <f>J61*(1+K37)</f>
        <v>779329575.38149583</v>
      </c>
    </row>
    <row r="62" spans="3:11" ht="15" customHeight="1">
      <c r="C62" s="15" t="s">
        <v>7</v>
      </c>
      <c r="D62" s="16">
        <f>SUM(D58:D61)</f>
        <v>1767127370</v>
      </c>
      <c r="E62" s="16">
        <f>SUM(E58:E61)</f>
        <v>2458155315</v>
      </c>
      <c r="F62" s="16">
        <f>SUM(F58:F61)</f>
        <v>2363325926</v>
      </c>
      <c r="G62" s="16">
        <f ca="1">SUM(G58:G61)</f>
        <v>2879856772.7618465</v>
      </c>
      <c r="H62" s="16">
        <f t="shared" ref="H62:K62" ca="1" si="30">SUM(H58:H61)</f>
        <v>3537320965.9523087</v>
      </c>
      <c r="I62" s="16">
        <f t="shared" ca="1" si="30"/>
        <v>4096165530.1642008</v>
      </c>
      <c r="J62" s="16">
        <f t="shared" ca="1" si="30"/>
        <v>5875998805.8172197</v>
      </c>
      <c r="K62" s="16">
        <f t="shared" ca="1" si="30"/>
        <v>8573155352.4146872</v>
      </c>
    </row>
    <row r="63" spans="3:11" ht="15" customHeight="1">
      <c r="E63" s="26"/>
      <c r="F63" s="26"/>
      <c r="G63" s="26"/>
      <c r="H63" s="26"/>
      <c r="I63" s="26"/>
      <c r="J63" s="26"/>
      <c r="K63" s="26"/>
    </row>
    <row r="64" spans="3:11" ht="15" customHeight="1">
      <c r="C64" s="18" t="s">
        <v>8</v>
      </c>
      <c r="E64" s="26"/>
      <c r="F64" s="26"/>
      <c r="G64" s="26"/>
      <c r="H64" s="26"/>
      <c r="I64" s="26"/>
      <c r="J64" s="26"/>
      <c r="K64" s="26"/>
    </row>
    <row r="65" spans="3:11" ht="15" customHeight="1">
      <c r="C65" s="39" t="s">
        <v>95</v>
      </c>
      <c r="D65" s="13">
        <f>2176609189+133173560</f>
        <v>2309782749</v>
      </c>
      <c r="E65" s="13">
        <f>4642232226+75608167</f>
        <v>4717840393</v>
      </c>
      <c r="F65" s="13">
        <f>7072923092+132920919</f>
        <v>7205844011</v>
      </c>
      <c r="G65" s="37">
        <f>G148</f>
        <v>9989411850.5500011</v>
      </c>
      <c r="H65" s="37">
        <f t="shared" ref="H65:K65" si="31">H148</f>
        <v>11847836288.0975</v>
      </c>
      <c r="I65" s="37">
        <f t="shared" si="31"/>
        <v>13094602597.151125</v>
      </c>
      <c r="J65" s="37">
        <f t="shared" si="31"/>
        <v>13998558976.924648</v>
      </c>
      <c r="K65" s="37">
        <f t="shared" si="31"/>
        <v>14644297048.059914</v>
      </c>
    </row>
    <row r="66" spans="3:11" ht="15" customHeight="1">
      <c r="C66" s="25" t="s">
        <v>64</v>
      </c>
      <c r="D66" s="13">
        <f>355192334+52113825</f>
        <v>407306159</v>
      </c>
      <c r="E66" s="13">
        <f>355192334+50044541</f>
        <v>405236875</v>
      </c>
      <c r="F66" s="13">
        <f>355192334+47975257</f>
        <v>403167591</v>
      </c>
      <c r="G66" s="37">
        <f>F66</f>
        <v>403167591</v>
      </c>
      <c r="H66" s="37">
        <f t="shared" ref="H66:K66" si="32">G66</f>
        <v>403167591</v>
      </c>
      <c r="I66" s="37">
        <f t="shared" si="32"/>
        <v>403167591</v>
      </c>
      <c r="J66" s="37">
        <f t="shared" si="32"/>
        <v>403167591</v>
      </c>
      <c r="K66" s="37">
        <f t="shared" si="32"/>
        <v>403167591</v>
      </c>
    </row>
    <row r="67" spans="3:11" ht="15" customHeight="1">
      <c r="C67" s="25" t="s">
        <v>96</v>
      </c>
      <c r="D67" s="13">
        <v>3810927</v>
      </c>
      <c r="E67" s="13">
        <v>8519964</v>
      </c>
      <c r="F67" s="13">
        <f>18585651+250336106</f>
        <v>268921757</v>
      </c>
      <c r="G67" s="37">
        <f>G165</f>
        <v>258442223.53299999</v>
      </c>
      <c r="H67" s="37">
        <f t="shared" ref="H67:K67" si="33">H165</f>
        <v>245342806.69924998</v>
      </c>
      <c r="I67" s="37">
        <f t="shared" si="33"/>
        <v>230016489.00376248</v>
      </c>
      <c r="J67" s="37">
        <f t="shared" si="33"/>
        <v>212697750.00786161</v>
      </c>
      <c r="K67" s="37">
        <f t="shared" si="33"/>
        <v>193473949.72241163</v>
      </c>
    </row>
    <row r="68" spans="3:11" ht="15" customHeight="1">
      <c r="C68" s="15" t="s">
        <v>9</v>
      </c>
      <c r="D68" s="16">
        <f>SUM(D65:D67)</f>
        <v>2720899835</v>
      </c>
      <c r="E68" s="16">
        <f>SUM(E65:E67)</f>
        <v>5131597232</v>
      </c>
      <c r="F68" s="16">
        <f>SUM(F65:F67)</f>
        <v>7877933359</v>
      </c>
      <c r="G68" s="16">
        <f t="shared" ref="G68:K68" si="34">SUM(G65:G67)</f>
        <v>10651021665.083</v>
      </c>
      <c r="H68" s="16">
        <f t="shared" si="34"/>
        <v>12496346685.796749</v>
      </c>
      <c r="I68" s="16">
        <f t="shared" si="34"/>
        <v>13727786677.154888</v>
      </c>
      <c r="J68" s="16">
        <f t="shared" si="34"/>
        <v>14614424317.93251</v>
      </c>
      <c r="K68" s="16">
        <f t="shared" si="34"/>
        <v>15240938588.782326</v>
      </c>
    </row>
    <row r="69" spans="3:11" ht="15" customHeight="1">
      <c r="E69" s="30"/>
      <c r="F69" s="30"/>
      <c r="G69" s="30"/>
      <c r="H69" s="30"/>
      <c r="I69" s="30"/>
      <c r="J69" s="30"/>
      <c r="K69" s="30"/>
    </row>
    <row r="70" spans="3:11" ht="15" customHeight="1">
      <c r="C70" s="18" t="s">
        <v>10</v>
      </c>
      <c r="D70" s="19">
        <f>+D62+D68</f>
        <v>4488027205</v>
      </c>
      <c r="E70" s="19">
        <f>+E62+E68</f>
        <v>7589752547</v>
      </c>
      <c r="F70" s="19">
        <f>+F62+F68</f>
        <v>10241259285</v>
      </c>
      <c r="G70" s="19">
        <f t="shared" ref="G70:K70" ca="1" si="35">+G62+G68</f>
        <v>13530878437.844847</v>
      </c>
      <c r="H70" s="19">
        <f t="shared" ca="1" si="35"/>
        <v>16033667651.749058</v>
      </c>
      <c r="I70" s="19">
        <f t="shared" ca="1" si="35"/>
        <v>17823952207.319088</v>
      </c>
      <c r="J70" s="19">
        <f t="shared" ca="1" si="35"/>
        <v>20490423123.749729</v>
      </c>
      <c r="K70" s="19">
        <f t="shared" ca="1" si="35"/>
        <v>23814093941.197014</v>
      </c>
    </row>
    <row r="71" spans="3:11" ht="15" customHeight="1">
      <c r="E71" s="26"/>
      <c r="F71" s="26"/>
      <c r="G71" s="26"/>
      <c r="H71" s="26"/>
      <c r="I71" s="26"/>
      <c r="J71" s="26"/>
      <c r="K71" s="26"/>
    </row>
    <row r="72" spans="3:11" s="58" customFormat="1" ht="15" customHeight="1">
      <c r="C72" s="79" t="s">
        <v>11</v>
      </c>
      <c r="D72" s="81"/>
      <c r="E72" s="82"/>
      <c r="F72" s="82"/>
      <c r="G72" s="82"/>
      <c r="H72" s="82"/>
      <c r="I72" s="82"/>
      <c r="J72" s="82"/>
      <c r="K72" s="82"/>
    </row>
    <row r="73" spans="3:11" ht="15" customHeight="1">
      <c r="E73" s="26"/>
      <c r="F73" s="26"/>
      <c r="G73" s="26"/>
      <c r="H73" s="26"/>
      <c r="I73" s="26"/>
      <c r="J73" s="26"/>
      <c r="K73" s="26"/>
    </row>
    <row r="74" spans="3:11" ht="15" customHeight="1">
      <c r="C74" s="18" t="s">
        <v>12</v>
      </c>
      <c r="E74" s="26"/>
      <c r="F74" s="26"/>
      <c r="G74" s="26"/>
      <c r="H74" s="26"/>
      <c r="I74" s="26"/>
      <c r="J74" s="26"/>
      <c r="K74" s="26"/>
    </row>
    <row r="75" spans="3:11" ht="15" customHeight="1">
      <c r="C75" s="25" t="s">
        <v>65</v>
      </c>
      <c r="D75" s="13">
        <v>252992341</v>
      </c>
      <c r="E75" s="13">
        <v>302160797</v>
      </c>
      <c r="F75" s="13">
        <v>391325194</v>
      </c>
      <c r="G75" s="37">
        <f ca="1">G209</f>
        <v>1295745618.77474</v>
      </c>
      <c r="H75" s="37">
        <f t="shared" ref="H75:K75" ca="1" si="36">H209</f>
        <v>1285562982.1992133</v>
      </c>
      <c r="I75" s="37">
        <f t="shared" ca="1" si="36"/>
        <v>342944400.95166385</v>
      </c>
      <c r="J75" s="37">
        <f t="shared" ca="1" si="36"/>
        <v>0</v>
      </c>
      <c r="K75" s="37">
        <f t="shared" ca="1" si="36"/>
        <v>0</v>
      </c>
    </row>
    <row r="76" spans="3:11" ht="15" customHeight="1">
      <c r="C76" s="25" t="s">
        <v>66</v>
      </c>
      <c r="D76" s="13">
        <v>65923233</v>
      </c>
      <c r="E76" s="13">
        <v>137505626</v>
      </c>
      <c r="F76" s="13">
        <v>451063593</v>
      </c>
      <c r="G76" s="37">
        <f>F76</f>
        <v>451063593</v>
      </c>
      <c r="H76" s="37">
        <f t="shared" ref="H76:K76" si="37">G76</f>
        <v>451063593</v>
      </c>
      <c r="I76" s="37">
        <f t="shared" si="37"/>
        <v>451063593</v>
      </c>
      <c r="J76" s="37">
        <f t="shared" si="37"/>
        <v>451063593</v>
      </c>
      <c r="K76" s="37">
        <f t="shared" si="37"/>
        <v>451063593</v>
      </c>
    </row>
    <row r="77" spans="3:11" ht="15" customHeight="1">
      <c r="C77" s="25" t="s">
        <v>67</v>
      </c>
      <c r="D77" s="13">
        <v>45673809</v>
      </c>
      <c r="E77" s="13">
        <v>46833150</v>
      </c>
      <c r="F77" s="13">
        <v>53418784</v>
      </c>
      <c r="G77" s="37">
        <f>F77*(1+G37)</f>
        <v>77457236.799999997</v>
      </c>
      <c r="H77" s="37">
        <f>G77*(1+H37)</f>
        <v>96821546</v>
      </c>
      <c r="I77" s="37">
        <f>H77*(1+I37)</f>
        <v>113281208.81999999</v>
      </c>
      <c r="J77" s="37">
        <f>I77*(1+J37)</f>
        <v>128007765.96659999</v>
      </c>
      <c r="K77" s="37">
        <f>J77*(1+K37)</f>
        <v>142088620.22292599</v>
      </c>
    </row>
    <row r="78" spans="3:11" ht="15" customHeight="1">
      <c r="C78" s="25" t="s">
        <v>14</v>
      </c>
      <c r="D78" s="13">
        <f>928098411+42490000</f>
        <v>970588411</v>
      </c>
      <c r="E78" s="13">
        <f>1523387492+42490000</f>
        <v>1565877492</v>
      </c>
      <c r="F78" s="13">
        <f>1932432352+42490000</f>
        <v>1974922352</v>
      </c>
      <c r="G78" s="37">
        <f>-G17*G43/365</f>
        <v>2842376464.5293341</v>
      </c>
      <c r="H78" s="37">
        <f>-H17*H43/365</f>
        <v>3552970580.6616678</v>
      </c>
      <c r="I78" s="37">
        <f>-I17*I43/365</f>
        <v>4156975579.3741512</v>
      </c>
      <c r="J78" s="37">
        <f>-J17*J43/365</f>
        <v>4697382404.6927891</v>
      </c>
      <c r="K78" s="37">
        <f>-K17*K43/365</f>
        <v>5214094469.2089968</v>
      </c>
    </row>
    <row r="79" spans="3:11" ht="15" customHeight="1">
      <c r="C79" s="25" t="s">
        <v>68</v>
      </c>
      <c r="D79" s="13">
        <v>75572027</v>
      </c>
      <c r="E79" s="13">
        <v>198978751</v>
      </c>
      <c r="F79" s="13">
        <v>284221057</v>
      </c>
      <c r="G79" s="37">
        <f>F79*(1+G37)</f>
        <v>412120532.64999998</v>
      </c>
      <c r="H79" s="37">
        <f>G79*(1+H37)</f>
        <v>515150665.8125</v>
      </c>
      <c r="I79" s="37">
        <f>H79*(1+I37)</f>
        <v>602726279.00062501</v>
      </c>
      <c r="J79" s="37">
        <f>I79*(1+J37)</f>
        <v>681080695.27070618</v>
      </c>
      <c r="K79" s="37">
        <f>J79*(1+K37)</f>
        <v>755999571.75048387</v>
      </c>
    </row>
    <row r="80" spans="3:11" ht="15" customHeight="1">
      <c r="C80" s="25" t="s">
        <v>13</v>
      </c>
      <c r="D80" s="13">
        <v>20308471</v>
      </c>
      <c r="E80" s="13">
        <v>73091321</v>
      </c>
      <c r="F80" s="13">
        <v>81404628</v>
      </c>
      <c r="G80" s="37">
        <f>F80*(1+G37)</f>
        <v>118036710.59999999</v>
      </c>
      <c r="H80" s="37">
        <f>G80*(1+H37)</f>
        <v>147545888.25</v>
      </c>
      <c r="I80" s="37">
        <f>H80*(1+I37)</f>
        <v>172628689.2525</v>
      </c>
      <c r="J80" s="37">
        <f>I80*(1+J37)</f>
        <v>195070418.85532498</v>
      </c>
      <c r="K80" s="37">
        <f>J80*(1+K37)</f>
        <v>216528164.92941076</v>
      </c>
    </row>
    <row r="81" spans="3:13" ht="15" customHeight="1">
      <c r="C81" s="25" t="s">
        <v>237</v>
      </c>
      <c r="D81" s="13"/>
      <c r="E81" s="13"/>
      <c r="F81" s="13">
        <v>73961551</v>
      </c>
      <c r="G81" s="37">
        <f>F81</f>
        <v>73961551</v>
      </c>
      <c r="H81" s="37">
        <f t="shared" ref="H81:K81" si="38">G81</f>
        <v>73961551</v>
      </c>
      <c r="I81" s="37">
        <f t="shared" si="38"/>
        <v>73961551</v>
      </c>
      <c r="J81" s="37">
        <f t="shared" si="38"/>
        <v>73961551</v>
      </c>
      <c r="K81" s="37">
        <f t="shared" si="38"/>
        <v>73961551</v>
      </c>
      <c r="M81" s="40"/>
    </row>
    <row r="82" spans="3:13" ht="15" customHeight="1">
      <c r="C82" s="15" t="s">
        <v>15</v>
      </c>
      <c r="D82" s="16">
        <f>SUM(D75:D81)</f>
        <v>1431058292</v>
      </c>
      <c r="E82" s="16">
        <f>SUM(E75:E81)</f>
        <v>2324447137</v>
      </c>
      <c r="F82" s="16">
        <f>SUM(F75:F81)</f>
        <v>3310317159</v>
      </c>
      <c r="G82" s="16">
        <f t="shared" ref="G82:K82" ca="1" si="39">SUM(G75:G81)</f>
        <v>5270761707.3540745</v>
      </c>
      <c r="H82" s="16">
        <f t="shared" ca="1" si="39"/>
        <v>6123076806.9233809</v>
      </c>
      <c r="I82" s="16">
        <f t="shared" ca="1" si="39"/>
        <v>5913581301.3989391</v>
      </c>
      <c r="J82" s="16">
        <f t="shared" ca="1" si="39"/>
        <v>6226566428.7854204</v>
      </c>
      <c r="K82" s="16">
        <f t="shared" ca="1" si="39"/>
        <v>6853735970.1118174</v>
      </c>
    </row>
    <row r="83" spans="3:13" ht="15" customHeight="1">
      <c r="E83" s="26"/>
      <c r="F83" s="26"/>
      <c r="G83" s="26"/>
      <c r="H83" s="26"/>
      <c r="I83" s="26"/>
      <c r="J83" s="26"/>
      <c r="K83" s="26"/>
    </row>
    <row r="84" spans="3:13" ht="15" customHeight="1">
      <c r="C84" s="18" t="s">
        <v>16</v>
      </c>
      <c r="E84" s="26"/>
      <c r="F84" s="26"/>
      <c r="G84" s="26"/>
      <c r="H84" s="26"/>
      <c r="I84" s="26"/>
      <c r="J84" s="26"/>
      <c r="K84" s="26"/>
    </row>
    <row r="85" spans="3:13" ht="15" customHeight="1">
      <c r="C85" s="25" t="s">
        <v>69</v>
      </c>
      <c r="D85" s="13">
        <v>423009023</v>
      </c>
      <c r="E85" s="13">
        <v>1908817462</v>
      </c>
      <c r="F85" s="13">
        <v>2684749460</v>
      </c>
      <c r="G85" s="37">
        <f>F85</f>
        <v>2684749460</v>
      </c>
      <c r="H85" s="37">
        <f t="shared" ref="H85:K85" si="40">G85</f>
        <v>2684749460</v>
      </c>
      <c r="I85" s="37">
        <f t="shared" si="40"/>
        <v>2684749460</v>
      </c>
      <c r="J85" s="37">
        <f t="shared" si="40"/>
        <v>2684749460</v>
      </c>
      <c r="K85" s="37">
        <f t="shared" si="40"/>
        <v>2684749460</v>
      </c>
    </row>
    <row r="86" spans="3:13" ht="15" customHeight="1">
      <c r="C86" s="25" t="s">
        <v>70</v>
      </c>
      <c r="D86" s="13">
        <v>85882660</v>
      </c>
      <c r="E86" s="13">
        <v>62382913</v>
      </c>
      <c r="F86" s="13">
        <v>122201397</v>
      </c>
      <c r="G86" s="37">
        <f>F86*(1+G37)</f>
        <v>177192025.65000001</v>
      </c>
      <c r="H86" s="37">
        <f>G86*(1+H37)</f>
        <v>221490032.0625</v>
      </c>
      <c r="I86" s="37">
        <f>H86*(1+I37)</f>
        <v>259143337.51312497</v>
      </c>
      <c r="J86" s="37">
        <f>I86*(1+J37)</f>
        <v>292831971.38983119</v>
      </c>
      <c r="K86" s="37">
        <f>J86*(1+K37)</f>
        <v>325043488.24271262</v>
      </c>
    </row>
    <row r="87" spans="3:13" ht="15" customHeight="1">
      <c r="C87" s="25" t="s">
        <v>71</v>
      </c>
      <c r="D87" s="13">
        <v>101827221</v>
      </c>
      <c r="E87" s="13">
        <v>116307635</v>
      </c>
      <c r="F87" s="13">
        <v>83625726</v>
      </c>
      <c r="G87" s="37">
        <f>F87</f>
        <v>83625726</v>
      </c>
      <c r="H87" s="37">
        <f t="shared" ref="H87:K87" si="41">G87</f>
        <v>83625726</v>
      </c>
      <c r="I87" s="37">
        <f t="shared" si="41"/>
        <v>83625726</v>
      </c>
      <c r="J87" s="37">
        <f t="shared" si="41"/>
        <v>83625726</v>
      </c>
      <c r="K87" s="37">
        <f t="shared" si="41"/>
        <v>83625726</v>
      </c>
    </row>
    <row r="88" spans="3:13" ht="15" customHeight="1">
      <c r="C88" s="15" t="s">
        <v>17</v>
      </c>
      <c r="D88" s="16">
        <f>SUM(D85:D87)</f>
        <v>610718904</v>
      </c>
      <c r="E88" s="16">
        <f>SUM(E85:E87)</f>
        <v>2087508010</v>
      </c>
      <c r="F88" s="16">
        <f>SUM(F85:F87)</f>
        <v>2890576583</v>
      </c>
      <c r="G88" s="16">
        <f>SUM(G85:G87)</f>
        <v>2945567211.6500001</v>
      </c>
      <c r="H88" s="16">
        <f t="shared" ref="H88:K88" si="42">SUM(H85:H87)</f>
        <v>2989865218.0625</v>
      </c>
      <c r="I88" s="16">
        <f t="shared" si="42"/>
        <v>3027518523.5131249</v>
      </c>
      <c r="J88" s="16">
        <f t="shared" si="42"/>
        <v>3061207157.3898311</v>
      </c>
      <c r="K88" s="16">
        <f t="shared" si="42"/>
        <v>3093418674.2427125</v>
      </c>
    </row>
    <row r="89" spans="3:13" ht="15" customHeight="1">
      <c r="E89" s="26"/>
      <c r="F89" s="26"/>
      <c r="G89" s="26"/>
      <c r="H89" s="26"/>
      <c r="I89" s="26"/>
      <c r="J89" s="26"/>
      <c r="K89" s="26"/>
    </row>
    <row r="90" spans="3:13" ht="15" customHeight="1">
      <c r="C90" s="18" t="s">
        <v>18</v>
      </c>
      <c r="D90" s="41">
        <f>+D82+D88</f>
        <v>2041777196</v>
      </c>
      <c r="E90" s="41">
        <f>+E82+E88</f>
        <v>4411955147</v>
      </c>
      <c r="F90" s="41">
        <f>+F82+F88</f>
        <v>6200893742</v>
      </c>
      <c r="G90" s="41">
        <f t="shared" ref="G90:K90" ca="1" si="43">+G82+G88</f>
        <v>8216328919.0040741</v>
      </c>
      <c r="H90" s="41">
        <f t="shared" ca="1" si="43"/>
        <v>9112942024.9858818</v>
      </c>
      <c r="I90" s="41">
        <f t="shared" ca="1" si="43"/>
        <v>8941099824.9120636</v>
      </c>
      <c r="J90" s="41">
        <f t="shared" ca="1" si="43"/>
        <v>9287773586.175251</v>
      </c>
      <c r="K90" s="41">
        <f t="shared" ca="1" si="43"/>
        <v>9947154644.3545303</v>
      </c>
    </row>
    <row r="91" spans="3:13" ht="15" customHeight="1">
      <c r="E91" s="26"/>
      <c r="F91" s="26"/>
      <c r="G91" s="26"/>
      <c r="H91" s="26"/>
      <c r="I91" s="26"/>
      <c r="J91" s="26"/>
      <c r="K91" s="26"/>
    </row>
    <row r="92" spans="3:13" ht="15" customHeight="1">
      <c r="C92" s="18" t="s">
        <v>19</v>
      </c>
      <c r="E92" s="26"/>
      <c r="F92" s="26"/>
      <c r="G92" s="26"/>
      <c r="H92" s="26"/>
      <c r="I92" s="26"/>
      <c r="J92" s="26"/>
      <c r="K92" s="26"/>
    </row>
    <row r="93" spans="3:13" ht="15" customHeight="1">
      <c r="C93" s="25" t="s">
        <v>238</v>
      </c>
      <c r="D93" s="13">
        <f>722717101+-5051601</f>
        <v>717665500</v>
      </c>
      <c r="E93" s="13">
        <f>722717101+-5589873</f>
        <v>717127228</v>
      </c>
      <c r="F93" s="13">
        <v>724725042</v>
      </c>
      <c r="G93" s="37">
        <f>F93</f>
        <v>724725042</v>
      </c>
      <c r="H93" s="37">
        <f t="shared" ref="H93:K93" si="44">G93</f>
        <v>724725042</v>
      </c>
      <c r="I93" s="37">
        <f t="shared" si="44"/>
        <v>724725042</v>
      </c>
      <c r="J93" s="37">
        <f t="shared" si="44"/>
        <v>724725042</v>
      </c>
      <c r="K93" s="37">
        <f t="shared" si="44"/>
        <v>724725042</v>
      </c>
    </row>
    <row r="94" spans="3:13" ht="15" customHeight="1">
      <c r="C94" s="25" t="s">
        <v>20</v>
      </c>
      <c r="D94" s="13">
        <v>80415562</v>
      </c>
      <c r="E94" s="13">
        <f>97276022+36466935</f>
        <v>133742957</v>
      </c>
      <c r="F94" s="13">
        <f>159910009+32699496</f>
        <v>192609505</v>
      </c>
      <c r="G94" s="37">
        <f>F94</f>
        <v>192609505</v>
      </c>
      <c r="H94" s="37">
        <f t="shared" ref="H94:K94" si="45">G94</f>
        <v>192609505</v>
      </c>
      <c r="I94" s="37">
        <f t="shared" si="45"/>
        <v>192609505</v>
      </c>
      <c r="J94" s="37">
        <f t="shared" si="45"/>
        <v>192609505</v>
      </c>
      <c r="K94" s="37">
        <f t="shared" si="45"/>
        <v>192609505</v>
      </c>
    </row>
    <row r="95" spans="3:13" ht="15" customHeight="1">
      <c r="C95" s="25" t="s">
        <v>21</v>
      </c>
      <c r="D95" s="13">
        <f>1435625265+16076585</f>
        <v>1451701850</v>
      </c>
      <c r="E95" s="13">
        <v>2048718617</v>
      </c>
      <c r="F95" s="13">
        <f>2705002786</f>
        <v>2705002786</v>
      </c>
      <c r="G95" s="37">
        <f ca="1">G172</f>
        <v>3761552311.9063706</v>
      </c>
      <c r="H95" s="37">
        <f t="shared" ref="H95:K95" ca="1" si="46">H172</f>
        <v>5093388716.6357479</v>
      </c>
      <c r="I95" s="37">
        <f t="shared" ca="1" si="46"/>
        <v>6720378329.4000921</v>
      </c>
      <c r="J95" s="37">
        <f t="shared" ca="1" si="46"/>
        <v>8643947163.2286892</v>
      </c>
      <c r="K95" s="37">
        <f t="shared" ca="1" si="46"/>
        <v>10853168229.734692</v>
      </c>
    </row>
    <row r="96" spans="3:13" ht="15" customHeight="1">
      <c r="C96" s="25" t="s">
        <v>72</v>
      </c>
      <c r="D96" s="13">
        <v>196467097</v>
      </c>
      <c r="E96" s="13">
        <v>278208598</v>
      </c>
      <c r="F96" s="13">
        <v>418028210</v>
      </c>
      <c r="G96" s="37">
        <f ca="1">F96+G27*G46</f>
        <v>635662659.93440151</v>
      </c>
      <c r="H96" s="37">
        <f t="shared" ref="H96:K96" ca="1" si="47">G96+H27*H46</f>
        <v>910002363.12742996</v>
      </c>
      <c r="I96" s="37">
        <f t="shared" ca="1" si="47"/>
        <v>1245139506.0069313</v>
      </c>
      <c r="J96" s="37">
        <f t="shared" ca="1" si="47"/>
        <v>1641367827.3457868</v>
      </c>
      <c r="K96" s="37">
        <f t="shared" ca="1" si="47"/>
        <v>2096436520.107789</v>
      </c>
    </row>
    <row r="97" spans="3:11" ht="15" customHeight="1">
      <c r="C97" s="42" t="s">
        <v>22</v>
      </c>
      <c r="D97" s="16">
        <f>SUM(D93:D96)</f>
        <v>2446250009</v>
      </c>
      <c r="E97" s="16">
        <f>SUM(E93:E96)</f>
        <v>3177797400</v>
      </c>
      <c r="F97" s="16">
        <f>SUM(F93:F96)</f>
        <v>4040365543</v>
      </c>
      <c r="G97" s="16">
        <f ca="1">SUM(G93:G96)</f>
        <v>5314549518.8407717</v>
      </c>
      <c r="H97" s="16">
        <f t="shared" ref="H97:K97" ca="1" si="48">SUM(H93:H96)</f>
        <v>6920725626.7631779</v>
      </c>
      <c r="I97" s="16">
        <f t="shared" ca="1" si="48"/>
        <v>8882852382.4070244</v>
      </c>
      <c r="J97" s="16">
        <f t="shared" ca="1" si="48"/>
        <v>11202649537.574476</v>
      </c>
      <c r="K97" s="16">
        <f t="shared" ca="1" si="48"/>
        <v>13866939296.84248</v>
      </c>
    </row>
    <row r="98" spans="3:11" ht="15" customHeight="1">
      <c r="E98" s="30"/>
      <c r="F98" s="30"/>
      <c r="G98" s="30"/>
      <c r="H98" s="30"/>
      <c r="I98" s="30"/>
      <c r="J98" s="30"/>
      <c r="K98" s="30"/>
    </row>
    <row r="99" spans="3:11" ht="15" customHeight="1">
      <c r="C99" s="18" t="s">
        <v>23</v>
      </c>
      <c r="D99" s="19">
        <f>+D90+D97</f>
        <v>4488027205</v>
      </c>
      <c r="E99" s="19">
        <f>+E90+E97</f>
        <v>7589752547</v>
      </c>
      <c r="F99" s="19">
        <f>+F90+F97</f>
        <v>10241259285</v>
      </c>
      <c r="G99" s="19">
        <f t="shared" ref="G99:K99" ca="1" si="49">+G90+G97</f>
        <v>13530878437.844845</v>
      </c>
      <c r="H99" s="19">
        <f t="shared" ca="1" si="49"/>
        <v>16033667651.74906</v>
      </c>
      <c r="I99" s="19">
        <f t="shared" ca="1" si="49"/>
        <v>17823952207.319088</v>
      </c>
      <c r="J99" s="19">
        <f t="shared" ca="1" si="49"/>
        <v>20490423123.749725</v>
      </c>
      <c r="K99" s="19">
        <f t="shared" ca="1" si="49"/>
        <v>23814093941.19701</v>
      </c>
    </row>
    <row r="100" spans="3:11" ht="15" customHeight="1">
      <c r="E100" s="26"/>
      <c r="F100" s="26"/>
      <c r="G100" s="26"/>
      <c r="H100" s="26"/>
      <c r="I100" s="26"/>
      <c r="J100" s="26"/>
      <c r="K100" s="26"/>
    </row>
    <row r="101" spans="3:11" ht="15" customHeight="1">
      <c r="C101" s="8" t="s">
        <v>24</v>
      </c>
      <c r="D101" s="26">
        <f>+D70-D99</f>
        <v>0</v>
      </c>
      <c r="E101" s="26">
        <f t="shared" ref="E101:K101" si="50">+E70-E99</f>
        <v>0</v>
      </c>
      <c r="F101" s="26">
        <f t="shared" si="50"/>
        <v>0</v>
      </c>
      <c r="G101" s="26">
        <f t="shared" ca="1" si="50"/>
        <v>0</v>
      </c>
      <c r="H101" s="26">
        <f t="shared" ca="1" si="50"/>
        <v>0</v>
      </c>
      <c r="I101" s="26">
        <f t="shared" ca="1" si="50"/>
        <v>0</v>
      </c>
      <c r="J101" s="26">
        <f t="shared" ca="1" si="50"/>
        <v>0</v>
      </c>
      <c r="K101" s="26">
        <f t="shared" ca="1" si="50"/>
        <v>0</v>
      </c>
    </row>
    <row r="102" spans="3:11" ht="15" customHeight="1"/>
    <row r="103" spans="3:11" customFormat="1">
      <c r="C103" s="73" t="s">
        <v>127</v>
      </c>
      <c r="D103" s="80"/>
      <c r="E103" s="80"/>
      <c r="F103" s="80"/>
      <c r="G103" s="80"/>
      <c r="H103" s="80"/>
      <c r="I103" s="80"/>
      <c r="J103" s="80"/>
      <c r="K103" s="80"/>
    </row>
    <row r="104" spans="3:11" customFormat="1">
      <c r="C104" t="s">
        <v>124</v>
      </c>
      <c r="D104" s="75"/>
      <c r="E104" s="75"/>
      <c r="F104" s="75"/>
      <c r="G104" s="76">
        <f t="shared" ref="G104:K104" si="51">G$13</f>
        <v>2026</v>
      </c>
      <c r="H104" s="76">
        <f t="shared" si="51"/>
        <v>2027</v>
      </c>
      <c r="I104" s="76">
        <f t="shared" si="51"/>
        <v>2028</v>
      </c>
      <c r="J104" s="76">
        <f t="shared" si="51"/>
        <v>2029</v>
      </c>
      <c r="K104" s="76">
        <f t="shared" si="51"/>
        <v>2030</v>
      </c>
    </row>
    <row r="105" spans="3:11" customFormat="1">
      <c r="C105" s="77" t="s">
        <v>125</v>
      </c>
      <c r="D105" s="78"/>
      <c r="E105" s="78"/>
      <c r="F105" s="78"/>
      <c r="G105" s="78">
        <f t="shared" ref="G105:K105" si="52">G$14</f>
        <v>46387</v>
      </c>
      <c r="H105" s="78">
        <f t="shared" si="52"/>
        <v>46752</v>
      </c>
      <c r="I105" s="78">
        <f t="shared" si="52"/>
        <v>47118</v>
      </c>
      <c r="J105" s="78">
        <f t="shared" si="52"/>
        <v>47483</v>
      </c>
      <c r="K105" s="78">
        <f t="shared" si="52"/>
        <v>47848</v>
      </c>
    </row>
    <row r="106" spans="3:11" ht="15" customHeight="1"/>
    <row r="107" spans="3:11" s="18" customFormat="1" ht="15" customHeight="1">
      <c r="C107" s="25" t="s">
        <v>78</v>
      </c>
      <c r="D107" s="44"/>
      <c r="E107" s="45"/>
      <c r="F107" s="45"/>
      <c r="G107" s="37">
        <f ca="1">+G27</f>
        <v>1460633892.177191</v>
      </c>
      <c r="H107" s="37">
        <f t="shared" ref="H107:K107" ca="1" si="53">+H27</f>
        <v>1841206061.6981773</v>
      </c>
      <c r="I107" s="37">
        <f t="shared" ca="1" si="53"/>
        <v>2249242569.6610823</v>
      </c>
      <c r="J107" s="37">
        <f t="shared" ca="1" si="53"/>
        <v>2659250478.784265</v>
      </c>
      <c r="K107" s="37">
        <f t="shared" ca="1" si="53"/>
        <v>3054152300.4161215</v>
      </c>
    </row>
    <row r="108" spans="3:11" ht="15" customHeight="1">
      <c r="C108" s="25" t="s">
        <v>25</v>
      </c>
      <c r="E108" s="45"/>
      <c r="F108" s="45"/>
      <c r="G108" s="37">
        <f>+G29</f>
        <v>370771734.01700002</v>
      </c>
      <c r="H108" s="37">
        <f t="shared" ref="H108:K108" si="54">+H29</f>
        <v>512570009.3612501</v>
      </c>
      <c r="I108" s="37">
        <f t="shared" si="54"/>
        <v>607718132.10036254</v>
      </c>
      <c r="J108" s="37">
        <f t="shared" si="54"/>
        <v>672048868.85345721</v>
      </c>
      <c r="K108" s="37">
        <f t="shared" si="54"/>
        <v>719151749.1316824</v>
      </c>
    </row>
    <row r="109" spans="3:11" ht="15" customHeight="1">
      <c r="C109" s="25" t="s">
        <v>26</v>
      </c>
      <c r="E109" s="45"/>
      <c r="F109" s="45"/>
      <c r="G109" s="37">
        <f>+G80-F80</f>
        <v>36632082.599999994</v>
      </c>
      <c r="H109" s="37">
        <f t="shared" ref="H109:K109" si="55">+H80-G80</f>
        <v>29509177.650000006</v>
      </c>
      <c r="I109" s="37">
        <f t="shared" si="55"/>
        <v>25082801.002499998</v>
      </c>
      <c r="J109" s="37">
        <f t="shared" si="55"/>
        <v>22441729.602824986</v>
      </c>
      <c r="K109" s="37">
        <f t="shared" si="55"/>
        <v>21457746.074085772</v>
      </c>
    </row>
    <row r="110" spans="3:11" ht="15" customHeight="1">
      <c r="C110" s="25" t="s">
        <v>27</v>
      </c>
      <c r="D110" s="13"/>
      <c r="E110" s="45"/>
      <c r="F110" s="45"/>
      <c r="G110" s="46">
        <v>0</v>
      </c>
      <c r="H110" s="46">
        <v>0</v>
      </c>
      <c r="I110" s="46">
        <v>0</v>
      </c>
      <c r="J110" s="46">
        <v>0</v>
      </c>
      <c r="K110" s="46">
        <v>0</v>
      </c>
    </row>
    <row r="111" spans="3:11" ht="15" customHeight="1">
      <c r="C111" s="25" t="s">
        <v>76</v>
      </c>
      <c r="E111" s="45"/>
      <c r="F111" s="45"/>
      <c r="G111" s="37">
        <v>0</v>
      </c>
      <c r="H111" s="37">
        <v>0</v>
      </c>
      <c r="I111" s="37">
        <v>0</v>
      </c>
      <c r="J111" s="37">
        <v>0</v>
      </c>
      <c r="K111" s="37">
        <v>0</v>
      </c>
    </row>
    <row r="112" spans="3:11" ht="15" customHeight="1">
      <c r="C112" s="25" t="s">
        <v>77</v>
      </c>
      <c r="E112" s="45"/>
      <c r="F112" s="45"/>
      <c r="G112" s="37">
        <v>0</v>
      </c>
      <c r="H112" s="37">
        <v>0</v>
      </c>
      <c r="I112" s="37">
        <v>0</v>
      </c>
      <c r="J112" s="37">
        <v>0</v>
      </c>
      <c r="K112" s="37">
        <v>0</v>
      </c>
    </row>
    <row r="113" spans="3:11" s="18" customFormat="1" ht="15" customHeight="1">
      <c r="C113" s="18" t="s">
        <v>28</v>
      </c>
      <c r="D113" s="44"/>
      <c r="E113" s="205"/>
      <c r="F113" s="205"/>
      <c r="G113" s="47">
        <f ca="1">SUM(G107:G112)</f>
        <v>1868037708.7941909</v>
      </c>
      <c r="H113" s="47">
        <f t="shared" ref="H113:K113" ca="1" si="56">SUM(H107:H112)</f>
        <v>2383285248.7094274</v>
      </c>
      <c r="I113" s="47">
        <f t="shared" ca="1" si="56"/>
        <v>2882043502.7639451</v>
      </c>
      <c r="J113" s="47">
        <f t="shared" ca="1" si="56"/>
        <v>3353741077.2405472</v>
      </c>
      <c r="K113" s="47">
        <f t="shared" ca="1" si="56"/>
        <v>3794761795.6218896</v>
      </c>
    </row>
    <row r="114" spans="3:11" s="18" customFormat="1" ht="15" customHeight="1">
      <c r="D114" s="44"/>
      <c r="E114" s="205"/>
      <c r="F114" s="205"/>
      <c r="G114" s="47"/>
      <c r="H114" s="47"/>
      <c r="I114" s="47"/>
      <c r="J114" s="47"/>
      <c r="K114" s="47"/>
    </row>
    <row r="115" spans="3:11" ht="15" customHeight="1">
      <c r="C115" s="25" t="s">
        <v>29</v>
      </c>
      <c r="E115" s="45"/>
      <c r="F115" s="45"/>
      <c r="G115" s="37">
        <f>-(G59-F59)</f>
        <v>-123572051.31184661</v>
      </c>
      <c r="H115" s="37">
        <f t="shared" ref="H115:K115" si="57">-(H59-G59)</f>
        <v>-101226763.82796162</v>
      </c>
      <c r="I115" s="37">
        <f t="shared" si="57"/>
        <v>-86042749.253767312</v>
      </c>
      <c r="J115" s="37">
        <f t="shared" si="57"/>
        <v>-76982953.89116478</v>
      </c>
      <c r="K115" s="37">
        <f t="shared" si="57"/>
        <v>-73607547.451321483</v>
      </c>
    </row>
    <row r="116" spans="3:11" ht="15" customHeight="1">
      <c r="C116" s="25" t="s">
        <v>30</v>
      </c>
      <c r="E116" s="45"/>
      <c r="F116" s="45"/>
      <c r="G116" s="37">
        <f>-(G60-F60)</f>
        <v>-558655207.20000005</v>
      </c>
      <c r="H116" s="37">
        <f t="shared" ref="H116:K116" si="58">-(H60-G60)</f>
        <v>-450027805.80000043</v>
      </c>
      <c r="I116" s="37">
        <f t="shared" si="58"/>
        <v>-382523634.92999983</v>
      </c>
      <c r="J116" s="37">
        <f t="shared" si="58"/>
        <v>-342246146.31089926</v>
      </c>
      <c r="K116" s="37">
        <f t="shared" si="58"/>
        <v>-327239969.12649918</v>
      </c>
    </row>
    <row r="117" spans="3:11" ht="15" customHeight="1">
      <c r="C117" s="25" t="s">
        <v>31</v>
      </c>
      <c r="E117" s="45"/>
      <c r="F117" s="45"/>
      <c r="G117" s="37">
        <f>+G78-F78</f>
        <v>867454112.52933407</v>
      </c>
      <c r="H117" s="37">
        <f t="shared" ref="H117:K117" si="59">+H78-G78</f>
        <v>710594116.13233376</v>
      </c>
      <c r="I117" s="37">
        <f t="shared" si="59"/>
        <v>604004998.71248341</v>
      </c>
      <c r="J117" s="37">
        <f t="shared" si="59"/>
        <v>540406825.31863785</v>
      </c>
      <c r="K117" s="37">
        <f t="shared" si="59"/>
        <v>516712064.5162077</v>
      </c>
    </row>
    <row r="118" spans="3:11" ht="15" customHeight="1">
      <c r="C118" s="25" t="s">
        <v>32</v>
      </c>
      <c r="E118" s="45"/>
      <c r="F118" s="45"/>
      <c r="G118" s="46">
        <f>-(G61-F61)+(G79-F79)+(G81-F81)</f>
        <v>-3946953.6000000238</v>
      </c>
      <c r="H118" s="46">
        <f t="shared" ref="H118:K118" si="60">-(H61-G61)+(H79-G79)+(H81-G81)</f>
        <v>-3179490.3999999762</v>
      </c>
      <c r="I118" s="46">
        <f t="shared" si="60"/>
        <v>-2702566.8399999142</v>
      </c>
      <c r="J118" s="46">
        <f t="shared" si="60"/>
        <v>-2418002.4492000341</v>
      </c>
      <c r="K118" s="46">
        <f t="shared" si="60"/>
        <v>-2311982.3418120146</v>
      </c>
    </row>
    <row r="119" spans="3:11" s="18" customFormat="1" ht="15" customHeight="1">
      <c r="C119" s="18" t="s">
        <v>33</v>
      </c>
      <c r="D119" s="44"/>
      <c r="E119" s="205"/>
      <c r="F119" s="205"/>
      <c r="G119" s="47">
        <f ca="1">G113+SUM(G115:G118)</f>
        <v>2049317609.2116783</v>
      </c>
      <c r="H119" s="47">
        <f t="shared" ref="H119:K119" ca="1" si="61">H113+SUM(H115:H118)</f>
        <v>2539445304.8137989</v>
      </c>
      <c r="I119" s="47">
        <f t="shared" ca="1" si="61"/>
        <v>3014779550.4526615</v>
      </c>
      <c r="J119" s="47">
        <f t="shared" ca="1" si="61"/>
        <v>3472500799.9079208</v>
      </c>
      <c r="K119" s="47">
        <f t="shared" ca="1" si="61"/>
        <v>3908314361.2184649</v>
      </c>
    </row>
    <row r="120" spans="3:11" s="18" customFormat="1" ht="15" customHeight="1">
      <c r="C120" s="15" t="s">
        <v>34</v>
      </c>
      <c r="D120" s="43"/>
      <c r="E120" s="251"/>
      <c r="F120" s="251"/>
      <c r="G120" s="48">
        <f ca="1">+G119</f>
        <v>2049317609.2116783</v>
      </c>
      <c r="H120" s="48">
        <f t="shared" ref="H120:K120" ca="1" si="62">+H119</f>
        <v>2539445304.8137989</v>
      </c>
      <c r="I120" s="48">
        <f t="shared" ca="1" si="62"/>
        <v>3014779550.4526615</v>
      </c>
      <c r="J120" s="48">
        <f t="shared" ca="1" si="62"/>
        <v>3472500799.9079208</v>
      </c>
      <c r="K120" s="48">
        <f t="shared" ca="1" si="62"/>
        <v>3908314361.2184649</v>
      </c>
    </row>
    <row r="121" spans="3:11" ht="15" customHeight="1"/>
    <row r="122" spans="3:11" customFormat="1">
      <c r="C122" s="73" t="s">
        <v>35</v>
      </c>
      <c r="D122" s="80"/>
      <c r="E122" s="80"/>
      <c r="F122" s="80"/>
      <c r="G122" s="80"/>
      <c r="H122" s="80"/>
      <c r="I122" s="80"/>
      <c r="J122" s="80"/>
      <c r="K122" s="80"/>
    </row>
    <row r="123" spans="3:11" ht="15" customHeight="1"/>
    <row r="124" spans="3:11" ht="15" customHeight="1">
      <c r="C124" s="25" t="s">
        <v>75</v>
      </c>
      <c r="E124" s="45"/>
      <c r="F124" s="45"/>
      <c r="G124" s="37">
        <f>-G146</f>
        <v>-3143860040.0999999</v>
      </c>
      <c r="H124" s="37">
        <f t="shared" ref="H124:K124" si="63">-H146</f>
        <v>-2357895030.0749998</v>
      </c>
      <c r="I124" s="37">
        <f t="shared" si="63"/>
        <v>-1839158123.4584999</v>
      </c>
      <c r="J124" s="37">
        <f t="shared" si="63"/>
        <v>-1558686509.6310782</v>
      </c>
      <c r="K124" s="37">
        <f t="shared" si="63"/>
        <v>-1345666019.981498</v>
      </c>
    </row>
    <row r="125" spans="3:11" ht="15" customHeight="1">
      <c r="C125" s="25" t="s">
        <v>36</v>
      </c>
      <c r="E125" s="45"/>
      <c r="F125" s="45"/>
      <c r="G125" s="37">
        <v>0</v>
      </c>
      <c r="H125" s="37">
        <v>0</v>
      </c>
      <c r="I125" s="37">
        <v>0</v>
      </c>
      <c r="J125" s="37">
        <v>0</v>
      </c>
      <c r="K125" s="37">
        <v>0</v>
      </c>
    </row>
    <row r="126" spans="3:11" ht="15" customHeight="1">
      <c r="C126" s="25" t="s">
        <v>74</v>
      </c>
      <c r="E126" s="45"/>
      <c r="F126" s="45"/>
      <c r="G126" s="37">
        <v>0</v>
      </c>
      <c r="H126" s="37">
        <v>0</v>
      </c>
      <c r="I126" s="37">
        <v>0</v>
      </c>
      <c r="J126" s="37">
        <v>0</v>
      </c>
      <c r="K126" s="37">
        <v>0</v>
      </c>
    </row>
    <row r="127" spans="3:11" ht="15" customHeight="1">
      <c r="C127" s="25" t="s">
        <v>97</v>
      </c>
      <c r="E127" s="45"/>
      <c r="F127" s="45"/>
      <c r="G127" s="37">
        <f>-G164</f>
        <v>0</v>
      </c>
      <c r="H127" s="37">
        <f t="shared" ref="H127:K127" si="64">-H164</f>
        <v>0</v>
      </c>
      <c r="I127" s="37">
        <f t="shared" si="64"/>
        <v>0</v>
      </c>
      <c r="J127" s="37">
        <f t="shared" si="64"/>
        <v>0</v>
      </c>
      <c r="K127" s="37">
        <f t="shared" si="64"/>
        <v>0</v>
      </c>
    </row>
    <row r="128" spans="3:11" ht="15" customHeight="1">
      <c r="C128" s="15" t="s">
        <v>37</v>
      </c>
      <c r="D128" s="38"/>
      <c r="E128" s="251"/>
      <c r="F128" s="251"/>
      <c r="G128" s="48">
        <f>SUM(G124:G127)</f>
        <v>-3143860040.0999999</v>
      </c>
      <c r="H128" s="48">
        <f t="shared" ref="H128:K128" si="65">SUM(H124:H127)</f>
        <v>-2357895030.0749998</v>
      </c>
      <c r="I128" s="48">
        <f t="shared" si="65"/>
        <v>-1839158123.4584999</v>
      </c>
      <c r="J128" s="48">
        <f t="shared" si="65"/>
        <v>-1558686509.6310782</v>
      </c>
      <c r="K128" s="48">
        <f t="shared" si="65"/>
        <v>-1345666019.981498</v>
      </c>
    </row>
    <row r="129" spans="3:11" ht="15" customHeight="1">
      <c r="E129" s="58"/>
      <c r="F129" s="58"/>
    </row>
    <row r="130" spans="3:11" s="58" customFormat="1" ht="15" customHeight="1">
      <c r="C130" s="79" t="s">
        <v>38</v>
      </c>
      <c r="D130" s="81"/>
      <c r="E130" s="82"/>
      <c r="F130" s="82"/>
      <c r="G130" s="82"/>
      <c r="H130" s="82"/>
      <c r="I130" s="82"/>
      <c r="J130" s="82"/>
      <c r="K130" s="82"/>
    </row>
    <row r="131" spans="3:11" ht="15" customHeight="1">
      <c r="E131" s="58"/>
      <c r="F131" s="58"/>
    </row>
    <row r="132" spans="3:11" ht="15" customHeight="1">
      <c r="C132" s="25" t="s">
        <v>39</v>
      </c>
      <c r="E132" s="45"/>
      <c r="F132" s="45"/>
      <c r="G132" s="37">
        <f ca="1">+G171</f>
        <v>-186449916.33641842</v>
      </c>
      <c r="H132" s="37">
        <f t="shared" ref="H132:K132" ca="1" si="66">+H171</f>
        <v>-235029953.77577233</v>
      </c>
      <c r="I132" s="37">
        <f t="shared" ca="1" si="66"/>
        <v>-287115814.01723713</v>
      </c>
      <c r="J132" s="37">
        <f t="shared" ca="1" si="66"/>
        <v>-339453323.61681139</v>
      </c>
      <c r="K132" s="37">
        <f t="shared" ca="1" si="66"/>
        <v>-389862541.1481179</v>
      </c>
    </row>
    <row r="133" spans="3:11" ht="15" customHeight="1">
      <c r="C133" s="25" t="s">
        <v>40</v>
      </c>
      <c r="E133" s="45"/>
      <c r="F133" s="45"/>
      <c r="G133" s="46">
        <f ca="1">(G75-F75)+(G76-F76)+(G85-F85)</f>
        <v>904420424.77473998</v>
      </c>
      <c r="H133" s="46">
        <f t="shared" ref="H133:K133" ca="1" si="67">(H75-G75)+(H76-G76)+(H85-G85)</f>
        <v>-10182636.575526714</v>
      </c>
      <c r="I133" s="46">
        <f t="shared" ca="1" si="67"/>
        <v>-942618581.24754941</v>
      </c>
      <c r="J133" s="46">
        <f t="shared" ca="1" si="67"/>
        <v>-342944400.95166385</v>
      </c>
      <c r="K133" s="46">
        <f t="shared" ca="1" si="67"/>
        <v>0</v>
      </c>
    </row>
    <row r="134" spans="3:11" ht="15" customHeight="1">
      <c r="C134" s="25" t="s">
        <v>41</v>
      </c>
      <c r="E134" s="45"/>
      <c r="F134" s="45"/>
      <c r="G134" s="46">
        <f>(G77-F77)+(G86-F86)</f>
        <v>79029081.450000003</v>
      </c>
      <c r="H134" s="46">
        <f t="shared" ref="H134:K134" si="68">(H77-G77)+(H86-G86)</f>
        <v>63662315.612499997</v>
      </c>
      <c r="I134" s="46">
        <f t="shared" si="68"/>
        <v>54112968.270624965</v>
      </c>
      <c r="J134" s="46">
        <f t="shared" si="68"/>
        <v>48415191.023306206</v>
      </c>
      <c r="K134" s="46">
        <f t="shared" si="68"/>
        <v>46292371.109207436</v>
      </c>
    </row>
    <row r="135" spans="3:11" ht="15" customHeight="1">
      <c r="C135" s="15" t="s">
        <v>42</v>
      </c>
      <c r="D135" s="43"/>
      <c r="E135" s="252"/>
      <c r="F135" s="252"/>
      <c r="G135" s="49">
        <f ca="1">SUM(G132:G134)</f>
        <v>796999589.88832164</v>
      </c>
      <c r="H135" s="49">
        <f t="shared" ref="H135:K135" ca="1" si="69">SUM(H132:H134)</f>
        <v>-181550274.73879904</v>
      </c>
      <c r="I135" s="49">
        <f t="shared" ca="1" si="69"/>
        <v>-1175621426.9941616</v>
      </c>
      <c r="J135" s="49">
        <f t="shared" ca="1" si="69"/>
        <v>-633982533.545169</v>
      </c>
      <c r="K135" s="49">
        <f t="shared" ca="1" si="69"/>
        <v>-343570170.03891045</v>
      </c>
    </row>
    <row r="136" spans="3:11" ht="15" customHeight="1">
      <c r="E136" s="58"/>
      <c r="F136" s="58"/>
    </row>
    <row r="137" spans="3:11" ht="15" customHeight="1">
      <c r="C137" s="15" t="s">
        <v>50</v>
      </c>
      <c r="D137" s="38"/>
      <c r="E137" s="251"/>
      <c r="F137" s="251"/>
      <c r="G137" s="48">
        <f ca="1">G120+G128+G135</f>
        <v>-297542841</v>
      </c>
      <c r="H137" s="48">
        <f t="shared" ref="H137:K137" ca="1" si="70">H120+H128+H135</f>
        <v>0</v>
      </c>
      <c r="I137" s="48">
        <f t="shared" ca="1" si="70"/>
        <v>0</v>
      </c>
      <c r="J137" s="48">
        <f t="shared" ca="1" si="70"/>
        <v>1279831756.7316737</v>
      </c>
      <c r="K137" s="48">
        <f t="shared" ca="1" si="70"/>
        <v>2219078171.1980567</v>
      </c>
    </row>
    <row r="138" spans="3:11" ht="15" customHeight="1">
      <c r="C138" s="18"/>
      <c r="E138" s="47"/>
      <c r="F138" s="205"/>
      <c r="G138" s="47"/>
      <c r="H138" s="47"/>
      <c r="I138" s="47"/>
      <c r="J138" s="47"/>
      <c r="K138" s="47"/>
    </row>
    <row r="139" spans="3:11" ht="15" customHeight="1">
      <c r="C139" s="18" t="s">
        <v>43</v>
      </c>
      <c r="E139" s="12"/>
      <c r="F139" s="12"/>
      <c r="G139" s="30">
        <f ca="1">+G137-(G58-F58)</f>
        <v>0</v>
      </c>
      <c r="H139" s="30">
        <f t="shared" ref="H139:K139" ca="1" si="71">+H137-(H58-G58)</f>
        <v>0</v>
      </c>
      <c r="I139" s="30">
        <f t="shared" ca="1" si="71"/>
        <v>0</v>
      </c>
      <c r="J139" s="30">
        <f t="shared" ca="1" si="71"/>
        <v>0</v>
      </c>
      <c r="K139" s="30">
        <f t="shared" ca="1" si="71"/>
        <v>0</v>
      </c>
    </row>
    <row r="140" spans="3:11" ht="15" customHeight="1"/>
    <row r="141" spans="3:11" customFormat="1">
      <c r="C141" s="73" t="s">
        <v>79</v>
      </c>
      <c r="D141" s="74"/>
      <c r="E141" s="74"/>
      <c r="F141" s="74"/>
      <c r="G141" s="74"/>
      <c r="H141" s="74"/>
      <c r="I141" s="74"/>
      <c r="J141" s="74"/>
      <c r="K141" s="74"/>
    </row>
    <row r="142" spans="3:11" customFormat="1">
      <c r="C142" t="s">
        <v>124</v>
      </c>
      <c r="D142" s="75"/>
      <c r="E142" s="75"/>
      <c r="F142" s="75"/>
      <c r="G142" s="76">
        <f t="shared" ref="G142:K142" si="72">G$13</f>
        <v>2026</v>
      </c>
      <c r="H142" s="76">
        <f t="shared" si="72"/>
        <v>2027</v>
      </c>
      <c r="I142" s="76">
        <f t="shared" si="72"/>
        <v>2028</v>
      </c>
      <c r="J142" s="76">
        <f t="shared" si="72"/>
        <v>2029</v>
      </c>
      <c r="K142" s="76">
        <f t="shared" si="72"/>
        <v>2030</v>
      </c>
    </row>
    <row r="143" spans="3:11" customFormat="1">
      <c r="C143" s="77" t="s">
        <v>125</v>
      </c>
      <c r="D143" s="78"/>
      <c r="E143" s="78"/>
      <c r="F143" s="78"/>
      <c r="G143" s="78">
        <f t="shared" ref="G143:K143" si="73">G$14</f>
        <v>46387</v>
      </c>
      <c r="H143" s="78">
        <f t="shared" si="73"/>
        <v>46752</v>
      </c>
      <c r="I143" s="78">
        <f t="shared" si="73"/>
        <v>47118</v>
      </c>
      <c r="J143" s="78">
        <f t="shared" si="73"/>
        <v>47483</v>
      </c>
      <c r="K143" s="78">
        <f t="shared" si="73"/>
        <v>47848</v>
      </c>
    </row>
    <row r="144" spans="3:11" ht="15" customHeight="1"/>
    <row r="145" spans="1:11" ht="15" customHeight="1">
      <c r="C145" s="25" t="s">
        <v>80</v>
      </c>
      <c r="D145" s="242"/>
      <c r="E145" s="244"/>
      <c r="F145" s="244"/>
      <c r="G145" s="46">
        <f>F65</f>
        <v>7205844011</v>
      </c>
      <c r="H145" s="46">
        <f>G148</f>
        <v>9989411850.5500011</v>
      </c>
      <c r="I145" s="46">
        <f>H148</f>
        <v>11847836288.0975</v>
      </c>
      <c r="J145" s="46">
        <f t="shared" ref="J145:K145" si="74">I148</f>
        <v>13094602597.151125</v>
      </c>
      <c r="K145" s="46">
        <f t="shared" si="74"/>
        <v>13998558976.924648</v>
      </c>
    </row>
    <row r="146" spans="1:11" ht="15" customHeight="1">
      <c r="C146" s="51" t="s">
        <v>81</v>
      </c>
      <c r="D146" s="13"/>
      <c r="E146" s="244"/>
      <c r="F146" s="244"/>
      <c r="G146" s="14">
        <f>+G16*G47</f>
        <v>3143860040.0999999</v>
      </c>
      <c r="H146" s="14">
        <f>+H16*H47</f>
        <v>2357895030.0749998</v>
      </c>
      <c r="I146" s="14">
        <f>+I16*I47</f>
        <v>1839158123.4584999</v>
      </c>
      <c r="J146" s="14">
        <f>+J16*J47</f>
        <v>1558686509.6310782</v>
      </c>
      <c r="K146" s="14">
        <f>+K16*K47</f>
        <v>1345666019.981498</v>
      </c>
    </row>
    <row r="147" spans="1:11" ht="15" customHeight="1">
      <c r="C147" s="51" t="s">
        <v>82</v>
      </c>
      <c r="D147" s="13"/>
      <c r="E147" s="245"/>
      <c r="F147" s="245"/>
      <c r="G147" s="31">
        <f>-G145*G48</f>
        <v>-360292200.55000001</v>
      </c>
      <c r="H147" s="31">
        <f t="shared" ref="H147:K147" si="75">-H145*H48</f>
        <v>-499470592.52750009</v>
      </c>
      <c r="I147" s="31">
        <f t="shared" si="75"/>
        <v>-592391814.40487504</v>
      </c>
      <c r="J147" s="31">
        <f t="shared" si="75"/>
        <v>-654730129.85755634</v>
      </c>
      <c r="K147" s="31">
        <f t="shared" si="75"/>
        <v>-699927948.84623241</v>
      </c>
    </row>
    <row r="148" spans="1:11" ht="15" customHeight="1">
      <c r="C148" s="23" t="s">
        <v>83</v>
      </c>
      <c r="D148" s="243"/>
      <c r="E148" s="53"/>
      <c r="F148" s="53"/>
      <c r="G148" s="53">
        <f>G145+G146+G147</f>
        <v>9989411850.5500011</v>
      </c>
      <c r="H148" s="53">
        <f t="shared" ref="H148:K148" si="76">H145+H146+H147</f>
        <v>11847836288.0975</v>
      </c>
      <c r="I148" s="53">
        <f t="shared" si="76"/>
        <v>13094602597.151125</v>
      </c>
      <c r="J148" s="53">
        <f t="shared" si="76"/>
        <v>13998558976.924648</v>
      </c>
      <c r="K148" s="53">
        <f t="shared" si="76"/>
        <v>14644297048.059914</v>
      </c>
    </row>
    <row r="149" spans="1:11" ht="15" customHeight="1">
      <c r="C149" s="18"/>
      <c r="D149" s="13"/>
      <c r="E149" s="205"/>
      <c r="F149" s="205"/>
      <c r="G149" s="206"/>
      <c r="H149" s="206"/>
      <c r="I149" s="206"/>
      <c r="J149" s="206"/>
      <c r="K149" s="206"/>
    </row>
    <row r="150" spans="1:11" ht="15" customHeight="1">
      <c r="C150" s="8" t="s">
        <v>230</v>
      </c>
      <c r="D150" s="50"/>
      <c r="E150" s="1"/>
      <c r="F150" s="1"/>
      <c r="G150" s="1">
        <f>+G146/G16</f>
        <v>0.3</v>
      </c>
      <c r="H150" s="1">
        <f>+H146/H16</f>
        <v>0.18</v>
      </c>
      <c r="I150" s="1">
        <f>+I146/I16</f>
        <v>0.12</v>
      </c>
      <c r="J150" s="1">
        <f>+J146/J16</f>
        <v>0.09</v>
      </c>
      <c r="K150" s="1">
        <f>+K146/K16</f>
        <v>7.0000000000000007E-2</v>
      </c>
    </row>
    <row r="151" spans="1:11" ht="15" customHeight="1">
      <c r="D151" s="50"/>
      <c r="G151" s="1"/>
      <c r="H151" s="1"/>
      <c r="I151" s="1"/>
      <c r="J151" s="1"/>
      <c r="K151" s="1"/>
    </row>
    <row r="152" spans="1:11" ht="15" customHeight="1">
      <c r="C152" s="8" t="s">
        <v>231</v>
      </c>
      <c r="D152" s="50"/>
      <c r="E152" s="1"/>
      <c r="F152" s="1"/>
      <c r="G152" s="1">
        <f>-G147/AVERAGE(G145,G148)</f>
        <v>4.1906000521416235E-2</v>
      </c>
      <c r="H152" s="1">
        <f t="shared" ref="H152:K152" si="77">-H147/AVERAGE(H145,H148)</f>
        <v>4.5744829142966827E-2</v>
      </c>
      <c r="I152" s="1">
        <f t="shared" si="77"/>
        <v>4.7500712911857659E-2</v>
      </c>
      <c r="J152" s="1">
        <f t="shared" si="77"/>
        <v>4.833176283745623E-2</v>
      </c>
      <c r="K152" s="1">
        <f t="shared" si="77"/>
        <v>4.887277639043397E-2</v>
      </c>
    </row>
    <row r="153" spans="1:11" ht="15" customHeight="1">
      <c r="D153" s="50"/>
      <c r="E153" s="1"/>
      <c r="F153" s="1"/>
      <c r="G153" s="1"/>
      <c r="H153" s="1"/>
      <c r="I153" s="1"/>
      <c r="J153" s="1"/>
      <c r="K153" s="1"/>
    </row>
    <row r="154" spans="1:11" s="58" customFormat="1" ht="15" customHeight="1">
      <c r="C154" s="79" t="s">
        <v>84</v>
      </c>
      <c r="D154" s="82"/>
      <c r="E154" s="82"/>
      <c r="F154" s="82"/>
      <c r="G154" s="82"/>
      <c r="H154" s="82"/>
      <c r="I154" s="82"/>
      <c r="J154" s="82"/>
      <c r="K154" s="82"/>
    </row>
    <row r="155" spans="1:11" s="54" customFormat="1" ht="15" customHeight="1">
      <c r="C155" s="55"/>
      <c r="D155" s="56"/>
      <c r="E155" s="57"/>
      <c r="F155" s="57"/>
      <c r="G155" s="57"/>
      <c r="H155" s="57"/>
      <c r="I155" s="57"/>
      <c r="J155" s="57"/>
      <c r="K155" s="57"/>
    </row>
    <row r="156" spans="1:11" s="54" customFormat="1" ht="15" customHeight="1">
      <c r="C156" s="58" t="s">
        <v>85</v>
      </c>
      <c r="D156" s="13"/>
      <c r="E156" s="13"/>
      <c r="F156" s="255"/>
      <c r="G156" s="59">
        <f>+G157*G16</f>
        <v>10479533.467</v>
      </c>
      <c r="H156" s="59">
        <f>+H157*H16</f>
        <v>13099416.83375</v>
      </c>
      <c r="I156" s="59">
        <f>+I157*I16</f>
        <v>15326317.695487499</v>
      </c>
      <c r="J156" s="59">
        <f>+J157*J16</f>
        <v>17318738.995900873</v>
      </c>
      <c r="K156" s="59">
        <f>+K157*K16</f>
        <v>19223800.285449971</v>
      </c>
    </row>
    <row r="157" spans="1:11" s="54" customFormat="1" ht="15" customHeight="1">
      <c r="A157" s="55"/>
      <c r="B157" s="55"/>
      <c r="C157" s="39" t="s">
        <v>86</v>
      </c>
      <c r="D157" s="60"/>
      <c r="E157" s="247"/>
      <c r="F157" s="247"/>
      <c r="G157" s="61">
        <v>1E-3</v>
      </c>
      <c r="H157" s="262">
        <f>G157</f>
        <v>1E-3</v>
      </c>
      <c r="I157" s="262">
        <f t="shared" ref="I157:K157" si="78">H157</f>
        <v>1E-3</v>
      </c>
      <c r="J157" s="262">
        <f t="shared" si="78"/>
        <v>1E-3</v>
      </c>
      <c r="K157" s="262">
        <f t="shared" si="78"/>
        <v>1E-3</v>
      </c>
    </row>
    <row r="158" spans="1:11" ht="15" customHeight="1">
      <c r="C158" s="62" t="s">
        <v>87</v>
      </c>
      <c r="D158" s="52"/>
      <c r="E158" s="246"/>
      <c r="F158" s="246"/>
      <c r="G158" s="52">
        <f>-G147+G156</f>
        <v>370771734.01700002</v>
      </c>
      <c r="H158" s="52">
        <f t="shared" ref="H158:K158" si="79">-H147+H156</f>
        <v>512570009.3612501</v>
      </c>
      <c r="I158" s="52">
        <f t="shared" si="79"/>
        <v>607718132.10036254</v>
      </c>
      <c r="J158" s="52">
        <f t="shared" si="79"/>
        <v>672048868.85345721</v>
      </c>
      <c r="K158" s="52">
        <f t="shared" si="79"/>
        <v>719151749.1316824</v>
      </c>
    </row>
    <row r="159" spans="1:11" ht="15" customHeight="1">
      <c r="D159" s="50"/>
    </row>
    <row r="160" spans="1:11" s="58" customFormat="1" ht="15" customHeight="1">
      <c r="C160" s="79" t="s">
        <v>90</v>
      </c>
      <c r="D160" s="82"/>
      <c r="E160" s="82"/>
      <c r="F160" s="82"/>
      <c r="G160" s="82"/>
      <c r="H160" s="82"/>
      <c r="I160" s="82"/>
      <c r="J160" s="82"/>
      <c r="K160" s="82"/>
    </row>
    <row r="161" spans="1:11" s="54" customFormat="1" ht="15" customHeight="1">
      <c r="A161" s="55"/>
      <c r="B161" s="55"/>
      <c r="D161" s="56"/>
      <c r="E161" s="57"/>
      <c r="F161" s="57"/>
      <c r="G161" s="57"/>
      <c r="H161" s="57"/>
      <c r="I161" s="57"/>
      <c r="J161" s="57"/>
      <c r="K161" s="57"/>
    </row>
    <row r="162" spans="1:11" s="54" customFormat="1" ht="15" customHeight="1">
      <c r="A162" s="55"/>
      <c r="B162" s="55"/>
      <c r="C162" s="58" t="s">
        <v>80</v>
      </c>
      <c r="D162" s="56"/>
      <c r="E162" s="57"/>
      <c r="F162" s="57"/>
      <c r="G162" s="46">
        <f>+F67</f>
        <v>268921757</v>
      </c>
      <c r="H162" s="46">
        <f>G165</f>
        <v>258442223.53299999</v>
      </c>
      <c r="I162" s="46">
        <f t="shared" ref="I162:K162" si="80">H165</f>
        <v>245342806.69924998</v>
      </c>
      <c r="J162" s="46">
        <f t="shared" si="80"/>
        <v>230016489.00376248</v>
      </c>
      <c r="K162" s="46">
        <f t="shared" si="80"/>
        <v>212697750.00786161</v>
      </c>
    </row>
    <row r="163" spans="1:11" ht="15" customHeight="1">
      <c r="C163" s="25" t="s">
        <v>88</v>
      </c>
      <c r="D163" s="50"/>
      <c r="E163" s="46"/>
      <c r="G163" s="46">
        <f>-G156</f>
        <v>-10479533.467</v>
      </c>
      <c r="H163" s="46">
        <f t="shared" ref="H163:K163" si="81">-H156</f>
        <v>-13099416.83375</v>
      </c>
      <c r="I163" s="46">
        <f t="shared" si="81"/>
        <v>-15326317.695487499</v>
      </c>
      <c r="J163" s="46">
        <f t="shared" si="81"/>
        <v>-17318738.995900873</v>
      </c>
      <c r="K163" s="46">
        <f t="shared" si="81"/>
        <v>-19223800.285449971</v>
      </c>
    </row>
    <row r="164" spans="1:11" ht="15" customHeight="1">
      <c r="C164" s="25" t="s">
        <v>89</v>
      </c>
      <c r="D164" s="50"/>
      <c r="G164" s="46">
        <v>0</v>
      </c>
      <c r="H164" s="46">
        <v>0</v>
      </c>
      <c r="I164" s="46">
        <v>0</v>
      </c>
      <c r="J164" s="46">
        <v>0</v>
      </c>
      <c r="K164" s="46">
        <v>0</v>
      </c>
    </row>
    <row r="165" spans="1:11" ht="15" customHeight="1">
      <c r="C165" s="23" t="s">
        <v>83</v>
      </c>
      <c r="D165" s="63"/>
      <c r="E165" s="53"/>
      <c r="F165" s="53"/>
      <c r="G165" s="53">
        <f>G162+G163+G164</f>
        <v>258442223.53299999</v>
      </c>
      <c r="H165" s="53">
        <f t="shared" ref="H165:K165" si="82">H162+H163+H164</f>
        <v>245342806.69924998</v>
      </c>
      <c r="I165" s="53">
        <f t="shared" si="82"/>
        <v>230016489.00376248</v>
      </c>
      <c r="J165" s="53">
        <f t="shared" si="82"/>
        <v>212697750.00786161</v>
      </c>
      <c r="K165" s="53">
        <f t="shared" si="82"/>
        <v>193473949.72241163</v>
      </c>
    </row>
    <row r="166" spans="1:11" ht="15" customHeight="1">
      <c r="D166" s="50"/>
    </row>
    <row r="167" spans="1:11" s="58" customFormat="1" ht="15" customHeight="1">
      <c r="C167" s="79" t="s">
        <v>94</v>
      </c>
      <c r="D167" s="82"/>
      <c r="E167" s="82"/>
      <c r="F167" s="82"/>
      <c r="G167" s="82"/>
      <c r="H167" s="82"/>
      <c r="I167" s="82"/>
      <c r="J167" s="82"/>
      <c r="K167" s="82"/>
    </row>
    <row r="168" spans="1:11" s="54" customFormat="1" ht="15" customHeight="1">
      <c r="A168" s="55"/>
      <c r="B168" s="55"/>
      <c r="D168" s="56"/>
      <c r="E168" s="57"/>
      <c r="F168" s="57"/>
      <c r="G168" s="57"/>
      <c r="H168" s="57"/>
      <c r="I168" s="57"/>
      <c r="J168" s="57"/>
      <c r="K168" s="57"/>
    </row>
    <row r="169" spans="1:11" s="54" customFormat="1" ht="15" customHeight="1">
      <c r="A169" s="55"/>
      <c r="B169" s="55"/>
      <c r="C169" s="58" t="s">
        <v>80</v>
      </c>
      <c r="D169" s="56"/>
      <c r="E169" s="241"/>
      <c r="F169" s="241"/>
      <c r="G169" s="46">
        <f>+F95</f>
        <v>2705002786</v>
      </c>
      <c r="H169" s="46">
        <f ca="1">G172</f>
        <v>3761552311.9063706</v>
      </c>
      <c r="I169" s="46">
        <f t="shared" ref="I169:K169" ca="1" si="83">H172</f>
        <v>5093388716.6357479</v>
      </c>
      <c r="J169" s="46">
        <f t="shared" ca="1" si="83"/>
        <v>6720378329.4000921</v>
      </c>
      <c r="K169" s="46">
        <f t="shared" ca="1" si="83"/>
        <v>8643947163.2286892</v>
      </c>
    </row>
    <row r="170" spans="1:11" ht="15" customHeight="1">
      <c r="C170" s="25" t="s">
        <v>91</v>
      </c>
      <c r="D170" s="26"/>
      <c r="E170" s="248"/>
      <c r="F170" s="248"/>
      <c r="G170" s="26">
        <f ca="1">+G27*(1-G46)</f>
        <v>1242999442.2427895</v>
      </c>
      <c r="H170" s="26">
        <f t="shared" ref="H170:K170" ca="1" si="84">+H27*(1-H46)</f>
        <v>1566866358.5051489</v>
      </c>
      <c r="I170" s="26">
        <f t="shared" ca="1" si="84"/>
        <v>1914105426.7815809</v>
      </c>
      <c r="J170" s="26">
        <f t="shared" ca="1" si="84"/>
        <v>2263022157.4454093</v>
      </c>
      <c r="K170" s="26">
        <f t="shared" ca="1" si="84"/>
        <v>2599083607.6541195</v>
      </c>
    </row>
    <row r="171" spans="1:11" ht="15" customHeight="1">
      <c r="C171" s="25" t="s">
        <v>92</v>
      </c>
      <c r="D171" s="64"/>
      <c r="E171" s="250"/>
      <c r="F171" s="250"/>
      <c r="G171" s="26">
        <f ca="1">-G170*G49</f>
        <v>-186449916.33641842</v>
      </c>
      <c r="H171" s="26">
        <f t="shared" ref="H171:K171" ca="1" si="85">-H170*H49</f>
        <v>-235029953.77577233</v>
      </c>
      <c r="I171" s="26">
        <f t="shared" ca="1" si="85"/>
        <v>-287115814.01723713</v>
      </c>
      <c r="J171" s="26">
        <f t="shared" ca="1" si="85"/>
        <v>-339453323.61681139</v>
      </c>
      <c r="K171" s="26">
        <f t="shared" ca="1" si="85"/>
        <v>-389862541.1481179</v>
      </c>
    </row>
    <row r="172" spans="1:11" ht="15" customHeight="1">
      <c r="C172" s="23" t="s">
        <v>83</v>
      </c>
      <c r="D172" s="53"/>
      <c r="E172" s="249"/>
      <c r="F172" s="249"/>
      <c r="G172" s="53">
        <f ca="1">G169+G170+G171</f>
        <v>3761552311.9063706</v>
      </c>
      <c r="H172" s="53">
        <f t="shared" ref="H172:K172" ca="1" si="86">H169+H170+H171</f>
        <v>5093388716.6357479</v>
      </c>
      <c r="I172" s="53">
        <f t="shared" ca="1" si="86"/>
        <v>6720378329.4000921</v>
      </c>
      <c r="J172" s="53">
        <f t="shared" ca="1" si="86"/>
        <v>8643947163.2286892</v>
      </c>
      <c r="K172" s="53">
        <f t="shared" ca="1" si="86"/>
        <v>10853168229.734692</v>
      </c>
    </row>
    <row r="173" spans="1:11" ht="15" customHeight="1"/>
    <row r="174" spans="1:11" ht="15" customHeight="1">
      <c r="C174" s="8" t="s">
        <v>93</v>
      </c>
      <c r="D174" s="34"/>
      <c r="E174" s="34"/>
      <c r="F174" s="34"/>
      <c r="G174" s="34">
        <f ca="1">-G171/G170</f>
        <v>0.15</v>
      </c>
      <c r="H174" s="34">
        <f t="shared" ref="H174:K174" ca="1" si="87">-H171/H170</f>
        <v>0.15</v>
      </c>
      <c r="I174" s="34">
        <f t="shared" ca="1" si="87"/>
        <v>0.15</v>
      </c>
      <c r="J174" s="34">
        <f t="shared" ca="1" si="87"/>
        <v>0.15</v>
      </c>
      <c r="K174" s="34">
        <f t="shared" ca="1" si="87"/>
        <v>0.15</v>
      </c>
    </row>
    <row r="175" spans="1:11" ht="15" customHeight="1"/>
    <row r="176" spans="1:11" s="58" customFormat="1" ht="15" customHeight="1">
      <c r="C176" s="79" t="s">
        <v>98</v>
      </c>
      <c r="D176" s="82"/>
      <c r="E176" s="82"/>
      <c r="F176" s="82"/>
      <c r="G176" s="82"/>
      <c r="H176" s="82"/>
      <c r="I176" s="82"/>
      <c r="J176" s="82"/>
      <c r="K176" s="82"/>
    </row>
    <row r="177" spans="3:11" customFormat="1">
      <c r="C177" s="83" t="s">
        <v>124</v>
      </c>
      <c r="D177" s="84"/>
      <c r="E177" s="84"/>
      <c r="F177" s="84"/>
      <c r="G177" s="85">
        <f t="shared" ref="G177:K177" si="88">G$13</f>
        <v>2026</v>
      </c>
      <c r="H177" s="85">
        <f t="shared" si="88"/>
        <v>2027</v>
      </c>
      <c r="I177" s="85">
        <f t="shared" si="88"/>
        <v>2028</v>
      </c>
      <c r="J177" s="85">
        <f t="shared" si="88"/>
        <v>2029</v>
      </c>
      <c r="K177" s="85">
        <f t="shared" si="88"/>
        <v>2030</v>
      </c>
    </row>
    <row r="178" spans="3:11" customFormat="1">
      <c r="C178" s="77" t="s">
        <v>125</v>
      </c>
      <c r="D178" s="78"/>
      <c r="E178" s="78"/>
      <c r="F178" s="78"/>
      <c r="G178" s="78">
        <f t="shared" ref="G178:K178" si="89">G$14</f>
        <v>46387</v>
      </c>
      <c r="H178" s="78">
        <f t="shared" si="89"/>
        <v>46752</v>
      </c>
      <c r="I178" s="78">
        <f t="shared" si="89"/>
        <v>47118</v>
      </c>
      <c r="J178" s="78">
        <f t="shared" si="89"/>
        <v>47483</v>
      </c>
      <c r="K178" s="78">
        <f t="shared" si="89"/>
        <v>47848</v>
      </c>
    </row>
    <row r="179" spans="3:11" ht="15" customHeight="1"/>
    <row r="180" spans="3:11" ht="15" customHeight="1">
      <c r="C180" s="58" t="s">
        <v>99</v>
      </c>
      <c r="G180" s="46">
        <f>+F58</f>
        <v>547542841</v>
      </c>
      <c r="H180" s="46">
        <f t="shared" ref="H180:K180" ca="1" si="90">+G58</f>
        <v>250000000</v>
      </c>
      <c r="I180" s="46">
        <f t="shared" ca="1" si="90"/>
        <v>250000000</v>
      </c>
      <c r="J180" s="46">
        <f t="shared" ca="1" si="90"/>
        <v>250000000</v>
      </c>
      <c r="K180" s="46">
        <f t="shared" ca="1" si="90"/>
        <v>1529831756.7316737</v>
      </c>
    </row>
    <row r="181" spans="3:11" ht="15" customHeight="1">
      <c r="C181" s="58" t="s">
        <v>100</v>
      </c>
      <c r="G181" s="263">
        <f>G50</f>
        <v>250000000</v>
      </c>
      <c r="H181" s="263">
        <f t="shared" ref="H181:K181" si="91">H50</f>
        <v>250000000</v>
      </c>
      <c r="I181" s="263">
        <f t="shared" si="91"/>
        <v>250000000</v>
      </c>
      <c r="J181" s="263">
        <f t="shared" si="91"/>
        <v>250000000</v>
      </c>
      <c r="K181" s="263">
        <f t="shared" si="91"/>
        <v>250000000</v>
      </c>
    </row>
    <row r="182" spans="3:11" ht="15" customHeight="1">
      <c r="C182" s="58" t="s">
        <v>101</v>
      </c>
      <c r="G182" s="46">
        <f ca="1">G120+G128+G132+G134</f>
        <v>-1201963265.77474</v>
      </c>
      <c r="H182" s="46">
        <f t="shared" ref="H182:K182" ca="1" si="92">H120+H128+H132+H134</f>
        <v>10182636.575526759</v>
      </c>
      <c r="I182" s="46">
        <f t="shared" ca="1" si="92"/>
        <v>942618581.24754941</v>
      </c>
      <c r="J182" s="46">
        <f t="shared" ca="1" si="92"/>
        <v>1622776157.6833375</v>
      </c>
      <c r="K182" s="46">
        <f t="shared" ca="1" si="92"/>
        <v>2219078171.1980567</v>
      </c>
    </row>
    <row r="183" spans="3:11" s="18" customFormat="1" ht="15" customHeight="1">
      <c r="C183" s="65" t="s">
        <v>102</v>
      </c>
      <c r="D183" s="66"/>
      <c r="E183" s="23"/>
      <c r="F183" s="23"/>
      <c r="G183" s="53">
        <f ca="1">+G180-G181+G182</f>
        <v>-904420424.77473998</v>
      </c>
      <c r="H183" s="53">
        <f t="shared" ref="H183:K183" ca="1" si="93">+H180-H181+H182</f>
        <v>10182636.575526759</v>
      </c>
      <c r="I183" s="53">
        <f t="shared" ca="1" si="93"/>
        <v>942618581.24754941</v>
      </c>
      <c r="J183" s="53">
        <f t="shared" ca="1" si="93"/>
        <v>1622776157.6833375</v>
      </c>
      <c r="K183" s="53">
        <f t="shared" ca="1" si="93"/>
        <v>3498909927.9297304</v>
      </c>
    </row>
    <row r="184" spans="3:11" ht="15" customHeight="1"/>
    <row r="185" spans="3:11" s="58" customFormat="1" ht="15" customHeight="1">
      <c r="C185" s="79" t="s">
        <v>105</v>
      </c>
      <c r="D185" s="82"/>
      <c r="E185" s="82"/>
      <c r="F185" s="82"/>
      <c r="G185" s="82"/>
      <c r="H185" s="82"/>
      <c r="I185" s="82"/>
      <c r="J185" s="82"/>
      <c r="K185" s="82"/>
    </row>
    <row r="186" spans="3:11" customFormat="1">
      <c r="C186" s="83" t="s">
        <v>124</v>
      </c>
      <c r="D186" s="84"/>
      <c r="E186" s="84"/>
      <c r="F186" s="84"/>
      <c r="G186" s="85">
        <f t="shared" ref="G186:K186" si="94">G$13</f>
        <v>2026</v>
      </c>
      <c r="H186" s="85">
        <f t="shared" si="94"/>
        <v>2027</v>
      </c>
      <c r="I186" s="85">
        <f t="shared" si="94"/>
        <v>2028</v>
      </c>
      <c r="J186" s="85">
        <f t="shared" si="94"/>
        <v>2029</v>
      </c>
      <c r="K186" s="85">
        <f t="shared" si="94"/>
        <v>2030</v>
      </c>
    </row>
    <row r="187" spans="3:11" customFormat="1">
      <c r="C187" s="77" t="s">
        <v>125</v>
      </c>
      <c r="D187" s="78"/>
      <c r="E187" s="78"/>
      <c r="F187" s="78"/>
      <c r="G187" s="78">
        <f t="shared" ref="G187:K187" si="95">G$14</f>
        <v>46387</v>
      </c>
      <c r="H187" s="78">
        <f t="shared" si="95"/>
        <v>46752</v>
      </c>
      <c r="I187" s="78">
        <f t="shared" si="95"/>
        <v>47118</v>
      </c>
      <c r="J187" s="78">
        <f t="shared" si="95"/>
        <v>47483</v>
      </c>
      <c r="K187" s="78">
        <f t="shared" si="95"/>
        <v>47848</v>
      </c>
    </row>
    <row r="188" spans="3:11" ht="15" customHeight="1"/>
    <row r="189" spans="3:11" ht="15" customHeight="1">
      <c r="C189" s="8" t="s">
        <v>106</v>
      </c>
      <c r="F189" s="46"/>
      <c r="G189" s="46">
        <f ca="1">+G194+G199</f>
        <v>343864486.75314051</v>
      </c>
      <c r="H189" s="46">
        <f t="shared" ref="H189:K189" ca="1" si="96">+H194+H199</f>
        <v>397518754.0450933</v>
      </c>
      <c r="I189" s="46">
        <f t="shared" ca="1" si="96"/>
        <v>340350680.97570872</v>
      </c>
      <c r="J189" s="46">
        <f t="shared" ca="1" si="96"/>
        <v>263216902.04375592</v>
      </c>
      <c r="K189" s="46">
        <f t="shared" ca="1" si="96"/>
        <v>242640237.9866561</v>
      </c>
    </row>
    <row r="190" spans="3:11" ht="15" customHeight="1"/>
    <row r="191" spans="3:11" s="18" customFormat="1" ht="15" customHeight="1">
      <c r="C191" s="18" t="s">
        <v>107</v>
      </c>
      <c r="D191" s="44"/>
    </row>
    <row r="192" spans="3:11" ht="15" customHeight="1">
      <c r="C192" s="25" t="s">
        <v>108</v>
      </c>
      <c r="E192" s="67"/>
      <c r="F192" s="68"/>
      <c r="G192" s="68">
        <v>0.12</v>
      </c>
      <c r="H192" s="34">
        <f>G192</f>
        <v>0.12</v>
      </c>
      <c r="I192" s="34">
        <f t="shared" ref="I192:K192" si="97">H192</f>
        <v>0.12</v>
      </c>
      <c r="J192" s="34">
        <f t="shared" si="97"/>
        <v>0.12</v>
      </c>
      <c r="K192" s="34">
        <f t="shared" si="97"/>
        <v>0.12</v>
      </c>
    </row>
    <row r="193" spans="3:11" ht="15" customHeight="1">
      <c r="C193" s="25" t="s">
        <v>109</v>
      </c>
      <c r="E193" s="46"/>
      <c r="F193" s="46"/>
      <c r="G193" s="46">
        <f ca="1">G75</f>
        <v>1295745618.77474</v>
      </c>
      <c r="H193" s="46">
        <f t="shared" ref="H193:K193" ca="1" si="98">H75</f>
        <v>1285562982.1992133</v>
      </c>
      <c r="I193" s="46">
        <f t="shared" ca="1" si="98"/>
        <v>342944400.95166385</v>
      </c>
      <c r="J193" s="46">
        <f t="shared" ca="1" si="98"/>
        <v>0</v>
      </c>
      <c r="K193" s="46">
        <f t="shared" ca="1" si="98"/>
        <v>0</v>
      </c>
    </row>
    <row r="194" spans="3:11" s="18" customFormat="1" ht="15" customHeight="1">
      <c r="C194" s="23" t="s">
        <v>110</v>
      </c>
      <c r="D194" s="66"/>
      <c r="E194" s="23"/>
      <c r="F194" s="69"/>
      <c r="G194" s="69">
        <f ca="1">AVERAGE(F75,G75)*G192</f>
        <v>101224248.76648439</v>
      </c>
      <c r="H194" s="69">
        <f t="shared" ref="H194:K194" ca="1" si="99">AVERAGE(G75,H75)*H192</f>
        <v>154878516.0584372</v>
      </c>
      <c r="I194" s="69">
        <f t="shared" ca="1" si="99"/>
        <v>97710442.989052624</v>
      </c>
      <c r="J194" s="69">
        <f t="shared" ca="1" si="99"/>
        <v>20576664.05709983</v>
      </c>
      <c r="K194" s="69">
        <f t="shared" ca="1" si="99"/>
        <v>0</v>
      </c>
    </row>
    <row r="195" spans="3:11" ht="15" customHeight="1"/>
    <row r="196" spans="3:11" s="18" customFormat="1" ht="15" customHeight="1">
      <c r="C196" s="18" t="s">
        <v>111</v>
      </c>
      <c r="D196" s="44"/>
    </row>
    <row r="197" spans="3:11" ht="15" customHeight="1">
      <c r="C197" s="25" t="s">
        <v>109</v>
      </c>
      <c r="E197" s="46"/>
      <c r="F197" s="46"/>
      <c r="G197" s="46">
        <f>G76+G85</f>
        <v>3135813053</v>
      </c>
      <c r="H197" s="46">
        <f t="shared" ref="H197:K197" si="100">H76+H85</f>
        <v>3135813053</v>
      </c>
      <c r="I197" s="46">
        <f t="shared" si="100"/>
        <v>3135813053</v>
      </c>
      <c r="J197" s="46">
        <f t="shared" si="100"/>
        <v>3135813053</v>
      </c>
      <c r="K197" s="46">
        <f t="shared" si="100"/>
        <v>3135813053</v>
      </c>
    </row>
    <row r="198" spans="3:11" ht="15" customHeight="1">
      <c r="C198" s="25" t="s">
        <v>108</v>
      </c>
      <c r="F198" s="68"/>
      <c r="G198" s="68">
        <f>-F23/AVERAGE(E76+E85+E75, F76+F85+F75)</f>
        <v>7.7377137567089554E-2</v>
      </c>
      <c r="H198" s="34">
        <f>G198</f>
        <v>7.7377137567089554E-2</v>
      </c>
      <c r="I198" s="34">
        <f t="shared" ref="I198:K198" si="101">H198</f>
        <v>7.7377137567089554E-2</v>
      </c>
      <c r="J198" s="34">
        <f t="shared" si="101"/>
        <v>7.7377137567089554E-2</v>
      </c>
      <c r="K198" s="34">
        <f t="shared" si="101"/>
        <v>7.7377137567089554E-2</v>
      </c>
    </row>
    <row r="199" spans="3:11" s="18" customFormat="1" ht="15" customHeight="1">
      <c r="C199" s="23" t="s">
        <v>112</v>
      </c>
      <c r="D199" s="66"/>
      <c r="E199" s="23"/>
      <c r="F199" s="69"/>
      <c r="G199" s="69">
        <f>AVERAGE(F76+F85,G76+G85)*G198</f>
        <v>242640237.9866561</v>
      </c>
      <c r="H199" s="69">
        <f t="shared" ref="H199:K199" si="102">AVERAGE(G76+G85,H76+H85)*H198</f>
        <v>242640237.9866561</v>
      </c>
      <c r="I199" s="69">
        <f t="shared" si="102"/>
        <v>242640237.9866561</v>
      </c>
      <c r="J199" s="69">
        <f t="shared" si="102"/>
        <v>242640237.9866561</v>
      </c>
      <c r="K199" s="69">
        <f t="shared" si="102"/>
        <v>242640237.9866561</v>
      </c>
    </row>
    <row r="200" spans="3:11" ht="15" customHeight="1"/>
    <row r="201" spans="3:11" s="18" customFormat="1" ht="15" customHeight="1">
      <c r="C201" s="18" t="s">
        <v>113</v>
      </c>
      <c r="D201" s="44"/>
      <c r="F201" s="70"/>
      <c r="G201" s="67"/>
      <c r="H201" s="67"/>
      <c r="I201" s="67"/>
      <c r="J201" s="67"/>
      <c r="K201" s="67"/>
    </row>
    <row r="202" spans="3:11" ht="15" customHeight="1">
      <c r="C202" s="8" t="s">
        <v>114</v>
      </c>
      <c r="F202" s="61"/>
      <c r="G202" s="61">
        <v>0.05</v>
      </c>
      <c r="H202" s="60">
        <f>G202</f>
        <v>0.05</v>
      </c>
      <c r="I202" s="60">
        <f t="shared" ref="I202:K202" si="103">H202</f>
        <v>0.05</v>
      </c>
      <c r="J202" s="60">
        <f t="shared" si="103"/>
        <v>0.05</v>
      </c>
      <c r="K202" s="60">
        <f t="shared" si="103"/>
        <v>0.05</v>
      </c>
    </row>
    <row r="203" spans="3:11" ht="15" customHeight="1">
      <c r="C203" s="8" t="s">
        <v>115</v>
      </c>
      <c r="F203" s="46"/>
      <c r="G203" s="46">
        <f ca="1">AVERAGE(F58,G58)*G202</f>
        <v>19938571.025000002</v>
      </c>
      <c r="H203" s="46">
        <f t="shared" ref="H203:K203" ca="1" si="104">AVERAGE(G58,H58)*H202</f>
        <v>12500000</v>
      </c>
      <c r="I203" s="46">
        <f t="shared" ca="1" si="104"/>
        <v>12500000</v>
      </c>
      <c r="J203" s="46">
        <f t="shared" ca="1" si="104"/>
        <v>44495793.918291844</v>
      </c>
      <c r="K203" s="46">
        <f t="shared" ca="1" si="104"/>
        <v>131968542.1165351</v>
      </c>
    </row>
    <row r="204" spans="3:11" ht="15" customHeight="1"/>
    <row r="205" spans="3:11" ht="15" customHeight="1">
      <c r="C205" s="18" t="s">
        <v>116</v>
      </c>
    </row>
    <row r="206" spans="3:11" ht="15" customHeight="1">
      <c r="C206" s="8" t="s">
        <v>80</v>
      </c>
      <c r="G206" s="46">
        <f>F75</f>
        <v>391325194</v>
      </c>
      <c r="H206" s="46">
        <f t="shared" ref="H206:K206" ca="1" si="105">G75</f>
        <v>1295745618.77474</v>
      </c>
      <c r="I206" s="46">
        <f t="shared" ca="1" si="105"/>
        <v>1285562982.1992133</v>
      </c>
      <c r="J206" s="46">
        <f t="shared" ca="1" si="105"/>
        <v>342944400.95166385</v>
      </c>
      <c r="K206" s="46">
        <f t="shared" ca="1" si="105"/>
        <v>0</v>
      </c>
    </row>
    <row r="207" spans="3:11" ht="15" customHeight="1">
      <c r="C207" s="8" t="s">
        <v>103</v>
      </c>
      <c r="G207" s="46">
        <f ca="1">IF(G183&gt;0, -MIN(G183,G206), 0)</f>
        <v>0</v>
      </c>
      <c r="H207" s="46">
        <f t="shared" ref="H207:K207" ca="1" si="106">IF(H183&gt;0, -MIN(H183,H206), 0)</f>
        <v>-10182636.575526759</v>
      </c>
      <c r="I207" s="46">
        <f t="shared" ca="1" si="106"/>
        <v>-942618581.24754941</v>
      </c>
      <c r="J207" s="46">
        <f t="shared" ca="1" si="106"/>
        <v>-342944400.95166385</v>
      </c>
      <c r="K207" s="46">
        <f t="shared" ca="1" si="106"/>
        <v>0</v>
      </c>
    </row>
    <row r="208" spans="3:11" ht="15" customHeight="1">
      <c r="C208" s="8" t="s">
        <v>104</v>
      </c>
      <c r="G208" s="31">
        <f ca="1">IF(G183&lt;0, -G183, 0)</f>
        <v>904420424.77473998</v>
      </c>
      <c r="H208" s="31">
        <f t="shared" ref="H208:K208" ca="1" si="107">IF(H183&lt;0, -H183, 0)</f>
        <v>0</v>
      </c>
      <c r="I208" s="31">
        <f t="shared" ca="1" si="107"/>
        <v>0</v>
      </c>
      <c r="J208" s="31">
        <f t="shared" ca="1" si="107"/>
        <v>0</v>
      </c>
      <c r="K208" s="31">
        <f t="shared" ca="1" si="107"/>
        <v>0</v>
      </c>
    </row>
    <row r="209" spans="3:11" ht="15" customHeight="1">
      <c r="C209" s="23" t="s">
        <v>83</v>
      </c>
      <c r="D209" s="71"/>
      <c r="E209" s="72"/>
      <c r="F209" s="72"/>
      <c r="G209" s="53">
        <f ca="1">G206+G207+G208</f>
        <v>1295745618.77474</v>
      </c>
      <c r="H209" s="53">
        <f t="shared" ref="H209:K209" ca="1" si="108">H206+H207+H208</f>
        <v>1285562982.1992133</v>
      </c>
      <c r="I209" s="53">
        <f t="shared" ca="1" si="108"/>
        <v>342944400.95166385</v>
      </c>
      <c r="J209" s="53">
        <f t="shared" ca="1" si="108"/>
        <v>0</v>
      </c>
      <c r="K209" s="53">
        <f t="shared" ca="1" si="108"/>
        <v>0</v>
      </c>
    </row>
  </sheetData>
  <conditionalFormatting sqref="C39">
    <cfRule type="expression" dxfId="2" priority="1">
      <formula>#REF!=$C39</formula>
    </cfRule>
  </conditionalFormatting>
  <pageMargins left="0.7" right="0.7" top="0.75" bottom="0.75" header="0.511811023622047" footer="0.511811023622047"/>
  <pageSetup orientation="portrait" horizontalDpi="300" verticalDpi="300"/>
  <ignoredErrors>
    <ignoredError sqref="G86:K86" formula="1"/>
  </ignoredErrors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BFB8B-B60E-497E-A730-4D15A5E1DAC7}">
  <dimension ref="B1:Q132"/>
  <sheetViews>
    <sheetView showGridLines="0" tabSelected="1" zoomScaleNormal="100" workbookViewId="0">
      <selection activeCell="H8" sqref="F7:H8"/>
    </sheetView>
  </sheetViews>
  <sheetFormatPr defaultColWidth="9.140625" defaultRowHeight="15"/>
  <cols>
    <col min="1" max="1" width="1.42578125" style="86" customWidth="1"/>
    <col min="2" max="2" width="54.42578125" style="86" customWidth="1"/>
    <col min="3" max="3" width="15.28515625" style="86" bestFit="1" customWidth="1"/>
    <col min="4" max="4" width="14.5703125" style="86" bestFit="1" customWidth="1"/>
    <col min="5" max="8" width="14.28515625" style="86" customWidth="1"/>
    <col min="9" max="9" width="15.28515625" style="86" bestFit="1" customWidth="1"/>
    <col min="10" max="10" width="1.7109375" style="86" customWidth="1"/>
    <col min="11" max="11" width="12.140625" style="86" bestFit="1" customWidth="1"/>
    <col min="12" max="16" width="9.42578125" style="86" customWidth="1"/>
    <col min="17" max="16384" width="9.140625" style="86"/>
  </cols>
  <sheetData>
    <row r="1" spans="2:10" ht="15.75" thickBot="1"/>
    <row r="2" spans="2:10" ht="15.75" thickBot="1">
      <c r="B2" s="87" t="s">
        <v>128</v>
      </c>
      <c r="C2" s="88"/>
      <c r="D2" s="88"/>
      <c r="E2" s="88"/>
      <c r="F2" s="88"/>
      <c r="G2" s="88"/>
      <c r="H2" s="88"/>
      <c r="I2" s="88"/>
    </row>
    <row r="3" spans="2:10">
      <c r="B3" s="235" t="str">
        <f>FSM!C3</f>
        <v>All amounts are shown in Egyptian pounds, except per-share data, ratios, and shares outstanding</v>
      </c>
    </row>
    <row r="4" spans="2:10">
      <c r="B4" s="86" t="s">
        <v>129</v>
      </c>
      <c r="C4" s="90"/>
      <c r="D4" s="90">
        <v>46022</v>
      </c>
      <c r="F4" s="86" t="s">
        <v>130</v>
      </c>
      <c r="H4" s="91">
        <f>+WACC!E21</f>
        <v>0.22663835629521467</v>
      </c>
      <c r="I4" s="86" t="s">
        <v>131</v>
      </c>
    </row>
    <row r="5" spans="2:10">
      <c r="B5" s="86" t="s">
        <v>132</v>
      </c>
      <c r="C5" s="92"/>
      <c r="D5" s="92">
        <f>EOMONTH(D4,12)</f>
        <v>46387</v>
      </c>
      <c r="F5" s="86" t="s">
        <v>133</v>
      </c>
      <c r="H5" s="201">
        <v>15.12</v>
      </c>
    </row>
    <row r="6" spans="2:10">
      <c r="B6" s="86" t="s">
        <v>134</v>
      </c>
      <c r="C6" s="90"/>
      <c r="D6" s="90">
        <v>46022</v>
      </c>
      <c r="F6" s="86" t="s">
        <v>135</v>
      </c>
      <c r="H6" s="93">
        <v>46167</v>
      </c>
      <c r="J6" s="94"/>
    </row>
    <row r="7" spans="2:10">
      <c r="B7" s="86" t="s">
        <v>136</v>
      </c>
      <c r="C7" s="90"/>
      <c r="D7" s="90">
        <v>46169</v>
      </c>
      <c r="E7" s="94"/>
      <c r="F7" s="275" t="s">
        <v>249</v>
      </c>
      <c r="G7" s="94"/>
      <c r="H7" s="201">
        <f ca="1">C73</f>
        <v>5.6428672447335755</v>
      </c>
    </row>
    <row r="8" spans="2:10">
      <c r="B8" s="86" t="s">
        <v>137</v>
      </c>
      <c r="C8" s="181"/>
      <c r="D8" s="181">
        <f>YEARFRAC(D7,D5)</f>
        <v>0.59444444444444444</v>
      </c>
      <c r="F8" s="275" t="s">
        <v>250</v>
      </c>
      <c r="H8" s="224">
        <f ca="1">+(H7-H5)/H5</f>
        <v>-0.6267944943959276</v>
      </c>
    </row>
    <row r="9" spans="2:10">
      <c r="D9" s="96"/>
    </row>
    <row r="10" spans="2:10">
      <c r="B10" s="97" t="s">
        <v>138</v>
      </c>
      <c r="C10" s="98"/>
      <c r="D10" s="99"/>
      <c r="F10" s="98"/>
      <c r="G10" s="98"/>
      <c r="H10" s="98"/>
      <c r="I10" s="98"/>
    </row>
    <row r="11" spans="2:10" ht="17.25" customHeight="1">
      <c r="C11" s="100" t="s">
        <v>139</v>
      </c>
      <c r="D11" s="100" t="s">
        <v>140</v>
      </c>
      <c r="E11" s="101" t="s">
        <v>141</v>
      </c>
      <c r="F11" s="100"/>
      <c r="G11" s="100"/>
      <c r="H11" s="100"/>
      <c r="I11" s="100"/>
    </row>
    <row r="12" spans="2:10">
      <c r="B12" s="102" t="s">
        <v>142</v>
      </c>
      <c r="C12" s="103">
        <f>D7</f>
        <v>46169</v>
      </c>
      <c r="D12" s="104">
        <f>D4</f>
        <v>46022</v>
      </c>
      <c r="E12" s="105">
        <f>EOMONTH(D12,12)</f>
        <v>46387</v>
      </c>
      <c r="F12" s="106">
        <f>EOMONTH(E12,12)</f>
        <v>46752</v>
      </c>
      <c r="G12" s="106">
        <f t="shared" ref="G12:I12" si="0">EOMONTH(F12,12)</f>
        <v>47118</v>
      </c>
      <c r="H12" s="106">
        <f t="shared" si="0"/>
        <v>47483</v>
      </c>
      <c r="I12" s="106">
        <f t="shared" si="0"/>
        <v>47848</v>
      </c>
    </row>
    <row r="13" spans="2:10">
      <c r="B13" s="102"/>
      <c r="D13" s="225"/>
      <c r="E13" s="233"/>
      <c r="F13" s="233"/>
      <c r="G13" s="233"/>
      <c r="H13" s="233"/>
      <c r="I13" s="231"/>
    </row>
    <row r="14" spans="2:10">
      <c r="B14" s="86" t="s">
        <v>143</v>
      </c>
      <c r="C14" s="202">
        <f>+E14*(1-$D$8)+D14*$D$8</f>
        <v>8546240223.9499998</v>
      </c>
      <c r="D14" s="226">
        <f>FSM!F16</f>
        <v>7227264460</v>
      </c>
      <c r="E14" s="226">
        <f>FSM!G16</f>
        <v>10479533467</v>
      </c>
      <c r="F14" s="226">
        <f>FSM!H16</f>
        <v>13099416833.75</v>
      </c>
      <c r="G14" s="226">
        <f>FSM!I16</f>
        <v>15326317695.487499</v>
      </c>
      <c r="H14" s="226">
        <f>FSM!J16</f>
        <v>17318738995.900871</v>
      </c>
      <c r="I14" s="226">
        <f>FSM!K16</f>
        <v>19223800285.44997</v>
      </c>
    </row>
    <row r="15" spans="2:10">
      <c r="B15" s="109" t="s">
        <v>117</v>
      </c>
      <c r="D15" s="227"/>
      <c r="E15" s="234">
        <f>+E14/D14-1</f>
        <v>0.44999999999999996</v>
      </c>
      <c r="F15" s="234">
        <f t="shared" ref="F15:I15" si="1">+F14/E14-1</f>
        <v>0.25</v>
      </c>
      <c r="G15" s="234">
        <f t="shared" si="1"/>
        <v>0.16999999999999993</v>
      </c>
      <c r="H15" s="234">
        <f t="shared" si="1"/>
        <v>0.12999999999999989</v>
      </c>
      <c r="I15" s="234">
        <f t="shared" si="1"/>
        <v>0.1100000000000001</v>
      </c>
    </row>
    <row r="16" spans="2:10">
      <c r="B16" s="86" t="s">
        <v>45</v>
      </c>
      <c r="C16" s="202">
        <f>+E16*(1-$D$8)+D16*$D$8</f>
        <v>2082934069.8890057</v>
      </c>
      <c r="D16" s="226">
        <f>FSM!F30</f>
        <v>1744232850</v>
      </c>
      <c r="E16" s="226">
        <f>FSM!G30</f>
        <v>2579386542.8769999</v>
      </c>
      <c r="F16" s="226">
        <f>FSM!H30</f>
        <v>3273338520.4362497</v>
      </c>
      <c r="G16" s="226">
        <f>FSM!I30</f>
        <v>3837817290.0581121</v>
      </c>
      <c r="H16" s="226">
        <f>FSM!J30</f>
        <v>4322060917.3457146</v>
      </c>
      <c r="I16" s="226">
        <f>FSM!K30</f>
        <v>4770665122.9580889</v>
      </c>
    </row>
    <row r="17" spans="2:13">
      <c r="B17" s="109" t="s">
        <v>144</v>
      </c>
      <c r="D17" s="227">
        <f>D16/D14</f>
        <v>0.24134067040906373</v>
      </c>
      <c r="E17" s="227">
        <f t="shared" ref="E17:I17" si="2">E16/E14</f>
        <v>0.24613562722037918</v>
      </c>
      <c r="F17" s="227">
        <f t="shared" si="2"/>
        <v>0.24988429347500835</v>
      </c>
      <c r="G17" s="227">
        <f t="shared" si="2"/>
        <v>0.25040700358104112</v>
      </c>
      <c r="H17" s="227">
        <f t="shared" si="2"/>
        <v>0.24955979291383121</v>
      </c>
      <c r="I17" s="227">
        <f t="shared" si="2"/>
        <v>0.24816451753136917</v>
      </c>
    </row>
    <row r="18" spans="2:13">
      <c r="B18" s="86" t="s">
        <v>145</v>
      </c>
      <c r="C18" s="202">
        <f>+E18*(1-$D$8)+D18*$D$8</f>
        <v>1781468324.1654444</v>
      </c>
      <c r="D18" s="226">
        <f>FSM!F21</f>
        <v>1490050629</v>
      </c>
      <c r="E18" s="226">
        <f>FSM!G21</f>
        <v>2208614808.8599997</v>
      </c>
      <c r="F18" s="226">
        <f>FSM!H21</f>
        <v>2760768511.0749998</v>
      </c>
      <c r="G18" s="226">
        <f>FSM!I21</f>
        <v>3230099157.9577498</v>
      </c>
      <c r="H18" s="226">
        <f>FSM!J21</f>
        <v>3650012048.4922576</v>
      </c>
      <c r="I18" s="226">
        <f>FSM!K21</f>
        <v>4051513373.8264065</v>
      </c>
    </row>
    <row r="19" spans="2:13">
      <c r="B19" s="109" t="s">
        <v>144</v>
      </c>
      <c r="D19" s="227">
        <f>+D18/D14</f>
        <v>0.20617076312162513</v>
      </c>
      <c r="E19" s="227">
        <f t="shared" ref="E19:I19" si="3">+E18/E14</f>
        <v>0.21075506994800072</v>
      </c>
      <c r="F19" s="227">
        <f t="shared" si="3"/>
        <v>0.21075506994800075</v>
      </c>
      <c r="G19" s="227">
        <f t="shared" si="3"/>
        <v>0.21075506994800078</v>
      </c>
      <c r="H19" s="227">
        <f t="shared" si="3"/>
        <v>0.21075506994800081</v>
      </c>
      <c r="I19" s="227">
        <f t="shared" si="3"/>
        <v>0.21075506994800081</v>
      </c>
    </row>
    <row r="20" spans="2:13">
      <c r="B20" s="109"/>
      <c r="D20" s="226"/>
      <c r="E20" s="226"/>
      <c r="F20" s="226"/>
      <c r="G20" s="226"/>
      <c r="H20" s="226"/>
      <c r="I20" s="232"/>
    </row>
    <row r="21" spans="2:13">
      <c r="B21" s="86" t="s">
        <v>146</v>
      </c>
      <c r="D21" s="228">
        <f>+D18*D22</f>
        <v>396751798.05022871</v>
      </c>
      <c r="E21" s="228">
        <f t="shared" ref="E21:I21" si="4">+E18*E22</f>
        <v>496938331.99349993</v>
      </c>
      <c r="F21" s="228">
        <f t="shared" si="4"/>
        <v>621172914.99187493</v>
      </c>
      <c r="G21" s="228">
        <f t="shared" si="4"/>
        <v>726772310.54049373</v>
      </c>
      <c r="H21" s="228">
        <f t="shared" si="4"/>
        <v>821252710.91075802</v>
      </c>
      <c r="I21" s="228">
        <f t="shared" si="4"/>
        <v>911590509.11094153</v>
      </c>
    </row>
    <row r="22" spans="2:13" ht="15" customHeight="1">
      <c r="B22" s="109" t="s">
        <v>48</v>
      </c>
      <c r="D22" s="229">
        <f>FSM!F40</f>
        <v>0.26626732698102751</v>
      </c>
      <c r="E22" s="229">
        <f>FSM!G40</f>
        <v>0.22500000000000001</v>
      </c>
      <c r="F22" s="229">
        <f>FSM!H40</f>
        <v>0.22500000000000001</v>
      </c>
      <c r="G22" s="229">
        <f>FSM!I40</f>
        <v>0.22500000000000001</v>
      </c>
      <c r="H22" s="229">
        <f>FSM!J40</f>
        <v>0.22500000000000001</v>
      </c>
      <c r="I22" s="229">
        <f>FSM!K40</f>
        <v>0.22500000000000001</v>
      </c>
    </row>
    <row r="23" spans="2:13">
      <c r="B23" s="110" t="s">
        <v>147</v>
      </c>
      <c r="C23" s="110"/>
      <c r="D23" s="230">
        <f>+D18*(1-D22)</f>
        <v>1093298830.9497714</v>
      </c>
      <c r="E23" s="230">
        <f t="shared" ref="E23:I23" si="5">+E18*(1-E22)</f>
        <v>1711676476.8664999</v>
      </c>
      <c r="F23" s="230">
        <f t="shared" si="5"/>
        <v>2139595596.0831249</v>
      </c>
      <c r="G23" s="230">
        <f t="shared" si="5"/>
        <v>2503326847.4172564</v>
      </c>
      <c r="H23" s="230">
        <f t="shared" si="5"/>
        <v>2828759337.5814996</v>
      </c>
      <c r="I23" s="230">
        <f t="shared" si="5"/>
        <v>3139922864.7154651</v>
      </c>
    </row>
    <row r="24" spans="2:13">
      <c r="D24" s="107"/>
      <c r="E24" s="107"/>
      <c r="F24" s="107"/>
      <c r="G24" s="107"/>
      <c r="H24" s="107"/>
      <c r="I24" s="107"/>
    </row>
    <row r="25" spans="2:13">
      <c r="B25" s="86" t="s">
        <v>44</v>
      </c>
      <c r="D25" s="108">
        <f>FSM!F29</f>
        <v>254182221</v>
      </c>
      <c r="E25" s="108">
        <f>FSM!G29</f>
        <v>370771734.01700002</v>
      </c>
      <c r="F25" s="108">
        <f>FSM!H29</f>
        <v>512570009.3612501</v>
      </c>
      <c r="G25" s="108">
        <f>FSM!I29</f>
        <v>607718132.10036254</v>
      </c>
      <c r="H25" s="108">
        <f>FSM!J29</f>
        <v>672048868.85345721</v>
      </c>
      <c r="I25" s="108">
        <f>FSM!K29</f>
        <v>719151749.1316824</v>
      </c>
      <c r="M25" s="112"/>
    </row>
    <row r="26" spans="2:13">
      <c r="B26" s="86" t="s">
        <v>148</v>
      </c>
      <c r="D26" s="107"/>
      <c r="E26" s="107">
        <f>D32-E32</f>
        <v>217911983.01748753</v>
      </c>
      <c r="F26" s="107">
        <f t="shared" ref="F26:I26" si="6">E32-F32</f>
        <v>185669233.75437164</v>
      </c>
      <c r="G26" s="107">
        <f t="shared" si="6"/>
        <v>157818848.69121552</v>
      </c>
      <c r="H26" s="107">
        <f t="shared" si="6"/>
        <v>141201452.27019882</v>
      </c>
      <c r="I26" s="107">
        <f t="shared" si="6"/>
        <v>135010311.67066193</v>
      </c>
      <c r="M26" s="112"/>
    </row>
    <row r="27" spans="2:13">
      <c r="B27" s="86" t="s">
        <v>149</v>
      </c>
      <c r="D27" s="108"/>
      <c r="E27" s="108">
        <f>-FSM!G146</f>
        <v>-3143860040.0999999</v>
      </c>
      <c r="F27" s="108">
        <f>-FSM!H146</f>
        <v>-2357895030.0749998</v>
      </c>
      <c r="G27" s="108">
        <f>-FSM!I146</f>
        <v>-1839158123.4584999</v>
      </c>
      <c r="H27" s="108">
        <f>-FSM!J146</f>
        <v>-1558686509.6310782</v>
      </c>
      <c r="I27" s="108">
        <f>-FSM!K146</f>
        <v>-1345666019.981498</v>
      </c>
      <c r="M27" s="112"/>
    </row>
    <row r="28" spans="2:13">
      <c r="B28" s="109" t="s">
        <v>86</v>
      </c>
      <c r="D28" s="108"/>
      <c r="E28" s="95">
        <f>+E27/E14</f>
        <v>-0.3</v>
      </c>
      <c r="F28" s="95">
        <f t="shared" ref="F28:I28" si="7">+F27/F14</f>
        <v>-0.18</v>
      </c>
      <c r="G28" s="95">
        <f t="shared" si="7"/>
        <v>-0.12</v>
      </c>
      <c r="H28" s="95">
        <f t="shared" si="7"/>
        <v>-0.09</v>
      </c>
      <c r="I28" s="95">
        <f t="shared" si="7"/>
        <v>-7.0000000000000007E-2</v>
      </c>
      <c r="M28" s="112"/>
    </row>
    <row r="29" spans="2:13">
      <c r="D29" s="108"/>
      <c r="E29" s="108"/>
      <c r="F29" s="108"/>
      <c r="G29" s="108"/>
      <c r="H29" s="108"/>
      <c r="I29" s="108"/>
      <c r="M29" s="112"/>
    </row>
    <row r="30" spans="2:13">
      <c r="B30" s="110" t="s">
        <v>150</v>
      </c>
      <c r="C30" s="110"/>
      <c r="D30" s="111"/>
      <c r="E30" s="111">
        <f>E23+E25+E26+E27</f>
        <v>-843499846.19901228</v>
      </c>
      <c r="F30" s="111">
        <f t="shared" ref="F30:I30" si="8">F23+F25+F26+F27</f>
        <v>479939809.12374687</v>
      </c>
      <c r="G30" s="111">
        <f t="shared" si="8"/>
        <v>1429705704.7503347</v>
      </c>
      <c r="H30" s="111">
        <f t="shared" si="8"/>
        <v>2083323149.0740771</v>
      </c>
      <c r="I30" s="111">
        <f t="shared" si="8"/>
        <v>2648418905.5363111</v>
      </c>
      <c r="M30" s="111"/>
    </row>
    <row r="31" spans="2:13">
      <c r="D31" s="108"/>
      <c r="M31" s="112"/>
    </row>
    <row r="32" spans="2:13">
      <c r="B32" s="86" t="s">
        <v>151</v>
      </c>
      <c r="C32" s="108"/>
      <c r="D32" s="108">
        <f>SUM(FSM!F59:F61)-SUM(FSM!F78:F81)</f>
        <v>-598726503</v>
      </c>
      <c r="E32" s="108">
        <f>SUM(FSM!G59:G61)-SUM(FSM!G78:G81)</f>
        <v>-816638486.01748753</v>
      </c>
      <c r="F32" s="108">
        <f>SUM(FSM!H59:H61)-SUM(FSM!H78:H81)</f>
        <v>-1002307719.7718592</v>
      </c>
      <c r="G32" s="108">
        <f>SUM(FSM!I59:I61)-SUM(FSM!I78:I81)</f>
        <v>-1160126568.4630747</v>
      </c>
      <c r="H32" s="108">
        <f>SUM(FSM!J59:J61)-SUM(FSM!J78:J81)</f>
        <v>-1301328020.7332735</v>
      </c>
      <c r="I32" s="108">
        <f>SUM(FSM!K59:K61)-SUM(FSM!K78:K81)</f>
        <v>-1436338332.4039354</v>
      </c>
    </row>
    <row r="33" spans="2:13">
      <c r="B33" s="109" t="s">
        <v>86</v>
      </c>
      <c r="D33" s="95">
        <f>+D32/D14</f>
        <v>-8.2842755556228803E-2</v>
      </c>
      <c r="E33" s="95">
        <f>+E32/E14</f>
        <v>-7.7926988695544333E-2</v>
      </c>
      <c r="F33" s="95">
        <f t="shared" ref="F33:I33" si="9">+F32/F14</f>
        <v>-7.6515445877671659E-2</v>
      </c>
      <c r="G33" s="95">
        <f t="shared" si="9"/>
        <v>-7.5695062017711451E-2</v>
      </c>
      <c r="H33" s="95">
        <f t="shared" si="9"/>
        <v>-7.5139882934968968E-2</v>
      </c>
      <c r="I33" s="95">
        <f t="shared" si="9"/>
        <v>-7.4716669496981053E-2</v>
      </c>
      <c r="J33" s="108"/>
    </row>
    <row r="34" spans="2:13">
      <c r="D34"/>
      <c r="E34" s="95"/>
      <c r="F34" s="95"/>
      <c r="G34" s="95"/>
      <c r="H34" s="95"/>
      <c r="I34" s="95"/>
      <c r="J34" s="108"/>
      <c r="K34" s="113"/>
      <c r="M34" s="95"/>
    </row>
    <row r="35" spans="2:13">
      <c r="B35" s="97" t="str">
        <f>"Present value of UFCF on "&amp;TEXT(D7,"mmm dd, yyyy")&amp;" valuation date"</f>
        <v>Present value of UFCF on May 27, 2026 valuation date</v>
      </c>
      <c r="C35" s="98"/>
      <c r="D35" s="114"/>
      <c r="E35" s="98"/>
      <c r="F35" s="114"/>
      <c r="G35" s="114"/>
      <c r="H35" s="114"/>
      <c r="I35" s="114"/>
      <c r="J35" s="108"/>
    </row>
    <row r="36" spans="2:13" ht="17.25">
      <c r="B36" s="110"/>
      <c r="D36" s="115" t="s">
        <v>152</v>
      </c>
      <c r="E36" s="115" t="s">
        <v>153</v>
      </c>
      <c r="F36" s="116" t="s">
        <v>154</v>
      </c>
      <c r="G36" s="116" t="s">
        <v>155</v>
      </c>
      <c r="H36" s="116" t="s">
        <v>156</v>
      </c>
      <c r="I36" s="116" t="s">
        <v>157</v>
      </c>
      <c r="J36" s="108"/>
    </row>
    <row r="37" spans="2:13">
      <c r="B37" s="86" t="s">
        <v>158</v>
      </c>
      <c r="D37" s="117">
        <f>D7</f>
        <v>46169</v>
      </c>
      <c r="E37" s="203">
        <f ca="1">IF($H$7=1,AVERAGE(E12,D37),E12)</f>
        <v>46387</v>
      </c>
      <c r="F37" s="203">
        <f ca="1">IF($H$7=1,AVERAGE(F12,E12),F12)</f>
        <v>46752</v>
      </c>
      <c r="G37" s="203">
        <f ca="1">IF($H$7=1,AVERAGE(G12,F12),G12)</f>
        <v>47118</v>
      </c>
      <c r="H37" s="203">
        <f ca="1">IF($H$7=1,AVERAGE(H12,G12),H12)</f>
        <v>47483</v>
      </c>
      <c r="I37" s="203">
        <f ca="1">IF($H$7=1,AVERAGE(I12,H12),I12)</f>
        <v>47848</v>
      </c>
      <c r="J37" s="108"/>
    </row>
    <row r="38" spans="2:13">
      <c r="B38" s="86" t="s">
        <v>159</v>
      </c>
      <c r="C38" s="118">
        <f>D8</f>
        <v>0.59444444444444444</v>
      </c>
      <c r="D38" s="112"/>
      <c r="E38" s="119">
        <f>E30*C38</f>
        <v>-501413797.4627462</v>
      </c>
      <c r="F38" s="119">
        <f>F30</f>
        <v>479939809.12374687</v>
      </c>
      <c r="G38" s="119">
        <f t="shared" ref="G38:I38" si="10">G30</f>
        <v>1429705704.7503347</v>
      </c>
      <c r="H38" s="119">
        <f t="shared" si="10"/>
        <v>2083323149.0740771</v>
      </c>
      <c r="I38" s="119">
        <f t="shared" si="10"/>
        <v>2648418905.5363111</v>
      </c>
      <c r="J38" s="107"/>
    </row>
    <row r="39" spans="2:13" ht="15" customHeight="1">
      <c r="B39" s="110" t="s">
        <v>160</v>
      </c>
      <c r="C39" s="120"/>
      <c r="D39" s="111"/>
      <c r="E39" s="111">
        <f ca="1">E38/(1+$H$4)^((E37-$D$7)/365)</f>
        <v>-443822601.66971761</v>
      </c>
      <c r="F39" s="111">
        <f t="shared" ref="F39:I39" ca="1" si="11">F38/(1+$H$4)^((F37-$D$7)/365)</f>
        <v>346324621.56379294</v>
      </c>
      <c r="G39" s="111">
        <f t="shared" ca="1" si="11"/>
        <v>840588887.22975075</v>
      </c>
      <c r="H39" s="111">
        <f t="shared" ca="1" si="11"/>
        <v>998566731.83384919</v>
      </c>
      <c r="I39" s="111">
        <f t="shared" ca="1" si="11"/>
        <v>1034881425.5592384</v>
      </c>
      <c r="J39" s="107"/>
    </row>
    <row r="41" spans="2:13">
      <c r="B41" s="97" t="s">
        <v>161</v>
      </c>
      <c r="C41" s="97"/>
      <c r="E41" s="97" t="s">
        <v>162</v>
      </c>
      <c r="F41" s="98"/>
      <c r="G41" s="98"/>
      <c r="H41" s="98"/>
      <c r="I41" s="98"/>
    </row>
    <row r="42" spans="2:13">
      <c r="B42" s="86" t="s">
        <v>163</v>
      </c>
      <c r="C42" s="121">
        <v>0.1</v>
      </c>
      <c r="E42" s="86" t="s">
        <v>164</v>
      </c>
      <c r="I42" s="112">
        <f>I16</f>
        <v>4770665122.9580889</v>
      </c>
      <c r="J42" s="112"/>
    </row>
    <row r="43" spans="2:13">
      <c r="B43" s="122" t="str">
        <f>YEAR(I12)&amp;" FCF x (1+g)"</f>
        <v>2030 FCF x (1+g)</v>
      </c>
      <c r="C43" s="112">
        <f>+I38*(1+C42)</f>
        <v>2913260796.0899425</v>
      </c>
      <c r="E43" s="86" t="s">
        <v>165</v>
      </c>
      <c r="I43" s="123">
        <v>10.3</v>
      </c>
      <c r="J43" s="123"/>
    </row>
    <row r="44" spans="2:13">
      <c r="B44" s="86" t="str">
        <f>"Terminal value in "&amp;YEAR(I12)</f>
        <v>Terminal value in 2030</v>
      </c>
      <c r="C44" s="112">
        <f>+C43/(H4-C42)</f>
        <v>23004568926.168438</v>
      </c>
      <c r="E44" s="86" t="str">
        <f>"Terminal value in "&amp;YEAR(I12)</f>
        <v>Terminal value in 2030</v>
      </c>
      <c r="I44" s="112">
        <f>I42*I43</f>
        <v>49137850766.468315</v>
      </c>
      <c r="J44" s="112"/>
    </row>
    <row r="45" spans="2:13">
      <c r="B45" s="86" t="s">
        <v>166</v>
      </c>
      <c r="C45" s="112">
        <f ca="1">C44/(1+H4)^((I37-$D$37)/365)</f>
        <v>8989137267.8703842</v>
      </c>
      <c r="E45" s="86" t="s">
        <v>166</v>
      </c>
      <c r="I45" s="112">
        <f ca="1">I44/(1+H4)^((I37-D37)/365)</f>
        <v>19200832973.899281</v>
      </c>
      <c r="J45" s="112"/>
    </row>
    <row r="46" spans="2:13">
      <c r="B46" s="86" t="s">
        <v>167</v>
      </c>
      <c r="C46" s="107">
        <f ca="1">+SUM(E39:I39)</f>
        <v>2776539064.5169134</v>
      </c>
      <c r="E46" s="86" t="s">
        <v>167</v>
      </c>
      <c r="I46" s="112">
        <f ca="1">C46</f>
        <v>2776539064.5169134</v>
      </c>
      <c r="J46" s="112"/>
    </row>
    <row r="47" spans="2:13">
      <c r="B47" s="110" t="s">
        <v>168</v>
      </c>
      <c r="C47" s="124">
        <f ca="1">+SUM(C45:C46)</f>
        <v>11765676332.387299</v>
      </c>
      <c r="E47" s="110" t="s">
        <v>169</v>
      </c>
      <c r="I47" s="124">
        <f ca="1">SUM(I45:I46)</f>
        <v>21977372038.416195</v>
      </c>
      <c r="J47" s="124"/>
    </row>
    <row r="49" spans="2:10">
      <c r="B49" s="125" t="s">
        <v>170</v>
      </c>
      <c r="C49" s="126">
        <f ca="1">C45/$C$47</f>
        <v>0.76401364561814833</v>
      </c>
      <c r="E49" s="125" t="s">
        <v>170</v>
      </c>
      <c r="I49" s="126">
        <f ca="1">I45/I47</f>
        <v>0.87366373651665197</v>
      </c>
      <c r="J49" s="126"/>
    </row>
    <row r="50" spans="2:10">
      <c r="B50" s="125" t="s">
        <v>171</v>
      </c>
      <c r="C50" s="126">
        <f ca="1">1-C49</f>
        <v>0.23598635438185167</v>
      </c>
      <c r="E50" s="125" t="s">
        <v>172</v>
      </c>
      <c r="G50" s="127"/>
      <c r="I50" s="128">
        <f ca="1">1-I49</f>
        <v>0.12633626348334803</v>
      </c>
      <c r="J50" s="128"/>
    </row>
    <row r="51" spans="2:10">
      <c r="B51" s="125" t="s">
        <v>173</v>
      </c>
      <c r="C51" s="129">
        <f>C44/I16</f>
        <v>4.8220883950672837</v>
      </c>
      <c r="E51" s="86" t="s">
        <v>174</v>
      </c>
      <c r="I51" s="130">
        <f>(H4-I38/I44)/(1+I38/I44)</f>
        <v>0.16390643461705534</v>
      </c>
      <c r="J51" s="130"/>
    </row>
    <row r="52" spans="2:10">
      <c r="B52" s="125"/>
      <c r="C52" s="102"/>
      <c r="D52" s="129"/>
      <c r="I52" s="130"/>
      <c r="J52" s="130"/>
    </row>
    <row r="53" spans="2:10">
      <c r="B53" s="97" t="s">
        <v>175</v>
      </c>
      <c r="C53" s="98"/>
      <c r="E53" s="97" t="s">
        <v>73</v>
      </c>
      <c r="F53" s="98"/>
      <c r="G53" s="97"/>
      <c r="H53" s="98"/>
      <c r="I53" s="98"/>
    </row>
    <row r="54" spans="2:10">
      <c r="B54" s="86" t="s">
        <v>176</v>
      </c>
      <c r="C54" s="266" t="s">
        <v>246</v>
      </c>
    </row>
    <row r="55" spans="2:10">
      <c r="B55" s="131" t="s">
        <v>177</v>
      </c>
      <c r="C55" s="93">
        <v>46022</v>
      </c>
      <c r="G55" s="132" t="s">
        <v>176</v>
      </c>
      <c r="H55" s="133" t="s">
        <v>178</v>
      </c>
      <c r="I55" s="133" t="s">
        <v>179</v>
      </c>
    </row>
    <row r="56" spans="2:10">
      <c r="B56" s="134" t="s">
        <v>180</v>
      </c>
      <c r="C56" s="135"/>
      <c r="E56" s="86" t="s">
        <v>181</v>
      </c>
      <c r="G56" s="267" t="s">
        <v>245</v>
      </c>
      <c r="H56" s="93">
        <v>46022</v>
      </c>
      <c r="I56" s="264">
        <v>1449450084</v>
      </c>
      <c r="J56" s="136"/>
    </row>
    <row r="57" spans="2:10">
      <c r="B57" s="109" t="s">
        <v>182</v>
      </c>
      <c r="C57" s="137">
        <f>FSM!F75+FSM!F76+FSM!F77+FSM!F85+FSM!F86</f>
        <v>3702758428</v>
      </c>
      <c r="E57" s="131" t="s">
        <v>183</v>
      </c>
      <c r="G57" s="267" t="s">
        <v>245</v>
      </c>
      <c r="H57" s="93">
        <v>46022</v>
      </c>
      <c r="I57" s="136">
        <v>5664458</v>
      </c>
      <c r="J57" s="138"/>
    </row>
    <row r="58" spans="2:10">
      <c r="B58" s="109" t="s">
        <v>184</v>
      </c>
      <c r="C58" s="139">
        <v>0</v>
      </c>
      <c r="E58" s="131" t="s">
        <v>185</v>
      </c>
      <c r="G58" s="93"/>
      <c r="H58" s="93"/>
      <c r="I58" s="140">
        <v>0</v>
      </c>
    </row>
    <row r="59" spans="2:10" ht="15" customHeight="1">
      <c r="B59" s="109" t="s">
        <v>186</v>
      </c>
      <c r="C59" s="139">
        <v>0</v>
      </c>
      <c r="E59" s="86" t="s">
        <v>184</v>
      </c>
      <c r="G59" s="93"/>
      <c r="H59" s="93"/>
      <c r="I59" s="140">
        <v>0</v>
      </c>
    </row>
    <row r="60" spans="2:10">
      <c r="B60" s="141" t="s">
        <v>187</v>
      </c>
      <c r="C60" s="137">
        <v>418028210</v>
      </c>
      <c r="E60" s="86" t="s">
        <v>188</v>
      </c>
      <c r="G60" s="93"/>
      <c r="H60" s="93"/>
      <c r="I60" s="140">
        <v>0</v>
      </c>
    </row>
    <row r="61" spans="2:10" ht="15" customHeight="1">
      <c r="B61" s="134" t="s">
        <v>189</v>
      </c>
      <c r="E61" s="142" t="s">
        <v>190</v>
      </c>
      <c r="I61" s="265">
        <f>SUM(I56:I60)</f>
        <v>1455114542</v>
      </c>
      <c r="J61" s="143"/>
    </row>
    <row r="62" spans="2:10">
      <c r="B62" s="144" t="s">
        <v>191</v>
      </c>
      <c r="C62" s="137">
        <v>547542841</v>
      </c>
      <c r="J62" s="145"/>
    </row>
    <row r="63" spans="2:10">
      <c r="B63" s="144" t="s">
        <v>192</v>
      </c>
      <c r="C63" s="137">
        <v>18585651</v>
      </c>
      <c r="J63" s="145"/>
    </row>
    <row r="64" spans="2:10">
      <c r="J64" s="146"/>
    </row>
    <row r="65" spans="2:6">
      <c r="B65" s="147" t="s">
        <v>175</v>
      </c>
      <c r="C65" s="148">
        <f>SUM(C57:C60)-SUM(C62:C63)</f>
        <v>3554658146</v>
      </c>
    </row>
    <row r="67" spans="2:6">
      <c r="B67" s="97" t="s">
        <v>193</v>
      </c>
      <c r="C67" s="98"/>
      <c r="D67" s="98"/>
    </row>
    <row r="68" spans="2:6" ht="17.25">
      <c r="C68" s="149" t="s">
        <v>194</v>
      </c>
      <c r="D68" s="149" t="s">
        <v>45</v>
      </c>
    </row>
    <row r="69" spans="2:6">
      <c r="B69" s="86" t="s">
        <v>195</v>
      </c>
      <c r="C69" s="150">
        <f ca="1">C47</f>
        <v>11765676332.387299</v>
      </c>
      <c r="D69" s="150">
        <f ca="1">I47</f>
        <v>21977372038.416195</v>
      </c>
    </row>
    <row r="70" spans="2:6">
      <c r="B70" s="86" t="s">
        <v>175</v>
      </c>
      <c r="C70" s="151">
        <f>$C$65</f>
        <v>3554658146</v>
      </c>
      <c r="D70" s="151">
        <f>C65</f>
        <v>3554658146</v>
      </c>
    </row>
    <row r="71" spans="2:6">
      <c r="B71" s="86" t="s">
        <v>196</v>
      </c>
      <c r="C71" s="152">
        <f ca="1">C69-C70</f>
        <v>8211018186.3872986</v>
      </c>
      <c r="D71" s="152">
        <f ca="1">D69-D70</f>
        <v>18422713892.416195</v>
      </c>
    </row>
    <row r="72" spans="2:6">
      <c r="B72" s="86" t="s">
        <v>73</v>
      </c>
      <c r="C72" s="152">
        <f>$I$61</f>
        <v>1455114542</v>
      </c>
      <c r="D72" s="152">
        <f>$I$61</f>
        <v>1455114542</v>
      </c>
    </row>
    <row r="73" spans="2:6">
      <c r="B73" s="110" t="s">
        <v>197</v>
      </c>
      <c r="C73" s="153">
        <f ca="1">C71/C72</f>
        <v>5.6428672447335755</v>
      </c>
      <c r="D73" s="153">
        <f ca="1">D71/D72</f>
        <v>12.660662346961958</v>
      </c>
    </row>
    <row r="75" spans="2:6" ht="17.25">
      <c r="C75" s="100" t="s">
        <v>198</v>
      </c>
      <c r="D75" s="100"/>
    </row>
    <row r="76" spans="2:6">
      <c r="B76" s="132"/>
      <c r="C76" s="133" t="s">
        <v>194</v>
      </c>
      <c r="D76" s="133" t="s">
        <v>45</v>
      </c>
    </row>
    <row r="77" spans="2:6">
      <c r="B77" s="86" t="s">
        <v>199</v>
      </c>
      <c r="C77" s="154">
        <f ca="1">$C$69/C14</f>
        <v>1.3767078883899313</v>
      </c>
      <c r="D77" s="154">
        <f ca="1">$D$69/C14</f>
        <v>2.5715836979197899</v>
      </c>
    </row>
    <row r="78" spans="2:6">
      <c r="B78" s="86" t="s">
        <v>200</v>
      </c>
      <c r="C78" s="154">
        <f ca="1">$C$69/C16</f>
        <v>5.6486071750769637</v>
      </c>
      <c r="D78" s="154">
        <f ca="1">$D$69/C16</f>
        <v>10.551160670960321</v>
      </c>
    </row>
    <row r="79" spans="2:6">
      <c r="B79" s="107" t="s">
        <v>201</v>
      </c>
      <c r="C79" s="154">
        <f ca="1">$C$69/C18</f>
        <v>6.6044824781822076</v>
      </c>
      <c r="D79" s="154">
        <f ca="1">$D$69/C18</f>
        <v>12.336661696587743</v>
      </c>
    </row>
    <row r="80" spans="2:6" ht="17.25">
      <c r="B80" s="107"/>
      <c r="C80" s="100" t="s">
        <v>202</v>
      </c>
      <c r="D80" s="100"/>
      <c r="E80" s="155"/>
      <c r="F80" s="155"/>
    </row>
    <row r="81" spans="2:17">
      <c r="B81" s="132"/>
      <c r="C81" s="133" t="s">
        <v>194</v>
      </c>
      <c r="D81" s="133" t="s">
        <v>45</v>
      </c>
      <c r="E81" s="155"/>
      <c r="F81" s="155"/>
    </row>
    <row r="82" spans="2:17">
      <c r="B82" s="86" t="s">
        <v>199</v>
      </c>
      <c r="C82" s="154">
        <f ca="1">$C$69/E14</f>
        <v>1.1227290193248922</v>
      </c>
      <c r="D82" s="154">
        <f ca="1">$D$69/E14</f>
        <v>2.097170843303553</v>
      </c>
      <c r="E82" s="155"/>
      <c r="F82" s="155"/>
    </row>
    <row r="83" spans="2:17">
      <c r="B83" s="86" t="s">
        <v>200</v>
      </c>
      <c r="C83" s="154">
        <f ca="1">$C$69/I16</f>
        <v>2.4662549202556261</v>
      </c>
      <c r="D83" s="154">
        <f ca="1">$D$69/E16</f>
        <v>8.5203871824123887</v>
      </c>
      <c r="E83" s="155"/>
      <c r="F83" s="155"/>
    </row>
    <row r="84" spans="2:17">
      <c r="B84" s="107" t="s">
        <v>201</v>
      </c>
      <c r="C84" s="154">
        <f ca="1">$C$69/E18</f>
        <v>5.3271744286004674</v>
      </c>
      <c r="D84" s="154">
        <f ca="1">$D$69/E18</f>
        <v>9.9507491982090137</v>
      </c>
      <c r="E84" s="155"/>
      <c r="F84" s="155"/>
    </row>
    <row r="86" spans="2:17">
      <c r="B86" s="97" t="s">
        <v>203</v>
      </c>
      <c r="C86" s="97"/>
      <c r="D86" s="97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</row>
    <row r="87" spans="2:17">
      <c r="B87" s="110"/>
    </row>
    <row r="88" spans="2:17" ht="17.25" customHeight="1">
      <c r="B88" s="156"/>
      <c r="C88" s="110"/>
      <c r="D88" s="157" t="s">
        <v>197</v>
      </c>
      <c r="E88" s="100"/>
      <c r="F88" s="100"/>
      <c r="G88" s="100"/>
      <c r="H88" s="100"/>
      <c r="I88" s="100"/>
      <c r="J88" s="158"/>
      <c r="L88" s="157" t="s">
        <v>204</v>
      </c>
      <c r="M88" s="100"/>
      <c r="N88" s="100"/>
      <c r="O88" s="100"/>
      <c r="P88" s="100"/>
      <c r="Q88" s="100"/>
    </row>
    <row r="89" spans="2:17" ht="15" customHeight="1">
      <c r="B89" s="156"/>
      <c r="D89" s="131"/>
      <c r="E89" s="159" t="s">
        <v>205</v>
      </c>
      <c r="F89" s="159"/>
      <c r="G89" s="159"/>
      <c r="H89" s="159"/>
      <c r="I89" s="159"/>
      <c r="J89" s="160"/>
      <c r="L89" s="159" t="s">
        <v>205</v>
      </c>
      <c r="M89" s="159"/>
      <c r="N89" s="159"/>
      <c r="O89" s="159"/>
      <c r="P89" s="159"/>
      <c r="Q89" s="159"/>
    </row>
    <row r="90" spans="2:17" ht="15" customHeight="1">
      <c r="B90" s="156"/>
      <c r="C90" s="161"/>
      <c r="D90" s="208">
        <f ca="1">C73</f>
        <v>5.6428672447335755</v>
      </c>
      <c r="E90" s="270">
        <f>F90-0.005</f>
        <v>0.09</v>
      </c>
      <c r="F90" s="271">
        <f>G90-0.005</f>
        <v>9.5000000000000001E-2</v>
      </c>
      <c r="G90" s="162">
        <f>$C$42</f>
        <v>0.1</v>
      </c>
      <c r="H90" s="271">
        <f>G90+0.005</f>
        <v>0.10500000000000001</v>
      </c>
      <c r="I90" s="271">
        <f>H90+0.005</f>
        <v>0.11000000000000001</v>
      </c>
      <c r="K90" s="166"/>
      <c r="L90" s="163">
        <f ca="1">C78</f>
        <v>5.6486071750769637</v>
      </c>
      <c r="M90" s="270">
        <f>N90-0.005</f>
        <v>0.09</v>
      </c>
      <c r="N90" s="271">
        <f>O90-0.005</f>
        <v>9.5000000000000001E-2</v>
      </c>
      <c r="O90" s="162">
        <f>$C$42</f>
        <v>0.1</v>
      </c>
      <c r="P90" s="271">
        <f>O90+0.005</f>
        <v>0.10500000000000001</v>
      </c>
      <c r="Q90" s="271">
        <f>P90+0.005</f>
        <v>0.11000000000000001</v>
      </c>
    </row>
    <row r="91" spans="2:17" ht="15" customHeight="1">
      <c r="B91" s="156"/>
      <c r="D91" s="268">
        <f>D92+0.01</f>
        <v>0.24663835629521469</v>
      </c>
      <c r="E91" s="164">
        <f t="dataTable" ref="E91:I95" dt2D="1" dtr="1" r1="C42" r2="H4" ca="1"/>
        <v>3.9427396159558161</v>
      </c>
      <c r="F91" s="164">
        <v>3.7802029997641942</v>
      </c>
      <c r="G91" s="164">
        <v>3.7802029997641942</v>
      </c>
      <c r="H91" s="164">
        <v>3.9427396159558161</v>
      </c>
      <c r="I91" s="164">
        <v>4.3010653929593206</v>
      </c>
      <c r="J91" s="165"/>
      <c r="L91" s="268">
        <f>L92+0.01</f>
        <v>0.24663835629521469</v>
      </c>
      <c r="M91" s="166">
        <f t="dataTable" ref="M91:Q95" dt2D="1" dtr="1" r1="C42" r2="H4" ca="1"/>
        <v>4.4609169492301497</v>
      </c>
      <c r="N91" s="166">
        <v>4.3473706794528715</v>
      </c>
      <c r="O91" s="166">
        <v>4.3473706794528715</v>
      </c>
      <c r="P91" s="166">
        <v>4.4609169492301497</v>
      </c>
      <c r="Q91" s="166">
        <v>4.7112393460974848</v>
      </c>
    </row>
    <row r="92" spans="2:17" ht="15" customHeight="1">
      <c r="B92" s="156"/>
      <c r="D92" s="268">
        <f>D93+0.01</f>
        <v>0.23663835629521468</v>
      </c>
      <c r="E92" s="164">
        <v>4.4984981206956984</v>
      </c>
      <c r="F92" s="164">
        <v>4.3079831602121885</v>
      </c>
      <c r="G92" s="164">
        <v>4.3079831602121885</v>
      </c>
      <c r="H92" s="164">
        <v>4.4984981206956984</v>
      </c>
      <c r="I92" s="164">
        <v>4.9213570636845922</v>
      </c>
      <c r="J92" s="165"/>
      <c r="L92" s="268">
        <f>L93+0.01</f>
        <v>0.23663835629521468</v>
      </c>
      <c r="M92" s="166">
        <v>4.8491636507353357</v>
      </c>
      <c r="N92" s="166">
        <v>4.7160720212518914</v>
      </c>
      <c r="O92" s="166">
        <v>4.7160720212518914</v>
      </c>
      <c r="P92" s="166">
        <v>4.8491636507353357</v>
      </c>
      <c r="Q92" s="166">
        <v>5.144568198605004</v>
      </c>
    </row>
    <row r="93" spans="2:17" ht="15" customHeight="1">
      <c r="B93" s="156"/>
      <c r="C93" s="161" t="s">
        <v>206</v>
      </c>
      <c r="D93" s="167">
        <f>WACC!$E$21</f>
        <v>0.22663835629521467</v>
      </c>
      <c r="E93" s="164">
        <v>5.1387029818587342</v>
      </c>
      <c r="F93" s="164">
        <v>4.9133172345821121</v>
      </c>
      <c r="G93" s="164">
        <v>4.9133172345821121</v>
      </c>
      <c r="H93" s="164">
        <v>5.1387029818587342</v>
      </c>
      <c r="I93" s="164">
        <v>5.6428672447335755</v>
      </c>
      <c r="J93" s="165"/>
      <c r="K93" s="161" t="s">
        <v>206</v>
      </c>
      <c r="L93" s="167">
        <f>WACC!$E$21</f>
        <v>0.22663835629521467</v>
      </c>
      <c r="M93" s="166">
        <v>5.2964036362942952</v>
      </c>
      <c r="N93" s="166">
        <v>5.1389516635397161</v>
      </c>
      <c r="O93" s="166">
        <v>5.1389516635397161</v>
      </c>
      <c r="P93" s="166">
        <v>5.2964036362942952</v>
      </c>
      <c r="Q93" s="166">
        <v>5.6486071750769637</v>
      </c>
    </row>
    <row r="94" spans="2:17" ht="15" customHeight="1">
      <c r="B94" s="156"/>
      <c r="D94" s="268">
        <f t="shared" ref="D94:D95" si="12">D93-0.01</f>
        <v>0.21663835629521466</v>
      </c>
      <c r="E94" s="164">
        <v>5.8834808327204815</v>
      </c>
      <c r="F94" s="164">
        <v>5.6139984540059151</v>
      </c>
      <c r="G94" s="164">
        <v>5.6139984540059151</v>
      </c>
      <c r="H94" s="164">
        <v>5.8834808327204815</v>
      </c>
      <c r="I94" s="164">
        <v>6.4917578783044192</v>
      </c>
      <c r="J94" s="165"/>
      <c r="L94" s="268">
        <f t="shared" ref="L94:L95" si="13">L93-0.01</f>
        <v>0.21663835629521466</v>
      </c>
      <c r="M94" s="166">
        <v>5.8166971477476785</v>
      </c>
      <c r="N94" s="166">
        <v>5.628439759408348</v>
      </c>
      <c r="O94" s="166">
        <v>5.628439759408348</v>
      </c>
      <c r="P94" s="166">
        <v>5.8166971477476785</v>
      </c>
      <c r="Q94" s="166">
        <v>6.2416327169474997</v>
      </c>
    </row>
    <row r="95" spans="2:17" ht="15" customHeight="1">
      <c r="B95" s="168" t="s">
        <v>207</v>
      </c>
      <c r="D95" s="269">
        <f t="shared" si="12"/>
        <v>0.20663835629521465</v>
      </c>
      <c r="E95" s="164">
        <v>6.7598667643201846</v>
      </c>
      <c r="F95" s="164">
        <v>6.4336773117135975</v>
      </c>
      <c r="G95" s="164">
        <v>6.4336773117135975</v>
      </c>
      <c r="H95" s="164">
        <v>6.7598667643201846</v>
      </c>
      <c r="I95" s="164">
        <v>7.5040108084399195</v>
      </c>
      <c r="J95" s="165"/>
      <c r="L95" s="269">
        <f t="shared" si="13"/>
        <v>0.20663835629521465</v>
      </c>
      <c r="M95" s="166">
        <v>6.4289305985850822</v>
      </c>
      <c r="N95" s="166">
        <v>6.2010582800146938</v>
      </c>
      <c r="O95" s="166">
        <v>6.2010582800146938</v>
      </c>
      <c r="P95" s="166">
        <v>6.4289305985850822</v>
      </c>
      <c r="Q95" s="166">
        <v>6.9487813397076845</v>
      </c>
    </row>
    <row r="96" spans="2:17" ht="15" customHeight="1">
      <c r="B96" s="168" t="s">
        <v>208</v>
      </c>
      <c r="E96" s="169"/>
      <c r="F96" s="169"/>
      <c r="G96" s="169"/>
      <c r="H96" s="169"/>
      <c r="I96" s="169"/>
      <c r="J96" s="169"/>
    </row>
    <row r="97" spans="2:17" ht="17.25" customHeight="1">
      <c r="B97" s="156"/>
      <c r="D97" s="157" t="s">
        <v>197</v>
      </c>
      <c r="E97" s="100"/>
      <c r="F97" s="100"/>
      <c r="G97" s="100"/>
      <c r="H97" s="100"/>
      <c r="I97" s="100"/>
      <c r="J97" s="158"/>
      <c r="L97" s="157" t="s">
        <v>204</v>
      </c>
      <c r="M97" s="100"/>
      <c r="N97" s="100"/>
      <c r="O97" s="100"/>
      <c r="P97" s="100"/>
      <c r="Q97" s="100"/>
    </row>
    <row r="98" spans="2:17" ht="15" customHeight="1">
      <c r="B98" s="156"/>
      <c r="E98" s="159" t="s">
        <v>209</v>
      </c>
      <c r="F98" s="159"/>
      <c r="G98" s="159"/>
      <c r="H98" s="159"/>
      <c r="I98" s="159"/>
      <c r="J98" s="160"/>
      <c r="M98" s="159" t="s">
        <v>209</v>
      </c>
      <c r="N98" s="159"/>
      <c r="O98" s="159"/>
      <c r="P98" s="159"/>
      <c r="Q98" s="159"/>
    </row>
    <row r="99" spans="2:17" ht="15" customHeight="1">
      <c r="B99" s="156"/>
      <c r="D99" s="209">
        <f ca="1">D73</f>
        <v>12.660662346961958</v>
      </c>
      <c r="E99" s="210">
        <f>+F99-0.5</f>
        <v>9.3000000000000007</v>
      </c>
      <c r="F99" s="210">
        <f>+G99-0.5</f>
        <v>9.8000000000000007</v>
      </c>
      <c r="G99" s="170">
        <f>$I$43</f>
        <v>10.3</v>
      </c>
      <c r="H99" s="210">
        <f>+G99+0.5</f>
        <v>10.8</v>
      </c>
      <c r="I99" s="210">
        <f>+H99+0.5</f>
        <v>11.3</v>
      </c>
      <c r="J99" s="171"/>
      <c r="L99" s="163">
        <f ca="1">D78</f>
        <v>10.551160670960321</v>
      </c>
      <c r="M99" s="210">
        <f>+N99-0.5</f>
        <v>9.3000000000000007</v>
      </c>
      <c r="N99" s="210">
        <f>+O99-0.5</f>
        <v>9.8000000000000007</v>
      </c>
      <c r="O99" s="170">
        <f>$I$43</f>
        <v>10.3</v>
      </c>
      <c r="P99" s="210">
        <f>+O99+0.5</f>
        <v>10.8</v>
      </c>
      <c r="Q99" s="210">
        <f>+P99+0.5</f>
        <v>11.3</v>
      </c>
    </row>
    <row r="100" spans="2:17" ht="15" customHeight="1">
      <c r="B100" s="156"/>
      <c r="D100" s="268">
        <f>D101+0.01</f>
        <v>0.24663835629521469</v>
      </c>
      <c r="E100" s="164">
        <f t="dataTable" ref="E100:I104" dt2D="1" dtr="1" r1="I43" r2="H4" ca="1"/>
        <v>10.408606201091306</v>
      </c>
      <c r="F100" s="164">
        <v>9.8139779697105496</v>
      </c>
      <c r="G100" s="164">
        <v>9.8139779697105496</v>
      </c>
      <c r="H100" s="164">
        <v>10.408606201091306</v>
      </c>
      <c r="I100" s="164">
        <v>11.597862663852819</v>
      </c>
      <c r="J100" s="165"/>
      <c r="L100" s="268">
        <f>L101+0.01</f>
        <v>0.24663835629521469</v>
      </c>
      <c r="M100" s="166">
        <f t="dataTable" ref="M100:Q104" dt2D="1" dtr="1" r1="I43" r2="H4" ca="1"/>
        <v>8.9778993303210175</v>
      </c>
      <c r="N100" s="166">
        <v>8.562498670706292</v>
      </c>
      <c r="O100" s="166">
        <v>8.562498670706292</v>
      </c>
      <c r="P100" s="166">
        <v>8.9778993303210175</v>
      </c>
      <c r="Q100" s="166">
        <v>9.8087006495504703</v>
      </c>
    </row>
    <row r="101" spans="2:17" ht="15" customHeight="1">
      <c r="B101" s="156"/>
      <c r="D101" s="268">
        <f>D102+0.01</f>
        <v>0.23663835629521468</v>
      </c>
      <c r="E101" s="164">
        <v>10.883277400076647</v>
      </c>
      <c r="F101" s="164">
        <v>10.266206200352965</v>
      </c>
      <c r="G101" s="164">
        <v>10.266206200352965</v>
      </c>
      <c r="H101" s="164">
        <v>10.883277400076647</v>
      </c>
      <c r="I101" s="164">
        <v>12.11741979952401</v>
      </c>
      <c r="J101" s="165"/>
      <c r="L101" s="268">
        <f>L102+0.01</f>
        <v>0.23663835629521468</v>
      </c>
      <c r="M101" s="166">
        <v>9.3094993431572135</v>
      </c>
      <c r="N101" s="166">
        <v>8.878420275822565</v>
      </c>
      <c r="O101" s="166">
        <v>8.878420275822565</v>
      </c>
      <c r="P101" s="166">
        <v>9.3094993431572135</v>
      </c>
      <c r="Q101" s="166">
        <v>10.171657477826511</v>
      </c>
    </row>
    <row r="102" spans="2:17" ht="15" customHeight="1">
      <c r="B102" s="156"/>
      <c r="C102" s="161" t="s">
        <v>206</v>
      </c>
      <c r="D102" s="167">
        <f>WACC!$E$21</f>
        <v>0.22663835629521467</v>
      </c>
      <c r="E102" s="164">
        <v>11.37955458028879</v>
      </c>
      <c r="F102" s="164">
        <v>10.739000696952207</v>
      </c>
      <c r="G102" s="164">
        <v>10.739000696952207</v>
      </c>
      <c r="H102" s="164">
        <v>11.37955458028879</v>
      </c>
      <c r="I102" s="164">
        <v>12.660662346961958</v>
      </c>
      <c r="J102" s="165"/>
      <c r="K102" s="161" t="s">
        <v>206</v>
      </c>
      <c r="L102" s="167">
        <f>WACC!$E$21</f>
        <v>0.22663835629521467</v>
      </c>
      <c r="M102" s="166">
        <v>9.6561930538361729</v>
      </c>
      <c r="N102" s="166">
        <v>9.2087092452740986</v>
      </c>
      <c r="O102" s="166">
        <v>9.2087092452740986</v>
      </c>
      <c r="P102" s="166">
        <v>9.6561930538361729</v>
      </c>
      <c r="Q102" s="166">
        <v>10.551160670960321</v>
      </c>
    </row>
    <row r="103" spans="2:17" ht="15" customHeight="1">
      <c r="B103" s="156"/>
      <c r="D103" s="268">
        <f t="shared" ref="D103:D104" si="14">D102-0.01</f>
        <v>0.21663835629521466</v>
      </c>
      <c r="E103" s="164">
        <v>11.898614211718506</v>
      </c>
      <c r="F103" s="164">
        <v>11.233480689038979</v>
      </c>
      <c r="G103" s="164">
        <v>11.233480689038979</v>
      </c>
      <c r="H103" s="164">
        <v>11.898614211718506</v>
      </c>
      <c r="I103" s="164">
        <v>13.228881257077559</v>
      </c>
      <c r="J103" s="165"/>
      <c r="L103" s="268">
        <f t="shared" ref="L103:L104" si="15">L102-0.01</f>
        <v>0.21663835629521466</v>
      </c>
      <c r="M103" s="166">
        <v>10.018802331190201</v>
      </c>
      <c r="N103" s="166">
        <v>9.5541474603453267</v>
      </c>
      <c r="O103" s="166">
        <v>9.5541474603453267</v>
      </c>
      <c r="P103" s="166">
        <v>10.018802331190201</v>
      </c>
      <c r="Q103" s="166">
        <v>10.948112072879953</v>
      </c>
    </row>
    <row r="104" spans="2:17" ht="15" customHeight="1">
      <c r="B104" s="156"/>
      <c r="D104" s="269">
        <f t="shared" si="14"/>
        <v>0.20663835629521465</v>
      </c>
      <c r="E104" s="164">
        <v>12.441707421251511</v>
      </c>
      <c r="F104" s="164">
        <v>11.750836403805479</v>
      </c>
      <c r="G104" s="164">
        <v>11.750836403805479</v>
      </c>
      <c r="H104" s="164">
        <v>12.441707421251511</v>
      </c>
      <c r="I104" s="164">
        <v>13.823449456143578</v>
      </c>
      <c r="J104" s="165"/>
      <c r="L104" s="269">
        <f t="shared" si="15"/>
        <v>0.20663835629521465</v>
      </c>
      <c r="M104" s="166">
        <v>10.398201198526911</v>
      </c>
      <c r="N104" s="166">
        <v>9.9155664004962514</v>
      </c>
      <c r="O104" s="166">
        <v>9.9155664004962514</v>
      </c>
      <c r="P104" s="166">
        <v>10.398201198526911</v>
      </c>
      <c r="Q104" s="166">
        <v>11.363470794588228</v>
      </c>
    </row>
    <row r="105" spans="2:17">
      <c r="J105" s="172"/>
    </row>
    <row r="106" spans="2:17">
      <c r="B106" s="173" t="s">
        <v>210</v>
      </c>
      <c r="C106" s="173"/>
      <c r="D106" s="173"/>
      <c r="E106" s="173"/>
      <c r="G106" s="173" t="s">
        <v>211</v>
      </c>
      <c r="H106" s="173"/>
      <c r="I106" s="173"/>
      <c r="J106" s="174"/>
      <c r="K106" s="173"/>
      <c r="L106" s="173"/>
      <c r="M106" s="173"/>
      <c r="N106" s="173"/>
      <c r="O106" s="173"/>
      <c r="P106" s="173"/>
    </row>
    <row r="107" spans="2:17">
      <c r="J107" s="172"/>
    </row>
    <row r="108" spans="2:17">
      <c r="J108" s="172"/>
    </row>
    <row r="109" spans="2:17">
      <c r="J109" s="172"/>
    </row>
    <row r="110" spans="2:17">
      <c r="J110" s="172"/>
    </row>
    <row r="111" spans="2:17">
      <c r="J111" s="172"/>
    </row>
    <row r="112" spans="2:17">
      <c r="J112" s="172"/>
    </row>
    <row r="113" spans="2:17">
      <c r="J113" s="172"/>
    </row>
    <row r="114" spans="2:17">
      <c r="J114" s="172"/>
    </row>
    <row r="115" spans="2:17">
      <c r="J115" s="172"/>
    </row>
    <row r="116" spans="2:17">
      <c r="J116" s="172"/>
    </row>
    <row r="117" spans="2:17">
      <c r="J117" s="172"/>
    </row>
    <row r="118" spans="2:17">
      <c r="J118" s="172"/>
    </row>
    <row r="119" spans="2:17">
      <c r="J119" s="172"/>
    </row>
    <row r="120" spans="2:17">
      <c r="J120" s="172"/>
      <c r="M120" s="175"/>
    </row>
    <row r="121" spans="2:17">
      <c r="J121" s="172"/>
    </row>
    <row r="122" spans="2:17">
      <c r="J122" s="172"/>
    </row>
    <row r="123" spans="2:17">
      <c r="J123" s="172"/>
    </row>
    <row r="124" spans="2:17">
      <c r="J124" s="172"/>
    </row>
    <row r="125" spans="2:17">
      <c r="J125" s="172"/>
    </row>
    <row r="126" spans="2:17">
      <c r="J126" s="172"/>
    </row>
    <row r="127" spans="2:17">
      <c r="B127" s="176"/>
      <c r="C127" s="177" t="s">
        <v>212</v>
      </c>
      <c r="D127" s="177" t="s">
        <v>213</v>
      </c>
      <c r="E127" s="178" t="s">
        <v>214</v>
      </c>
      <c r="G127" s="176"/>
      <c r="H127" s="179"/>
      <c r="I127" s="179"/>
      <c r="J127" s="180"/>
      <c r="K127" s="179"/>
      <c r="L127" s="179"/>
      <c r="M127" s="179"/>
      <c r="N127" s="179"/>
      <c r="O127" s="177" t="s">
        <v>212</v>
      </c>
      <c r="P127" s="177" t="s">
        <v>213</v>
      </c>
      <c r="Q127" s="178" t="s">
        <v>214</v>
      </c>
    </row>
    <row r="128" spans="2:17">
      <c r="B128" s="211" t="str">
        <f>"DCF Value at "&amp;TEXT(E99,"0.0x")&amp;"-"&amp;TEXT(I99,"0.0x")&amp;" Exit EBITDA Range at "&amp;TEXT(D102,"0.0%")&amp;" WACC"</f>
        <v>DCF Value at 9.3x-11.3x Exit EBITDA Range at 22.7% WACC</v>
      </c>
      <c r="C128" s="212">
        <f>E102</f>
        <v>11.37955458028879</v>
      </c>
      <c r="D128" s="212">
        <f>E128-C128</f>
        <v>1.2811077666731681</v>
      </c>
      <c r="E128" s="213">
        <f>I102</f>
        <v>12.660662346961958</v>
      </c>
      <c r="G128" s="211" t="str">
        <f>"LTM EBITDA Purchase Multiple at "&amp;TEXT(M90,"0.0%")&amp;"-"&amp;TEXT(Q90,"0.0%")&amp;" Perpetuity Growth at "&amp;TEXT(L93,"0.0%")&amp;" WACC"</f>
        <v>LTM EBITDA Purchase Multiple at 9.0%-11.0% Perpetuity Growth at 22.7% WACC</v>
      </c>
      <c r="H128"/>
      <c r="I128"/>
      <c r="J128" s="219"/>
      <c r="K128"/>
      <c r="L128"/>
      <c r="M128"/>
      <c r="N128"/>
      <c r="O128" s="220">
        <f>M93</f>
        <v>5.2964036362942952</v>
      </c>
      <c r="P128" s="220">
        <f>Q128-O128</f>
        <v>0.35220353878266852</v>
      </c>
      <c r="Q128" s="221">
        <f>Q93</f>
        <v>5.6486071750769637</v>
      </c>
    </row>
    <row r="129" spans="2:17">
      <c r="B129" s="214" t="str">
        <f>"DCF Value at "&amp;TEXT(E90,"0.0%")&amp;"-"&amp;TEXT(I90,"0.0%")&amp;" Perpetuity Range at "&amp;TEXT(D102,"0.0%")&amp;" WACC"</f>
        <v>DCF Value at 9.0%-11.0% Perpetuity Range at 22.7% WACC</v>
      </c>
      <c r="C129" s="212">
        <f>E93</f>
        <v>5.1387029818587342</v>
      </c>
      <c r="D129" s="212">
        <f>E129-C129</f>
        <v>0.50416426287484128</v>
      </c>
      <c r="E129" s="213">
        <f>I93</f>
        <v>5.6428672447335755</v>
      </c>
      <c r="G129" s="214" t="str">
        <f>"LTM EBITDA Purchase Multiple at "&amp;TEXT(M102,"0.0x")&amp;"-"&amp;TEXT(Q102,"0.0x")&amp;" Exit EBITDA Multiple at "&amp;TEXT(L102,"0.0%")&amp;" WACC"</f>
        <v>LTM EBITDA Purchase Multiple at 9.7x-10.6x Exit EBITDA Multiple at 22.7% WACC</v>
      </c>
      <c r="H129"/>
      <c r="I129"/>
      <c r="J129" s="219"/>
      <c r="K129"/>
      <c r="L129"/>
      <c r="M129"/>
      <c r="N129"/>
      <c r="O129" s="220">
        <f>M102</f>
        <v>9.6561930538361729</v>
      </c>
      <c r="P129" s="220">
        <f>Q129-O129</f>
        <v>0.89496761712414852</v>
      </c>
      <c r="Q129" s="221">
        <f>Q102</f>
        <v>10.551160670960321</v>
      </c>
    </row>
    <row r="130" spans="2:17">
      <c r="B130" s="215" t="s">
        <v>215</v>
      </c>
      <c r="C130" s="216"/>
      <c r="D130" s="217">
        <f>E130-C130</f>
        <v>0</v>
      </c>
      <c r="E130" s="218"/>
      <c r="G130" s="215" t="str">
        <f>"LTM EBITDA Purchase Multiple at "&amp;TEXT(L104,"0.0%")&amp;"-"&amp;TEXT(L100,"0.0%")&amp;" WACC at "&amp;TEXT(O99,"0.0x")&amp;" Exit EBITDA"</f>
        <v>LTM EBITDA Purchase Multiple at 20.7%-24.7% WACC at 10.3x Exit EBITDA</v>
      </c>
      <c r="H130" s="74"/>
      <c r="I130" s="74"/>
      <c r="J130" s="222"/>
      <c r="K130" s="74"/>
      <c r="L130" s="74"/>
      <c r="M130" s="74"/>
      <c r="N130" s="74"/>
      <c r="O130" s="217">
        <f>O100</f>
        <v>8.562498670706292</v>
      </c>
      <c r="P130" s="217">
        <f>Q130-O130</f>
        <v>1.3530677297899594</v>
      </c>
      <c r="Q130" s="223">
        <f>O104</f>
        <v>9.9155664004962514</v>
      </c>
    </row>
    <row r="131" spans="2:17">
      <c r="J131" s="172"/>
    </row>
    <row r="132" spans="2:17">
      <c r="J132" s="172"/>
    </row>
  </sheetData>
  <conditionalFormatting sqref="E91:J95 E100:J104">
    <cfRule type="cellIs" dxfId="1" priority="2" operator="lessThan">
      <formula>#REF!</formula>
    </cfRule>
  </conditionalFormatting>
  <pageMargins left="0.7" right="0.7" top="0.75" bottom="0.75" header="0.3" footer="0.3"/>
  <pageSetup orientation="portrait" r:id="rId1"/>
  <ignoredErrors>
    <ignoredError sqref="D32:I32" formulaRange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F4E94-4BEA-4BEC-A3D4-AE92824096F5}">
  <dimension ref="B1:I24"/>
  <sheetViews>
    <sheetView zoomScaleNormal="100" workbookViewId="0">
      <selection activeCell="C6" sqref="C6"/>
    </sheetView>
  </sheetViews>
  <sheetFormatPr defaultColWidth="9.140625" defaultRowHeight="15"/>
  <cols>
    <col min="1" max="1" width="1.42578125" style="86" customWidth="1"/>
    <col min="2" max="2" width="50.28515625" style="86" customWidth="1"/>
    <col min="3" max="3" width="14.5703125" style="86" bestFit="1" customWidth="1"/>
    <col min="4" max="9" width="12.7109375" style="86" customWidth="1"/>
    <col min="10" max="10" width="1.7109375" style="86" customWidth="1"/>
    <col min="11" max="11" width="11" style="86" bestFit="1" customWidth="1"/>
    <col min="12" max="16" width="9.42578125" style="86" customWidth="1"/>
    <col min="17" max="16384" width="9.140625" style="86"/>
  </cols>
  <sheetData>
    <row r="1" spans="2:9" ht="15.75" thickBot="1"/>
    <row r="2" spans="2:9" ht="15.75" thickBot="1">
      <c r="B2" s="87" t="s">
        <v>216</v>
      </c>
      <c r="C2" s="88"/>
      <c r="D2" s="88"/>
      <c r="E2" s="88"/>
      <c r="F2" s="88"/>
      <c r="G2" s="88"/>
      <c r="H2" s="88"/>
      <c r="I2" s="88"/>
    </row>
    <row r="3" spans="2:9">
      <c r="B3" s="89" t="str">
        <f>DCF!B3</f>
        <v>All amounts are shown in Egyptian pounds, except per-share data, ratios, and shares outstanding</v>
      </c>
    </row>
    <row r="4" spans="2:9" ht="15" customHeight="1">
      <c r="B4" s="182" t="s">
        <v>217</v>
      </c>
      <c r="C4" s="183"/>
      <c r="D4" s="183"/>
      <c r="E4" s="184"/>
      <c r="F4" s="185"/>
    </row>
    <row r="5" spans="2:9">
      <c r="E5" s="132"/>
    </row>
    <row r="6" spans="2:9" ht="15" customHeight="1">
      <c r="B6" s="86" t="s">
        <v>218</v>
      </c>
      <c r="C6" s="188">
        <f>-FSM!F23/AVERAGE((FSM!E75+FSM!E76+FSM!E85),(FSM!F75+FSM!F76+FSM!F85))</f>
        <v>7.7377137567089554E-2</v>
      </c>
    </row>
    <row r="7" spans="2:9" ht="15" customHeight="1">
      <c r="B7" s="86" t="s">
        <v>48</v>
      </c>
      <c r="C7" s="189">
        <v>0.22500000000000001</v>
      </c>
    </row>
    <row r="8" spans="2:9" ht="15" customHeight="1">
      <c r="B8" s="86" t="s">
        <v>219</v>
      </c>
      <c r="C8" s="190">
        <f>+C6*(1-C7)</f>
        <v>5.9967281614494404E-2</v>
      </c>
    </row>
    <row r="10" spans="2:9">
      <c r="B10" s="86" t="s">
        <v>220</v>
      </c>
      <c r="C10" s="188">
        <v>0.21579999999999999</v>
      </c>
    </row>
    <row r="11" spans="2:9">
      <c r="B11" s="86" t="s">
        <v>221</v>
      </c>
      <c r="C11" s="204">
        <f>(2/3*0.53)+1/3</f>
        <v>0.68666666666666665</v>
      </c>
    </row>
    <row r="12" spans="2:9" ht="15" customHeight="1">
      <c r="B12" s="86" t="s">
        <v>222</v>
      </c>
      <c r="C12" s="191">
        <v>5.5E-2</v>
      </c>
    </row>
    <row r="13" spans="2:9">
      <c r="B13" s="86" t="s">
        <v>223</v>
      </c>
      <c r="C13" s="192">
        <f>+C10+C11*C12</f>
        <v>0.25356666666666666</v>
      </c>
    </row>
    <row r="14" spans="2:9">
      <c r="C14" s="193"/>
    </row>
    <row r="15" spans="2:9">
      <c r="B15" s="186" t="s">
        <v>224</v>
      </c>
      <c r="C15" s="194"/>
      <c r="D15" s="194"/>
      <c r="E15" s="194"/>
    </row>
    <row r="16" spans="2:9">
      <c r="B16" s="110"/>
      <c r="C16" s="161"/>
      <c r="D16" s="161" t="s">
        <v>225</v>
      </c>
    </row>
    <row r="17" spans="2:5" ht="17.25">
      <c r="C17" s="195" t="s">
        <v>226</v>
      </c>
      <c r="D17" s="195" t="s">
        <v>227</v>
      </c>
      <c r="E17" s="195" t="s">
        <v>228</v>
      </c>
    </row>
    <row r="18" spans="2:5">
      <c r="B18" s="86" t="s">
        <v>19</v>
      </c>
      <c r="C18" s="108">
        <f>DCF!H5*DCF!I61</f>
        <v>22001331875.039997</v>
      </c>
      <c r="D18" s="196"/>
      <c r="E18" s="197">
        <f>IF(D18,D18,C18/(C18+C19))</f>
        <v>0.8609070459382131</v>
      </c>
    </row>
    <row r="19" spans="2:5">
      <c r="B19" s="86" t="s">
        <v>182</v>
      </c>
      <c r="C19" s="108">
        <f>DCF!C65</f>
        <v>3554658146</v>
      </c>
      <c r="D19" s="198"/>
      <c r="E19" s="197">
        <f>IF(D19,D19,C19/(C19+C18))</f>
        <v>0.13909295406178687</v>
      </c>
    </row>
    <row r="21" spans="2:5">
      <c r="B21" s="187" t="s">
        <v>229</v>
      </c>
      <c r="C21" s="199"/>
      <c r="D21" s="179"/>
      <c r="E21" s="200">
        <f>+C8*E19+C13*E18</f>
        <v>0.22663835629521467</v>
      </c>
    </row>
    <row r="22" spans="2:5">
      <c r="B22" s="109"/>
      <c r="C22" s="138"/>
    </row>
    <row r="23" spans="2:5">
      <c r="B23" s="109"/>
      <c r="C23" s="138"/>
    </row>
    <row r="24" spans="2:5">
      <c r="B24" s="109"/>
      <c r="C24" s="138"/>
    </row>
  </sheetData>
  <conditionalFormatting sqref="B22:C24">
    <cfRule type="expression" dxfId="0" priority="1">
      <formula>#REF!="Industry"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FSM</vt:lpstr>
      <vt:lpstr>DCF</vt:lpstr>
      <vt:lpstr>WACC</vt:lpstr>
      <vt:lpstr>Company_Name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Ahmed WAEL</dc:creator>
  <dc:description/>
  <cp:lastModifiedBy>Ahmed Wael</cp:lastModifiedBy>
  <cp:revision>0</cp:revision>
  <dcterms:created xsi:type="dcterms:W3CDTF">2015-06-05T18:17:20Z</dcterms:created>
  <dcterms:modified xsi:type="dcterms:W3CDTF">2026-05-31T15:16:47Z</dcterms:modified>
  <dc:language>en-US</dc:language>
</cp:coreProperties>
</file>