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aluations\CIB\"/>
    </mc:Choice>
  </mc:AlternateContent>
  <xr:revisionPtr revIDLastSave="0" documentId="13_ncr:1_{13B8C497-83AB-417B-BE8D-91DC8DA6578B}" xr6:coauthVersionLast="47" xr6:coauthVersionMax="47" xr10:uidLastSave="{00000000-0000-0000-0000-000000000000}"/>
  <bookViews>
    <workbookView xWindow="-120" yWindow="-120" windowWidth="29040" windowHeight="15840" tabRatio="646" xr2:uid="{00000000-000D-0000-FFFF-FFFF00000000}"/>
  </bookViews>
  <sheets>
    <sheet name="FSM" sheetId="1" r:id="rId1"/>
    <sheet name="Residual Income" sheetId="8" r:id="rId2"/>
    <sheet name="DDM" sheetId="7" r:id="rId3"/>
    <sheet name="Cost of equity (Ke​)" sheetId="3" r:id="rId4"/>
    <sheet name="Trading Comps" sheetId="5" r:id="rId5"/>
  </sheets>
  <definedNames>
    <definedName name="CIQWBGuid" localSheetId="3" hidden="1">"DCF_complete.xlsx"</definedName>
    <definedName name="CIQWBGuid" localSheetId="2" hidden="1">"DCF_complete.xlsx"</definedName>
    <definedName name="CIQWBGuid" localSheetId="1" hidden="1">"DCF_complete.xlsx"</definedName>
    <definedName name="CIQWBGuid" hidden="1">"a611639b-bab1-425e-aaa5-008c326fdfdb"</definedName>
    <definedName name="Company_Name" localSheetId="0">FSM!$D$5</definedName>
    <definedName name="Company_Name">#REF!</definedName>
    <definedName name="Hist_Yr" localSheetId="0">FSM!#REF!</definedName>
    <definedName name="Hist_Yr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localSheetId="3" hidden="1">43549.6880671296</definedName>
    <definedName name="IQ_NAMES_REVISION_DATE_" localSheetId="2" hidden="1">43549.6880671296</definedName>
    <definedName name="IQ_NAMES_REVISION_DATE_" localSheetId="1" hidden="1">43549.6880671296</definedName>
    <definedName name="IQ_NAMES_REVISION_DATE_" hidden="1">43588.5561574074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LNK841c85bef3244d5c8fb6b3f84988d79e" localSheetId="3" hidden="1">#REF!</definedName>
    <definedName name="MLNK841c85bef3244d5c8fb6b3f84988d79e" localSheetId="2" hidden="1">#REF!</definedName>
    <definedName name="MLNK841c85bef3244d5c8fb6b3f84988d79e" localSheetId="1" hidden="1">#REF!</definedName>
    <definedName name="MLNK841c85bef3244d5c8fb6b3f84988d79e" hidden="1">#REF!</definedName>
    <definedName name="MLNKa7775792bf444a4785f8ed5c82461a24" localSheetId="3" hidden="1">#REF!</definedName>
    <definedName name="MLNKa7775792bf444a4785f8ed5c82461a24" localSheetId="2" hidden="1">#REF!</definedName>
    <definedName name="MLNKa7775792bf444a4785f8ed5c82461a24" localSheetId="1" hidden="1">#REF!</definedName>
    <definedName name="MLNKa7775792bf444a4785f8ed5c82461a24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8" l="1"/>
  <c r="C14" i="8"/>
  <c r="E25" i="8" l="1"/>
  <c r="I32" i="8"/>
  <c r="H32" i="8"/>
  <c r="G32" i="8"/>
  <c r="F32" i="8"/>
  <c r="E32" i="8"/>
  <c r="D14" i="8"/>
  <c r="I16" i="8"/>
  <c r="I19" i="8" s="1"/>
  <c r="H16" i="8"/>
  <c r="H19" i="8" s="1"/>
  <c r="G16" i="8"/>
  <c r="G19" i="8" s="1"/>
  <c r="F16" i="8"/>
  <c r="E16" i="8"/>
  <c r="I14" i="8"/>
  <c r="H14" i="8"/>
  <c r="G14" i="8"/>
  <c r="F14" i="8"/>
  <c r="E14" i="8"/>
  <c r="C10" i="3"/>
  <c r="C7" i="3"/>
  <c r="C6" i="3"/>
  <c r="E19" i="8"/>
  <c r="F19" i="8" l="1"/>
  <c r="K223" i="1" l="1"/>
  <c r="L223" i="1" s="1"/>
  <c r="M223" i="1" s="1"/>
  <c r="N223" i="1" s="1"/>
  <c r="C35" i="3"/>
  <c r="I32" i="3"/>
  <c r="I31" i="3"/>
  <c r="I30" i="3"/>
  <c r="I29" i="3"/>
  <c r="C36" i="3" s="1"/>
  <c r="F33" i="3"/>
  <c r="F32" i="3"/>
  <c r="F31" i="3"/>
  <c r="F30" i="3"/>
  <c r="F29" i="3"/>
  <c r="F48" i="5"/>
  <c r="E48" i="5"/>
  <c r="D48" i="5"/>
  <c r="C48" i="5"/>
  <c r="F53" i="5" s="1"/>
  <c r="F54" i="5" l="1"/>
  <c r="F55" i="5"/>
  <c r="F52" i="5"/>
  <c r="F42" i="5" l="1"/>
  <c r="E42" i="5"/>
  <c r="D42" i="5"/>
  <c r="C42" i="5"/>
  <c r="G29" i="5"/>
  <c r="G26" i="5"/>
  <c r="G25" i="5"/>
  <c r="G24" i="5"/>
  <c r="G22" i="5"/>
  <c r="G21" i="5"/>
  <c r="G20" i="5"/>
  <c r="F28" i="5"/>
  <c r="E28" i="5"/>
  <c r="D28" i="5"/>
  <c r="C28" i="5"/>
  <c r="F23" i="5"/>
  <c r="E23" i="5"/>
  <c r="D23" i="5"/>
  <c r="C23" i="5"/>
  <c r="I43" i="7"/>
  <c r="C38" i="7" s="1"/>
  <c r="I51" i="8"/>
  <c r="C46" i="8" s="1"/>
  <c r="G17" i="5"/>
  <c r="G35" i="5" s="1"/>
  <c r="F17" i="5"/>
  <c r="F35" i="5" s="1"/>
  <c r="E17" i="5"/>
  <c r="E35" i="5" s="1"/>
  <c r="D17" i="5"/>
  <c r="D35" i="5" s="1"/>
  <c r="C17" i="5"/>
  <c r="C35" i="5" s="1"/>
  <c r="G12" i="5"/>
  <c r="F12" i="5"/>
  <c r="E12" i="5"/>
  <c r="D12" i="5"/>
  <c r="C12" i="5"/>
  <c r="J84" i="1"/>
  <c r="K84" i="1" s="1"/>
  <c r="L84" i="1" s="1"/>
  <c r="M84" i="1" s="1"/>
  <c r="N84" i="1" s="1"/>
  <c r="B3" i="3"/>
  <c r="I87" i="1"/>
  <c r="H87" i="1"/>
  <c r="G87" i="1"/>
  <c r="F87" i="1"/>
  <c r="E87" i="1"/>
  <c r="B29" i="8"/>
  <c r="D31" i="8"/>
  <c r="D12" i="8"/>
  <c r="E12" i="8" s="1"/>
  <c r="C12" i="8"/>
  <c r="H5" i="8"/>
  <c r="D5" i="8"/>
  <c r="D8" i="8" s="1"/>
  <c r="C32" i="8" s="1"/>
  <c r="B3" i="8"/>
  <c r="D19" i="7"/>
  <c r="I17" i="7"/>
  <c r="H17" i="7"/>
  <c r="G17" i="7"/>
  <c r="F17" i="7"/>
  <c r="E17" i="7"/>
  <c r="B21" i="7"/>
  <c r="D23" i="7"/>
  <c r="D12" i="7"/>
  <c r="E12" i="7" s="1"/>
  <c r="C12" i="7"/>
  <c r="H5" i="7"/>
  <c r="D5" i="7"/>
  <c r="D8" i="7" s="1"/>
  <c r="C24" i="7" s="1"/>
  <c r="B3" i="7"/>
  <c r="I335" i="1"/>
  <c r="H335" i="1"/>
  <c r="G335" i="1"/>
  <c r="F335" i="1"/>
  <c r="E335" i="1"/>
  <c r="D335" i="1"/>
  <c r="I334" i="1"/>
  <c r="H334" i="1"/>
  <c r="G334" i="1"/>
  <c r="F334" i="1"/>
  <c r="E334" i="1"/>
  <c r="D334" i="1"/>
  <c r="J381" i="1"/>
  <c r="J377" i="1"/>
  <c r="J376" i="1"/>
  <c r="J375" i="1"/>
  <c r="K387" i="1"/>
  <c r="L387" i="1" s="1"/>
  <c r="M387" i="1" s="1"/>
  <c r="N387" i="1" s="1"/>
  <c r="K386" i="1"/>
  <c r="L386" i="1" s="1"/>
  <c r="M386" i="1" s="1"/>
  <c r="N386" i="1" s="1"/>
  <c r="K385" i="1"/>
  <c r="L385" i="1" s="1"/>
  <c r="M385" i="1" s="1"/>
  <c r="N385" i="1" s="1"/>
  <c r="K384" i="1"/>
  <c r="L384" i="1" s="1"/>
  <c r="M384" i="1" s="1"/>
  <c r="N384" i="1" s="1"/>
  <c r="I387" i="1"/>
  <c r="H387" i="1"/>
  <c r="G387" i="1"/>
  <c r="F387" i="1"/>
  <c r="E387" i="1"/>
  <c r="I386" i="1"/>
  <c r="H386" i="1"/>
  <c r="G386" i="1"/>
  <c r="F386" i="1"/>
  <c r="E386" i="1"/>
  <c r="I385" i="1"/>
  <c r="H385" i="1"/>
  <c r="G385" i="1"/>
  <c r="F385" i="1"/>
  <c r="E385" i="1"/>
  <c r="I384" i="1"/>
  <c r="H384" i="1"/>
  <c r="G384" i="1"/>
  <c r="F384" i="1"/>
  <c r="E384" i="1"/>
  <c r="I378" i="1"/>
  <c r="I382" i="1" s="1"/>
  <c r="H378" i="1"/>
  <c r="H382" i="1" s="1"/>
  <c r="G378" i="1"/>
  <c r="G382" i="1" s="1"/>
  <c r="F378" i="1"/>
  <c r="F382" i="1" s="1"/>
  <c r="E378" i="1"/>
  <c r="E382" i="1" s="1"/>
  <c r="D378" i="1"/>
  <c r="D382" i="1" s="1"/>
  <c r="I366" i="1"/>
  <c r="H366" i="1"/>
  <c r="G366" i="1"/>
  <c r="F366" i="1"/>
  <c r="E366" i="1"/>
  <c r="D366" i="1"/>
  <c r="J78" i="1"/>
  <c r="K78" i="1" s="1"/>
  <c r="L78" i="1" s="1"/>
  <c r="M78" i="1" s="1"/>
  <c r="N78" i="1" s="1"/>
  <c r="I358" i="1"/>
  <c r="H358" i="1"/>
  <c r="G358" i="1"/>
  <c r="F358" i="1"/>
  <c r="E358" i="1"/>
  <c r="D358" i="1"/>
  <c r="I350" i="1"/>
  <c r="H350" i="1"/>
  <c r="G350" i="1"/>
  <c r="F350" i="1"/>
  <c r="E350" i="1"/>
  <c r="D350" i="1"/>
  <c r="I342" i="1"/>
  <c r="H342" i="1"/>
  <c r="G342" i="1"/>
  <c r="F342" i="1"/>
  <c r="E342" i="1"/>
  <c r="D342" i="1"/>
  <c r="I343" i="1"/>
  <c r="H343" i="1"/>
  <c r="H344" i="1" s="1"/>
  <c r="G343" i="1"/>
  <c r="F343" i="1"/>
  <c r="E343" i="1"/>
  <c r="D343" i="1"/>
  <c r="E327" i="1"/>
  <c r="F327" i="1" s="1"/>
  <c r="G327" i="1" s="1"/>
  <c r="H327" i="1" s="1"/>
  <c r="I327" i="1" s="1"/>
  <c r="J327" i="1" s="1"/>
  <c r="K327" i="1" s="1"/>
  <c r="L327" i="1" s="1"/>
  <c r="M327" i="1" s="1"/>
  <c r="N327" i="1" s="1"/>
  <c r="J315" i="1"/>
  <c r="K315" i="1" s="1"/>
  <c r="L315" i="1" s="1"/>
  <c r="J318" i="1"/>
  <c r="K318" i="1" s="1"/>
  <c r="I322" i="1"/>
  <c r="H322" i="1"/>
  <c r="G322" i="1"/>
  <c r="F322" i="1"/>
  <c r="E322" i="1"/>
  <c r="D322" i="1"/>
  <c r="I320" i="1"/>
  <c r="H320" i="1"/>
  <c r="G320" i="1"/>
  <c r="F320" i="1"/>
  <c r="E320" i="1"/>
  <c r="D320" i="1"/>
  <c r="I215" i="1"/>
  <c r="J209" i="1" s="1"/>
  <c r="K214" i="1"/>
  <c r="L214" i="1" s="1"/>
  <c r="M214" i="1" s="1"/>
  <c r="N214" i="1" s="1"/>
  <c r="E224" i="1"/>
  <c r="F224" i="1" s="1"/>
  <c r="G224" i="1" s="1"/>
  <c r="H224" i="1" s="1"/>
  <c r="I224" i="1" s="1"/>
  <c r="J224" i="1" s="1"/>
  <c r="K224" i="1" s="1"/>
  <c r="L224" i="1" s="1"/>
  <c r="M224" i="1" s="1"/>
  <c r="N224" i="1" s="1"/>
  <c r="D202" i="1"/>
  <c r="I199" i="1"/>
  <c r="J196" i="1" s="1"/>
  <c r="H199" i="1"/>
  <c r="I196" i="1" s="1"/>
  <c r="I202" i="1" s="1"/>
  <c r="G199" i="1"/>
  <c r="H196" i="1" s="1"/>
  <c r="H202" i="1" s="1"/>
  <c r="F199" i="1"/>
  <c r="G196" i="1" s="1"/>
  <c r="G202" i="1" s="1"/>
  <c r="E199" i="1"/>
  <c r="F196" i="1" s="1"/>
  <c r="F202" i="1" s="1"/>
  <c r="D199" i="1"/>
  <c r="E196" i="1" s="1"/>
  <c r="E202" i="1" s="1"/>
  <c r="J70" i="1"/>
  <c r="K70" i="1" s="1"/>
  <c r="L70" i="1" s="1"/>
  <c r="M70" i="1" s="1"/>
  <c r="N70" i="1" s="1"/>
  <c r="K50" i="1"/>
  <c r="J294" i="1"/>
  <c r="K294" i="1" s="1"/>
  <c r="L294" i="1" s="1"/>
  <c r="M294" i="1" s="1"/>
  <c r="N294" i="1" s="1"/>
  <c r="J293" i="1"/>
  <c r="K293" i="1" s="1"/>
  <c r="J292" i="1"/>
  <c r="E304" i="1"/>
  <c r="F304" i="1"/>
  <c r="G304" i="1"/>
  <c r="H304" i="1"/>
  <c r="I304" i="1"/>
  <c r="J304" i="1" s="1"/>
  <c r="I303" i="1"/>
  <c r="H303" i="1"/>
  <c r="G303" i="1"/>
  <c r="F303" i="1"/>
  <c r="E303" i="1"/>
  <c r="I302" i="1"/>
  <c r="H302" i="1"/>
  <c r="G302" i="1"/>
  <c r="F302" i="1"/>
  <c r="E302" i="1"/>
  <c r="I301" i="1"/>
  <c r="H301" i="1"/>
  <c r="G301" i="1"/>
  <c r="F301" i="1"/>
  <c r="E301" i="1"/>
  <c r="I295" i="1"/>
  <c r="I299" i="1" s="1"/>
  <c r="H295" i="1"/>
  <c r="H299" i="1" s="1"/>
  <c r="G295" i="1"/>
  <c r="G299" i="1" s="1"/>
  <c r="F295" i="1"/>
  <c r="F299" i="1" s="1"/>
  <c r="E295" i="1"/>
  <c r="E299" i="1" s="1"/>
  <c r="D295" i="1"/>
  <c r="D299" i="1" s="1"/>
  <c r="J276" i="1"/>
  <c r="K276" i="1" s="1"/>
  <c r="L276" i="1" s="1"/>
  <c r="M276" i="1" s="1"/>
  <c r="N276" i="1" s="1"/>
  <c r="J275" i="1"/>
  <c r="I275" i="1"/>
  <c r="H275" i="1"/>
  <c r="G275" i="1"/>
  <c r="F275" i="1"/>
  <c r="E275" i="1"/>
  <c r="D285" i="1"/>
  <c r="D284" i="1"/>
  <c r="D283" i="1"/>
  <c r="J261" i="1"/>
  <c r="J260" i="1"/>
  <c r="K267" i="1"/>
  <c r="L267" i="1" s="1"/>
  <c r="M267" i="1" s="1"/>
  <c r="N267" i="1" s="1"/>
  <c r="K266" i="1"/>
  <c r="L266" i="1" s="1"/>
  <c r="M266" i="1" s="1"/>
  <c r="N266" i="1" s="1"/>
  <c r="J249" i="1"/>
  <c r="K249" i="1" s="1"/>
  <c r="L249" i="1" s="1"/>
  <c r="M249" i="1" s="1"/>
  <c r="N249" i="1" s="1"/>
  <c r="J248" i="1"/>
  <c r="K248" i="1" s="1"/>
  <c r="L248" i="1" s="1"/>
  <c r="M248" i="1" s="1"/>
  <c r="N248" i="1" s="1"/>
  <c r="J247" i="1"/>
  <c r="K247" i="1" s="1"/>
  <c r="J246" i="1"/>
  <c r="J237" i="1"/>
  <c r="K237" i="1" s="1"/>
  <c r="L237" i="1" s="1"/>
  <c r="M237" i="1" s="1"/>
  <c r="N237" i="1" s="1"/>
  <c r="J236" i="1"/>
  <c r="K236" i="1" s="1"/>
  <c r="L236" i="1" s="1"/>
  <c r="M236" i="1" s="1"/>
  <c r="N236" i="1" s="1"/>
  <c r="J235" i="1"/>
  <c r="K235" i="1" s="1"/>
  <c r="J234" i="1"/>
  <c r="I267" i="1"/>
  <c r="H267" i="1"/>
  <c r="G267" i="1"/>
  <c r="F267" i="1"/>
  <c r="E267" i="1"/>
  <c r="D267" i="1"/>
  <c r="I255" i="1"/>
  <c r="H255" i="1"/>
  <c r="G255" i="1"/>
  <c r="F255" i="1"/>
  <c r="E255" i="1"/>
  <c r="I254" i="1"/>
  <c r="H254" i="1"/>
  <c r="G254" i="1"/>
  <c r="F254" i="1"/>
  <c r="E254" i="1"/>
  <c r="I253" i="1"/>
  <c r="H253" i="1"/>
  <c r="G253" i="1"/>
  <c r="F253" i="1"/>
  <c r="E253" i="1"/>
  <c r="I252" i="1"/>
  <c r="H252" i="1"/>
  <c r="G252" i="1"/>
  <c r="F252" i="1"/>
  <c r="E252" i="1"/>
  <c r="I243" i="1"/>
  <c r="H243" i="1"/>
  <c r="G243" i="1"/>
  <c r="F243" i="1"/>
  <c r="E243" i="1"/>
  <c r="I242" i="1"/>
  <c r="H242" i="1"/>
  <c r="G242" i="1"/>
  <c r="F242" i="1"/>
  <c r="E242" i="1"/>
  <c r="I241" i="1"/>
  <c r="H241" i="1"/>
  <c r="G241" i="1"/>
  <c r="F241" i="1"/>
  <c r="E241" i="1"/>
  <c r="I240" i="1"/>
  <c r="H240" i="1"/>
  <c r="G240" i="1"/>
  <c r="F240" i="1"/>
  <c r="E240" i="1"/>
  <c r="I250" i="1"/>
  <c r="H250" i="1"/>
  <c r="G250" i="1"/>
  <c r="F250" i="1"/>
  <c r="E250" i="1"/>
  <c r="D250" i="1"/>
  <c r="I238" i="1"/>
  <c r="H238" i="1"/>
  <c r="H257" i="1" s="1"/>
  <c r="G238" i="1"/>
  <c r="F238" i="1"/>
  <c r="E238" i="1"/>
  <c r="D238" i="1"/>
  <c r="K226" i="1"/>
  <c r="K227" i="1"/>
  <c r="I221" i="1"/>
  <c r="J218" i="1" s="1"/>
  <c r="H221" i="1"/>
  <c r="I218" i="1" s="1"/>
  <c r="G221" i="1"/>
  <c r="H218" i="1" s="1"/>
  <c r="F221" i="1"/>
  <c r="G218" i="1" s="1"/>
  <c r="E221" i="1"/>
  <c r="F218" i="1" s="1"/>
  <c r="D221" i="1"/>
  <c r="E218" i="1" s="1"/>
  <c r="H215" i="1"/>
  <c r="I209" i="1" s="1"/>
  <c r="G215" i="1"/>
  <c r="H209" i="1" s="1"/>
  <c r="F215" i="1"/>
  <c r="G209" i="1" s="1"/>
  <c r="E215" i="1"/>
  <c r="F209" i="1" s="1"/>
  <c r="D215" i="1"/>
  <c r="E209" i="1" s="1"/>
  <c r="K189" i="1"/>
  <c r="L189" i="1" s="1"/>
  <c r="M189" i="1" s="1"/>
  <c r="N189" i="1" s="1"/>
  <c r="K190" i="1"/>
  <c r="L190" i="1" s="1"/>
  <c r="M190" i="1" s="1"/>
  <c r="N190" i="1" s="1"/>
  <c r="K176" i="1"/>
  <c r="L176" i="1" s="1"/>
  <c r="M176" i="1" s="1"/>
  <c r="N176" i="1" s="1"/>
  <c r="I187" i="1"/>
  <c r="J182" i="1" s="1"/>
  <c r="H187" i="1"/>
  <c r="I182" i="1" s="1"/>
  <c r="G187" i="1"/>
  <c r="H182" i="1" s="1"/>
  <c r="F187" i="1"/>
  <c r="G182" i="1" s="1"/>
  <c r="E187" i="1"/>
  <c r="F182" i="1" s="1"/>
  <c r="D187" i="1"/>
  <c r="E182" i="1" s="1"/>
  <c r="I173" i="1"/>
  <c r="J167" i="1"/>
  <c r="H173" i="1"/>
  <c r="I167" i="1" s="1"/>
  <c r="G173" i="1"/>
  <c r="H167" i="1" s="1"/>
  <c r="F173" i="1"/>
  <c r="G167" i="1" s="1"/>
  <c r="E173" i="1"/>
  <c r="F167" i="1" s="1"/>
  <c r="D173" i="1"/>
  <c r="E167" i="1" s="1"/>
  <c r="E157" i="1"/>
  <c r="E158" i="1"/>
  <c r="E159" i="1"/>
  <c r="E160" i="1"/>
  <c r="E161" i="1"/>
  <c r="I154" i="1"/>
  <c r="H154" i="1"/>
  <c r="G154" i="1"/>
  <c r="F154" i="1"/>
  <c r="E154" i="1"/>
  <c r="D154" i="1"/>
  <c r="J150" i="1"/>
  <c r="K150" i="1" s="1"/>
  <c r="L150" i="1" s="1"/>
  <c r="M150" i="1" s="1"/>
  <c r="N150" i="1" s="1"/>
  <c r="J149" i="1"/>
  <c r="K149" i="1" s="1"/>
  <c r="L149" i="1" s="1"/>
  <c r="M149" i="1" s="1"/>
  <c r="N149" i="1" s="1"/>
  <c r="J148" i="1"/>
  <c r="K148" i="1" s="1"/>
  <c r="L148" i="1" s="1"/>
  <c r="M148" i="1" s="1"/>
  <c r="N148" i="1" s="1"/>
  <c r="J147" i="1"/>
  <c r="K147" i="1" s="1"/>
  <c r="J146" i="1"/>
  <c r="I161" i="1"/>
  <c r="I160" i="1"/>
  <c r="I159" i="1"/>
  <c r="I158" i="1"/>
  <c r="I157" i="1"/>
  <c r="H161" i="1"/>
  <c r="G161" i="1"/>
  <c r="F161" i="1"/>
  <c r="D161" i="1"/>
  <c r="H160" i="1"/>
  <c r="G160" i="1"/>
  <c r="F160" i="1"/>
  <c r="D160" i="1"/>
  <c r="H159" i="1"/>
  <c r="G159" i="1"/>
  <c r="F159" i="1"/>
  <c r="D159" i="1"/>
  <c r="H158" i="1"/>
  <c r="G158" i="1"/>
  <c r="F158" i="1"/>
  <c r="D158" i="1"/>
  <c r="H157" i="1"/>
  <c r="G157" i="1"/>
  <c r="F157" i="1"/>
  <c r="D157" i="1"/>
  <c r="I151" i="1"/>
  <c r="H151" i="1"/>
  <c r="G151" i="1"/>
  <c r="F151" i="1"/>
  <c r="E151" i="1"/>
  <c r="D151" i="1"/>
  <c r="J131" i="1"/>
  <c r="K131" i="1" s="1"/>
  <c r="L131" i="1" s="1"/>
  <c r="M131" i="1" s="1"/>
  <c r="N131" i="1" s="1"/>
  <c r="J130" i="1"/>
  <c r="K130" i="1" s="1"/>
  <c r="L130" i="1" s="1"/>
  <c r="M130" i="1" s="1"/>
  <c r="N130" i="1" s="1"/>
  <c r="J129" i="1"/>
  <c r="K129" i="1" s="1"/>
  <c r="L129" i="1" s="1"/>
  <c r="M129" i="1" s="1"/>
  <c r="N129" i="1" s="1"/>
  <c r="J127" i="1"/>
  <c r="K127" i="1" s="1"/>
  <c r="L127" i="1" s="1"/>
  <c r="M127" i="1" s="1"/>
  <c r="N127" i="1" s="1"/>
  <c r="J126" i="1"/>
  <c r="J112" i="1"/>
  <c r="K112" i="1" s="1"/>
  <c r="L112" i="1" s="1"/>
  <c r="M112" i="1" s="1"/>
  <c r="N112" i="1" s="1"/>
  <c r="J111" i="1"/>
  <c r="K111" i="1" s="1"/>
  <c r="L111" i="1" s="1"/>
  <c r="M111" i="1" s="1"/>
  <c r="N111" i="1" s="1"/>
  <c r="J110" i="1"/>
  <c r="K110" i="1" s="1"/>
  <c r="L110" i="1" s="1"/>
  <c r="M110" i="1" s="1"/>
  <c r="N110" i="1" s="1"/>
  <c r="J108" i="1"/>
  <c r="K108" i="1" s="1"/>
  <c r="L108" i="1" s="1"/>
  <c r="M108" i="1" s="1"/>
  <c r="N108" i="1" s="1"/>
  <c r="J107" i="1"/>
  <c r="I140" i="1"/>
  <c r="H140" i="1"/>
  <c r="G140" i="1"/>
  <c r="F140" i="1"/>
  <c r="E140" i="1"/>
  <c r="I139" i="1"/>
  <c r="H139" i="1"/>
  <c r="G139" i="1"/>
  <c r="F139" i="1"/>
  <c r="E139" i="1"/>
  <c r="I138" i="1"/>
  <c r="H138" i="1"/>
  <c r="G138" i="1"/>
  <c r="F138" i="1"/>
  <c r="E138" i="1"/>
  <c r="I137" i="1"/>
  <c r="H137" i="1"/>
  <c r="G137" i="1"/>
  <c r="F137" i="1"/>
  <c r="E137" i="1"/>
  <c r="I136" i="1"/>
  <c r="H136" i="1"/>
  <c r="G136" i="1"/>
  <c r="F136" i="1"/>
  <c r="E136" i="1"/>
  <c r="I128" i="1"/>
  <c r="I132" i="1" s="1"/>
  <c r="H128" i="1"/>
  <c r="H132" i="1" s="1"/>
  <c r="G128" i="1"/>
  <c r="G132" i="1" s="1"/>
  <c r="F128" i="1"/>
  <c r="F132" i="1" s="1"/>
  <c r="E128" i="1"/>
  <c r="E132" i="1" s="1"/>
  <c r="D128" i="1"/>
  <c r="D132" i="1" s="1"/>
  <c r="I116" i="1"/>
  <c r="H116" i="1"/>
  <c r="G116" i="1"/>
  <c r="F116" i="1"/>
  <c r="E116" i="1"/>
  <c r="I115" i="1"/>
  <c r="H115" i="1"/>
  <c r="G115" i="1"/>
  <c r="F115" i="1"/>
  <c r="E115" i="1"/>
  <c r="I119" i="1"/>
  <c r="H119" i="1"/>
  <c r="G119" i="1"/>
  <c r="F119" i="1"/>
  <c r="E119" i="1"/>
  <c r="I118" i="1"/>
  <c r="H118" i="1"/>
  <c r="G118" i="1"/>
  <c r="F118" i="1"/>
  <c r="I117" i="1"/>
  <c r="H117" i="1"/>
  <c r="G117" i="1"/>
  <c r="F117" i="1"/>
  <c r="E117" i="1"/>
  <c r="E118" i="1"/>
  <c r="I109" i="1"/>
  <c r="I113" i="1" s="1"/>
  <c r="H109" i="1"/>
  <c r="H113" i="1" s="1"/>
  <c r="G109" i="1"/>
  <c r="G113" i="1" s="1"/>
  <c r="F109" i="1"/>
  <c r="F113" i="1" s="1"/>
  <c r="E109" i="1"/>
  <c r="E113" i="1" s="1"/>
  <c r="D109" i="1"/>
  <c r="D113" i="1" s="1"/>
  <c r="J92" i="1"/>
  <c r="K92" i="1" s="1"/>
  <c r="L92" i="1" s="1"/>
  <c r="M92" i="1" s="1"/>
  <c r="N92" i="1" s="1"/>
  <c r="J91" i="1"/>
  <c r="K91" i="1" s="1"/>
  <c r="L91" i="1" s="1"/>
  <c r="M91" i="1" s="1"/>
  <c r="N91" i="1" s="1"/>
  <c r="J90" i="1"/>
  <c r="K90" i="1" s="1"/>
  <c r="J86" i="1"/>
  <c r="K86" i="1" s="1"/>
  <c r="L86" i="1" s="1"/>
  <c r="M86" i="1" s="1"/>
  <c r="N86" i="1" s="1"/>
  <c r="J81" i="1"/>
  <c r="K81" i="1" s="1"/>
  <c r="L81" i="1" s="1"/>
  <c r="M81" i="1" s="1"/>
  <c r="N81" i="1" s="1"/>
  <c r="J80" i="1"/>
  <c r="K80" i="1" s="1"/>
  <c r="L80" i="1" s="1"/>
  <c r="M80" i="1" s="1"/>
  <c r="N80" i="1" s="1"/>
  <c r="J71" i="1"/>
  <c r="K71" i="1" s="1"/>
  <c r="L71" i="1" s="1"/>
  <c r="M71" i="1" s="1"/>
  <c r="N71" i="1" s="1"/>
  <c r="J69" i="1"/>
  <c r="K69" i="1" s="1"/>
  <c r="L69" i="1" s="1"/>
  <c r="M69" i="1" s="1"/>
  <c r="N69" i="1" s="1"/>
  <c r="J67" i="1"/>
  <c r="K67" i="1" s="1"/>
  <c r="L67" i="1" s="1"/>
  <c r="M67" i="1" s="1"/>
  <c r="N67" i="1" s="1"/>
  <c r="J66" i="1"/>
  <c r="K66" i="1" s="1"/>
  <c r="L66" i="1" s="1"/>
  <c r="M66" i="1" s="1"/>
  <c r="N66" i="1" s="1"/>
  <c r="J63" i="1"/>
  <c r="K63" i="1" s="1"/>
  <c r="L63" i="1" s="1"/>
  <c r="M63" i="1" s="1"/>
  <c r="N63" i="1" s="1"/>
  <c r="J62" i="1"/>
  <c r="K62" i="1" s="1"/>
  <c r="J22" i="1"/>
  <c r="K22" i="1" s="1"/>
  <c r="L22" i="1" s="1"/>
  <c r="M22" i="1" s="1"/>
  <c r="N22" i="1" s="1"/>
  <c r="K27" i="1"/>
  <c r="L27" i="1" s="1"/>
  <c r="M27" i="1" s="1"/>
  <c r="N27" i="1" s="1"/>
  <c r="K28" i="1"/>
  <c r="L28" i="1" s="1"/>
  <c r="M28" i="1" s="1"/>
  <c r="N28" i="1" s="1"/>
  <c r="K30" i="1"/>
  <c r="L30" i="1" s="1"/>
  <c r="M30" i="1" s="1"/>
  <c r="N30" i="1" s="1"/>
  <c r="K36" i="1"/>
  <c r="L36" i="1" s="1"/>
  <c r="M36" i="1" s="1"/>
  <c r="N36" i="1" s="1"/>
  <c r="K34" i="1"/>
  <c r="L34" i="1" s="1"/>
  <c r="M34" i="1" s="1"/>
  <c r="N34" i="1" s="1"/>
  <c r="I18" i="1"/>
  <c r="K51" i="1"/>
  <c r="L51" i="1" s="1"/>
  <c r="M51" i="1" s="1"/>
  <c r="N51" i="1" s="1"/>
  <c r="D87" i="1"/>
  <c r="I94" i="1"/>
  <c r="G31" i="5" s="1"/>
  <c r="C67" i="5" s="1"/>
  <c r="H94" i="1"/>
  <c r="H96" i="1" s="1"/>
  <c r="G94" i="1"/>
  <c r="G96" i="1" s="1"/>
  <c r="F94" i="1"/>
  <c r="F96" i="1" s="1"/>
  <c r="E94" i="1"/>
  <c r="E96" i="1" s="1"/>
  <c r="D94" i="1"/>
  <c r="D96" i="1" s="1"/>
  <c r="D314" i="1" s="1"/>
  <c r="D316" i="1" s="1"/>
  <c r="I73" i="1"/>
  <c r="I310" i="1" s="1"/>
  <c r="H73" i="1"/>
  <c r="H310" i="1" s="1"/>
  <c r="G73" i="1"/>
  <c r="G310" i="1" s="1"/>
  <c r="F73" i="1"/>
  <c r="F310" i="1" s="1"/>
  <c r="E73" i="1"/>
  <c r="E310" i="1" s="1"/>
  <c r="D73" i="1"/>
  <c r="I21" i="1"/>
  <c r="I45" i="1" s="1"/>
  <c r="H21" i="1"/>
  <c r="G21" i="1"/>
  <c r="F21" i="1"/>
  <c r="E21" i="1"/>
  <c r="E45" i="1" s="1"/>
  <c r="D21" i="1"/>
  <c r="H18" i="1"/>
  <c r="G18" i="1"/>
  <c r="F18" i="1"/>
  <c r="E18" i="1"/>
  <c r="D18" i="1"/>
  <c r="B36" i="3"/>
  <c r="F45" i="1" l="1"/>
  <c r="G45" i="1"/>
  <c r="E41" i="1"/>
  <c r="H45" i="1"/>
  <c r="D324" i="1"/>
  <c r="G257" i="1"/>
  <c r="G344" i="1"/>
  <c r="G32" i="5"/>
  <c r="J378" i="1"/>
  <c r="F41" i="1"/>
  <c r="J151" i="1"/>
  <c r="J79" i="1" s="1"/>
  <c r="J343" i="1" s="1"/>
  <c r="J322" i="1"/>
  <c r="G41" i="1"/>
  <c r="I257" i="1"/>
  <c r="I269" i="1" s="1"/>
  <c r="J269" i="1" s="1"/>
  <c r="K269" i="1" s="1"/>
  <c r="L269" i="1" s="1"/>
  <c r="M269" i="1" s="1"/>
  <c r="N269" i="1" s="1"/>
  <c r="E344" i="1"/>
  <c r="I344" i="1"/>
  <c r="J344" i="1" s="1"/>
  <c r="G98" i="1"/>
  <c r="I96" i="1"/>
  <c r="G30" i="5"/>
  <c r="D41" i="1"/>
  <c r="D201" i="1" s="1"/>
  <c r="H41" i="1"/>
  <c r="F344" i="1"/>
  <c r="J335" i="1"/>
  <c r="G23" i="5"/>
  <c r="G28" i="5"/>
  <c r="E45" i="5"/>
  <c r="E47" i="5"/>
  <c r="E46" i="5"/>
  <c r="F47" i="5"/>
  <c r="F46" i="5"/>
  <c r="F45" i="5"/>
  <c r="C45" i="5"/>
  <c r="C47" i="5"/>
  <c r="C46" i="5"/>
  <c r="G46" i="5"/>
  <c r="G47" i="5"/>
  <c r="D47" i="5"/>
  <c r="D46" i="5"/>
  <c r="D45" i="5"/>
  <c r="C69" i="5"/>
  <c r="C76" i="5"/>
  <c r="C62" i="5"/>
  <c r="H314" i="1"/>
  <c r="H316" i="1" s="1"/>
  <c r="H324" i="1" s="1"/>
  <c r="H326" i="1" s="1"/>
  <c r="G314" i="1"/>
  <c r="G316" i="1" s="1"/>
  <c r="G324" i="1" s="1"/>
  <c r="G328" i="1" s="1"/>
  <c r="F314" i="1"/>
  <c r="F316" i="1" s="1"/>
  <c r="F324" i="1" s="1"/>
  <c r="F326" i="1" s="1"/>
  <c r="E314" i="1"/>
  <c r="E316" i="1" s="1"/>
  <c r="E324" i="1" s="1"/>
  <c r="E328" i="1" s="1"/>
  <c r="H98" i="1"/>
  <c r="H100" i="1" s="1"/>
  <c r="E31" i="8"/>
  <c r="F12" i="8"/>
  <c r="F12" i="7"/>
  <c r="E23" i="7"/>
  <c r="I285" i="1"/>
  <c r="I284" i="1"/>
  <c r="I283" i="1"/>
  <c r="H285" i="1"/>
  <c r="H284" i="1"/>
  <c r="H283" i="1"/>
  <c r="G283" i="1"/>
  <c r="G285" i="1"/>
  <c r="G284" i="1"/>
  <c r="F283" i="1"/>
  <c r="F285" i="1"/>
  <c r="F284" i="1"/>
  <c r="E283" i="1"/>
  <c r="E285" i="1"/>
  <c r="E284" i="1"/>
  <c r="K381" i="1"/>
  <c r="L381" i="1" s="1"/>
  <c r="M381" i="1" s="1"/>
  <c r="N381" i="1" s="1"/>
  <c r="K377" i="1"/>
  <c r="L377" i="1" s="1"/>
  <c r="M377" i="1" s="1"/>
  <c r="N377" i="1" s="1"/>
  <c r="K376" i="1"/>
  <c r="L376" i="1" s="1"/>
  <c r="M376" i="1" s="1"/>
  <c r="N376" i="1" s="1"/>
  <c r="K375" i="1"/>
  <c r="K292" i="1"/>
  <c r="L292" i="1" s="1"/>
  <c r="M292" i="1" s="1"/>
  <c r="J295" i="1"/>
  <c r="J19" i="1" s="1"/>
  <c r="I311" i="1"/>
  <c r="I367" i="1"/>
  <c r="I368" i="1" s="1"/>
  <c r="J368" i="1" s="1"/>
  <c r="I359" i="1"/>
  <c r="I360" i="1" s="1"/>
  <c r="J360" i="1" s="1"/>
  <c r="I351" i="1"/>
  <c r="I352" i="1" s="1"/>
  <c r="H367" i="1"/>
  <c r="H368" i="1" s="1"/>
  <c r="H359" i="1"/>
  <c r="H360" i="1" s="1"/>
  <c r="H351" i="1"/>
  <c r="H352" i="1" s="1"/>
  <c r="G311" i="1"/>
  <c r="G367" i="1"/>
  <c r="G368" i="1" s="1"/>
  <c r="G359" i="1"/>
  <c r="G360" i="1" s="1"/>
  <c r="G351" i="1"/>
  <c r="G352" i="1" s="1"/>
  <c r="F311" i="1"/>
  <c r="F367" i="1"/>
  <c r="F368" i="1" s="1"/>
  <c r="F359" i="1"/>
  <c r="F360" i="1" s="1"/>
  <c r="F351" i="1"/>
  <c r="F352" i="1" s="1"/>
  <c r="E311" i="1"/>
  <c r="E367" i="1"/>
  <c r="E368" i="1" s="1"/>
  <c r="E359" i="1"/>
  <c r="E360" i="1" s="1"/>
  <c r="E351" i="1"/>
  <c r="E352" i="1" s="1"/>
  <c r="D310" i="1"/>
  <c r="D311" i="1" s="1"/>
  <c r="D367" i="1"/>
  <c r="D368" i="1" s="1"/>
  <c r="D359" i="1"/>
  <c r="D360" i="1" s="1"/>
  <c r="D351" i="1"/>
  <c r="D352" i="1" s="1"/>
  <c r="J352" i="1" s="1"/>
  <c r="J350" i="1" s="1"/>
  <c r="D344" i="1"/>
  <c r="F328" i="1"/>
  <c r="D328" i="1"/>
  <c r="D326" i="1"/>
  <c r="J382" i="1"/>
  <c r="J85" i="1" s="1"/>
  <c r="L318" i="1"/>
  <c r="K322" i="1"/>
  <c r="H311" i="1"/>
  <c r="M315" i="1"/>
  <c r="J202" i="1"/>
  <c r="I41" i="1"/>
  <c r="I46" i="1" s="1"/>
  <c r="I48" i="1"/>
  <c r="J48" i="1" s="1"/>
  <c r="K48" i="1" s="1"/>
  <c r="L48" i="1" s="1"/>
  <c r="M48" i="1" s="1"/>
  <c r="N48" i="1" s="1"/>
  <c r="I50" i="1"/>
  <c r="H48" i="1"/>
  <c r="H50" i="1"/>
  <c r="G48" i="1"/>
  <c r="G50" i="1"/>
  <c r="F48" i="1"/>
  <c r="F50" i="1"/>
  <c r="E48" i="1"/>
  <c r="E50" i="1"/>
  <c r="D48" i="1"/>
  <c r="D50" i="1"/>
  <c r="L50" i="1"/>
  <c r="I49" i="1"/>
  <c r="J49" i="1" s="1"/>
  <c r="K49" i="1" s="1"/>
  <c r="L49" i="1" s="1"/>
  <c r="M49" i="1" s="1"/>
  <c r="N49" i="1" s="1"/>
  <c r="I47" i="1"/>
  <c r="J47" i="1" s="1"/>
  <c r="H49" i="1"/>
  <c r="H47" i="1"/>
  <c r="G49" i="1"/>
  <c r="G47" i="1"/>
  <c r="F49" i="1"/>
  <c r="F47" i="1"/>
  <c r="E49" i="1"/>
  <c r="E47" i="1"/>
  <c r="D44" i="1"/>
  <c r="D49" i="1"/>
  <c r="D47" i="1"/>
  <c r="K47" i="1"/>
  <c r="K304" i="1"/>
  <c r="L304" i="1" s="1"/>
  <c r="M304" i="1" s="1"/>
  <c r="N304" i="1" s="1"/>
  <c r="J298" i="1"/>
  <c r="K246" i="1"/>
  <c r="J250" i="1"/>
  <c r="K234" i="1"/>
  <c r="J238" i="1"/>
  <c r="L293" i="1"/>
  <c r="F257" i="1"/>
  <c r="E257" i="1"/>
  <c r="D257" i="1"/>
  <c r="K260" i="1"/>
  <c r="L260" i="1" s="1"/>
  <c r="M260" i="1" s="1"/>
  <c r="N260" i="1" s="1"/>
  <c r="K261" i="1"/>
  <c r="L261" i="1" s="1"/>
  <c r="M261" i="1" s="1"/>
  <c r="N261" i="1" s="1"/>
  <c r="I268" i="1"/>
  <c r="J268" i="1" s="1"/>
  <c r="H264" i="1"/>
  <c r="H266" i="1"/>
  <c r="H268" i="1"/>
  <c r="H269" i="1"/>
  <c r="G264" i="1"/>
  <c r="G266" i="1"/>
  <c r="G268" i="1"/>
  <c r="G269" i="1"/>
  <c r="L247" i="1"/>
  <c r="L235" i="1"/>
  <c r="M235" i="1" s="1"/>
  <c r="N235" i="1" s="1"/>
  <c r="L226" i="1"/>
  <c r="L227" i="1"/>
  <c r="J185" i="1"/>
  <c r="J184" i="1"/>
  <c r="I189" i="1"/>
  <c r="I190" i="1"/>
  <c r="H189" i="1"/>
  <c r="H190" i="1"/>
  <c r="G190" i="1"/>
  <c r="G189" i="1"/>
  <c r="F190" i="1"/>
  <c r="F189" i="1"/>
  <c r="E190" i="1"/>
  <c r="E189" i="1"/>
  <c r="J170" i="1"/>
  <c r="J169" i="1"/>
  <c r="I176" i="1"/>
  <c r="I175" i="1"/>
  <c r="H176" i="1"/>
  <c r="H175" i="1"/>
  <c r="G176" i="1"/>
  <c r="G175" i="1"/>
  <c r="F176" i="1"/>
  <c r="F175" i="1"/>
  <c r="E175" i="1"/>
  <c r="E176" i="1"/>
  <c r="L90" i="1"/>
  <c r="I155" i="1"/>
  <c r="H155" i="1"/>
  <c r="G155" i="1"/>
  <c r="F155" i="1"/>
  <c r="E155" i="1"/>
  <c r="D155" i="1"/>
  <c r="E152" i="1"/>
  <c r="H152" i="1"/>
  <c r="G152" i="1"/>
  <c r="K146" i="1"/>
  <c r="K151" i="1" s="1"/>
  <c r="J154" i="1"/>
  <c r="J155" i="1" s="1"/>
  <c r="F152" i="1"/>
  <c r="I152" i="1"/>
  <c r="L147" i="1"/>
  <c r="M147" i="1" s="1"/>
  <c r="N147" i="1" s="1"/>
  <c r="J152" i="1"/>
  <c r="D134" i="1"/>
  <c r="H134" i="1"/>
  <c r="G134" i="1"/>
  <c r="F134" i="1"/>
  <c r="E134" i="1"/>
  <c r="I134" i="1"/>
  <c r="J128" i="1"/>
  <c r="J132" i="1" s="1"/>
  <c r="J17" i="1" s="1"/>
  <c r="K126" i="1"/>
  <c r="J109" i="1"/>
  <c r="K107" i="1"/>
  <c r="J113" i="1"/>
  <c r="E98" i="1"/>
  <c r="E100" i="1" s="1"/>
  <c r="L62" i="1"/>
  <c r="F98" i="1"/>
  <c r="F100" i="1" s="1"/>
  <c r="F44" i="1"/>
  <c r="E44" i="1"/>
  <c r="G100" i="1"/>
  <c r="H32" i="1"/>
  <c r="H44" i="1"/>
  <c r="G32" i="1"/>
  <c r="G44" i="1"/>
  <c r="I32" i="1"/>
  <c r="G40" i="5" s="1"/>
  <c r="I44" i="1"/>
  <c r="D98" i="1"/>
  <c r="D100" i="1" s="1"/>
  <c r="F32" i="1"/>
  <c r="E32" i="1"/>
  <c r="D32" i="1"/>
  <c r="H328" i="1" l="1"/>
  <c r="F201" i="1"/>
  <c r="F46" i="1"/>
  <c r="E201" i="1"/>
  <c r="E46" i="1"/>
  <c r="H201" i="1"/>
  <c r="H46" i="1"/>
  <c r="G201" i="1"/>
  <c r="G46" i="1"/>
  <c r="E326" i="1"/>
  <c r="J283" i="1"/>
  <c r="J284" i="1"/>
  <c r="K284" i="1" s="1"/>
  <c r="L284" i="1" s="1"/>
  <c r="M284" i="1" s="1"/>
  <c r="N284" i="1" s="1"/>
  <c r="J285" i="1"/>
  <c r="J279" i="1" s="1"/>
  <c r="J342" i="1"/>
  <c r="J59" i="1" s="1"/>
  <c r="J173" i="1"/>
  <c r="I266" i="1"/>
  <c r="G326" i="1"/>
  <c r="K344" i="1"/>
  <c r="L344" i="1" s="1"/>
  <c r="I264" i="1"/>
  <c r="K298" i="1"/>
  <c r="K299" i="1" s="1"/>
  <c r="J20" i="1"/>
  <c r="I314" i="1"/>
  <c r="I316" i="1" s="1"/>
  <c r="I324" i="1" s="1"/>
  <c r="K295" i="1"/>
  <c r="I201" i="1"/>
  <c r="J201" i="1" s="1"/>
  <c r="K201" i="1" s="1"/>
  <c r="G39" i="5"/>
  <c r="G38" i="5"/>
  <c r="I98" i="1"/>
  <c r="I100" i="1" s="1"/>
  <c r="E53" i="5"/>
  <c r="E54" i="5"/>
  <c r="E52" i="5"/>
  <c r="E55" i="5"/>
  <c r="C53" i="5"/>
  <c r="C59" i="5" s="1"/>
  <c r="C54" i="5"/>
  <c r="C52" i="5"/>
  <c r="C55" i="5"/>
  <c r="C73" i="5"/>
  <c r="D53" i="5"/>
  <c r="C66" i="5" s="1"/>
  <c r="C68" i="5" s="1"/>
  <c r="C70" i="5" s="1"/>
  <c r="D55" i="5"/>
  <c r="D52" i="5"/>
  <c r="D54" i="5"/>
  <c r="H4" i="7"/>
  <c r="H4" i="8"/>
  <c r="F31" i="8"/>
  <c r="G12" i="8"/>
  <c r="G12" i="7"/>
  <c r="F23" i="7"/>
  <c r="J299" i="1"/>
  <c r="J311" i="1"/>
  <c r="K311" i="1" s="1"/>
  <c r="L311" i="1" s="1"/>
  <c r="K378" i="1"/>
  <c r="K382" i="1" s="1"/>
  <c r="K85" i="1" s="1"/>
  <c r="L375" i="1"/>
  <c r="M375" i="1" s="1"/>
  <c r="K368" i="1"/>
  <c r="J366" i="1"/>
  <c r="J83" i="1" s="1"/>
  <c r="J358" i="1"/>
  <c r="K360" i="1"/>
  <c r="L360" i="1" s="1"/>
  <c r="K283" i="1"/>
  <c r="L283" i="1" s="1"/>
  <c r="M283" i="1" s="1"/>
  <c r="N283" i="1" s="1"/>
  <c r="J277" i="1"/>
  <c r="J29" i="1" s="1"/>
  <c r="J257" i="1"/>
  <c r="M293" i="1"/>
  <c r="L295" i="1"/>
  <c r="L368" i="1"/>
  <c r="K352" i="1"/>
  <c r="L352" i="1" s="1"/>
  <c r="M344" i="1"/>
  <c r="M318" i="1"/>
  <c r="L322" i="1"/>
  <c r="N315" i="1"/>
  <c r="K202" i="1"/>
  <c r="L202" i="1" s="1"/>
  <c r="M202" i="1" s="1"/>
  <c r="N202" i="1" s="1"/>
  <c r="J198" i="1"/>
  <c r="M50" i="1"/>
  <c r="K285" i="1"/>
  <c r="L285" i="1" s="1"/>
  <c r="M285" i="1" s="1"/>
  <c r="N285" i="1" s="1"/>
  <c r="L47" i="1"/>
  <c r="L246" i="1"/>
  <c r="K250" i="1"/>
  <c r="L234" i="1"/>
  <c r="K238" i="1"/>
  <c r="K19" i="1"/>
  <c r="N292" i="1"/>
  <c r="F264" i="1"/>
  <c r="F268" i="1"/>
  <c r="F269" i="1"/>
  <c r="F266" i="1"/>
  <c r="E264" i="1"/>
  <c r="E266" i="1"/>
  <c r="E268" i="1"/>
  <c r="E269" i="1"/>
  <c r="D264" i="1"/>
  <c r="D268" i="1"/>
  <c r="D269" i="1"/>
  <c r="D266" i="1"/>
  <c r="J262" i="1"/>
  <c r="K268" i="1"/>
  <c r="L268" i="1" s="1"/>
  <c r="M268" i="1" s="1"/>
  <c r="N268" i="1" s="1"/>
  <c r="M247" i="1"/>
  <c r="M226" i="1"/>
  <c r="M227" i="1"/>
  <c r="K167" i="1"/>
  <c r="K169" i="1" s="1"/>
  <c r="J64" i="1"/>
  <c r="K152" i="1"/>
  <c r="K79" i="1"/>
  <c r="M90" i="1"/>
  <c r="K170" i="1"/>
  <c r="L107" i="1"/>
  <c r="K109" i="1"/>
  <c r="K113" i="1" s="1"/>
  <c r="K16" i="1" s="1"/>
  <c r="K154" i="1"/>
  <c r="K155" i="1" s="1"/>
  <c r="L146" i="1"/>
  <c r="K128" i="1"/>
  <c r="K132" i="1" s="1"/>
  <c r="L126" i="1"/>
  <c r="J134" i="1"/>
  <c r="J16" i="1"/>
  <c r="M62" i="1"/>
  <c r="I35" i="1"/>
  <c r="I37" i="1" s="1"/>
  <c r="I51" i="1"/>
  <c r="H51" i="1"/>
  <c r="H35" i="1"/>
  <c r="H37" i="1" s="1"/>
  <c r="H38" i="1" s="1"/>
  <c r="H210" i="1" s="1"/>
  <c r="G51" i="1"/>
  <c r="G35" i="1"/>
  <c r="G37" i="1" s="1"/>
  <c r="G38" i="1" s="1"/>
  <c r="G210" i="1" s="1"/>
  <c r="F35" i="1"/>
  <c r="F37" i="1" s="1"/>
  <c r="F38" i="1" s="1"/>
  <c r="F210" i="1" s="1"/>
  <c r="F51" i="1"/>
  <c r="E35" i="1"/>
  <c r="E37" i="1" s="1"/>
  <c r="E38" i="1" s="1"/>
  <c r="E210" i="1" s="1"/>
  <c r="E51" i="1"/>
  <c r="D35" i="1"/>
  <c r="D37" i="1" s="1"/>
  <c r="D51" i="1"/>
  <c r="I21" i="8" l="1"/>
  <c r="E21" i="8"/>
  <c r="H21" i="8"/>
  <c r="D21" i="8"/>
  <c r="F21" i="8"/>
  <c r="G21" i="8"/>
  <c r="J278" i="1"/>
  <c r="J21" i="1"/>
  <c r="J45" i="1" s="1"/>
  <c r="L378" i="1"/>
  <c r="L382" i="1" s="1"/>
  <c r="L85" i="1" s="1"/>
  <c r="I38" i="1"/>
  <c r="D16" i="8"/>
  <c r="D19" i="8" s="1"/>
  <c r="D14" i="7"/>
  <c r="K343" i="1"/>
  <c r="K342" i="1" s="1"/>
  <c r="K59" i="1" s="1"/>
  <c r="K335" i="1"/>
  <c r="I328" i="1"/>
  <c r="I326" i="1"/>
  <c r="K20" i="1"/>
  <c r="K21" i="1" s="1"/>
  <c r="K45" i="1" s="1"/>
  <c r="L298" i="1"/>
  <c r="L299" i="1" s="1"/>
  <c r="H12" i="8"/>
  <c r="G31" i="8"/>
  <c r="H12" i="7"/>
  <c r="G23" i="7"/>
  <c r="N293" i="1"/>
  <c r="N295" i="1" s="1"/>
  <c r="M295" i="1"/>
  <c r="J281" i="1"/>
  <c r="K257" i="1"/>
  <c r="L19" i="1"/>
  <c r="N375" i="1"/>
  <c r="N378" i="1" s="1"/>
  <c r="N382" i="1" s="1"/>
  <c r="N85" i="1" s="1"/>
  <c r="M378" i="1"/>
  <c r="M382" i="1" s="1"/>
  <c r="M85" i="1" s="1"/>
  <c r="M368" i="1"/>
  <c r="M360" i="1"/>
  <c r="M352" i="1"/>
  <c r="N344" i="1"/>
  <c r="N318" i="1"/>
  <c r="M322" i="1"/>
  <c r="H223" i="1"/>
  <c r="H225" i="1"/>
  <c r="G223" i="1"/>
  <c r="G225" i="1"/>
  <c r="F223" i="1"/>
  <c r="F225" i="1"/>
  <c r="E223" i="1"/>
  <c r="E225" i="1"/>
  <c r="M311" i="1"/>
  <c r="L201" i="1"/>
  <c r="N50" i="1"/>
  <c r="M246" i="1"/>
  <c r="L250" i="1"/>
  <c r="J18" i="1"/>
  <c r="M47" i="1"/>
  <c r="M234" i="1"/>
  <c r="L238" i="1"/>
  <c r="L257" i="1" s="1"/>
  <c r="K262" i="1"/>
  <c r="N247" i="1"/>
  <c r="N226" i="1"/>
  <c r="N227" i="1"/>
  <c r="K173" i="1"/>
  <c r="I219" i="1"/>
  <c r="I226" i="1" s="1"/>
  <c r="I227" i="1"/>
  <c r="H219" i="1"/>
  <c r="H226" i="1" s="1"/>
  <c r="H227" i="1"/>
  <c r="G219" i="1"/>
  <c r="G226" i="1" s="1"/>
  <c r="G227" i="1"/>
  <c r="F219" i="1"/>
  <c r="F226" i="1" s="1"/>
  <c r="F227" i="1"/>
  <c r="E219" i="1"/>
  <c r="E226" i="1" s="1"/>
  <c r="E227" i="1"/>
  <c r="D227" i="1"/>
  <c r="N90" i="1"/>
  <c r="L109" i="1"/>
  <c r="L113" i="1" s="1"/>
  <c r="L16" i="1" s="1"/>
  <c r="M107" i="1"/>
  <c r="L154" i="1"/>
  <c r="M146" i="1"/>
  <c r="L151" i="1"/>
  <c r="K134" i="1"/>
  <c r="K17" i="1"/>
  <c r="K18" i="1" s="1"/>
  <c r="L128" i="1"/>
  <c r="L132" i="1" s="1"/>
  <c r="M126" i="1"/>
  <c r="N62" i="1"/>
  <c r="C2" i="1"/>
  <c r="D23" i="8" l="1"/>
  <c r="D25" i="8"/>
  <c r="H23" i="8"/>
  <c r="H25" i="8"/>
  <c r="H27" i="8" s="1"/>
  <c r="G23" i="8"/>
  <c r="G25" i="8"/>
  <c r="G27" i="8" s="1"/>
  <c r="E23" i="8"/>
  <c r="E27" i="8"/>
  <c r="F23" i="8"/>
  <c r="F25" i="8"/>
  <c r="F27" i="8" s="1"/>
  <c r="I23" i="8"/>
  <c r="I25" i="8"/>
  <c r="I27" i="8" s="1"/>
  <c r="I210" i="1"/>
  <c r="G41" i="5"/>
  <c r="M298" i="1"/>
  <c r="L20" i="1"/>
  <c r="L21" i="1" s="1"/>
  <c r="L45" i="1" s="1"/>
  <c r="I12" i="8"/>
  <c r="H31" i="8"/>
  <c r="H23" i="7"/>
  <c r="I12" i="7"/>
  <c r="M19" i="1"/>
  <c r="J263" i="1"/>
  <c r="J264" i="1" s="1"/>
  <c r="J61" i="1" s="1"/>
  <c r="K275" i="1"/>
  <c r="N19" i="1"/>
  <c r="N368" i="1"/>
  <c r="N360" i="1"/>
  <c r="N352" i="1"/>
  <c r="N322" i="1"/>
  <c r="N311" i="1"/>
  <c r="M201" i="1"/>
  <c r="J25" i="1"/>
  <c r="J24" i="1"/>
  <c r="J44" i="1"/>
  <c r="J23" i="1"/>
  <c r="J26" i="1"/>
  <c r="K25" i="1"/>
  <c r="K24" i="1"/>
  <c r="K44" i="1"/>
  <c r="K26" i="1"/>
  <c r="K23" i="1"/>
  <c r="N246" i="1"/>
  <c r="N250" i="1" s="1"/>
  <c r="M250" i="1"/>
  <c r="N47" i="1"/>
  <c r="M238" i="1"/>
  <c r="N234" i="1"/>
  <c r="N238" i="1" s="1"/>
  <c r="L262" i="1"/>
  <c r="K64" i="1"/>
  <c r="L167" i="1"/>
  <c r="L152" i="1"/>
  <c r="L79" i="1"/>
  <c r="N107" i="1"/>
  <c r="N109" i="1" s="1"/>
  <c r="N113" i="1" s="1"/>
  <c r="N16" i="1" s="1"/>
  <c r="M109" i="1"/>
  <c r="M113" i="1" s="1"/>
  <c r="M16" i="1" s="1"/>
  <c r="N146" i="1"/>
  <c r="M151" i="1"/>
  <c r="M154" i="1"/>
  <c r="L155" i="1"/>
  <c r="L134" i="1"/>
  <c r="L17" i="1"/>
  <c r="L18" i="1" s="1"/>
  <c r="M128" i="1"/>
  <c r="M132" i="1" s="1"/>
  <c r="N126" i="1"/>
  <c r="N128" i="1" s="1"/>
  <c r="N132" i="1" s="1"/>
  <c r="C16" i="3"/>
  <c r="C15" i="3" s="1"/>
  <c r="I14" i="1"/>
  <c r="I332" i="1" s="1"/>
  <c r="I13" i="1"/>
  <c r="I331" i="1" s="1"/>
  <c r="N298" i="1" l="1"/>
  <c r="M20" i="1"/>
  <c r="M21" i="1" s="1"/>
  <c r="M45" i="1" s="1"/>
  <c r="L343" i="1"/>
  <c r="L342" i="1" s="1"/>
  <c r="L59" i="1" s="1"/>
  <c r="L335" i="1"/>
  <c r="J41" i="1"/>
  <c r="G42" i="5"/>
  <c r="C60" i="5"/>
  <c r="C61" i="5" s="1"/>
  <c r="C63" i="5" s="1"/>
  <c r="G45" i="5"/>
  <c r="C74" i="5"/>
  <c r="C75" i="5" s="1"/>
  <c r="C77" i="5" s="1"/>
  <c r="G48" i="5"/>
  <c r="M299" i="1"/>
  <c r="I223" i="1"/>
  <c r="I225" i="1"/>
  <c r="I31" i="8"/>
  <c r="B38" i="8"/>
  <c r="I23" i="7"/>
  <c r="B30" i="7"/>
  <c r="K41" i="1"/>
  <c r="K279" i="1"/>
  <c r="K277" i="1"/>
  <c r="K278" i="1"/>
  <c r="M257" i="1"/>
  <c r="I308" i="1"/>
  <c r="I372" i="1"/>
  <c r="I364" i="1"/>
  <c r="I356" i="1"/>
  <c r="I348" i="1"/>
  <c r="I340" i="1"/>
  <c r="I307" i="1"/>
  <c r="I371" i="1"/>
  <c r="I363" i="1"/>
  <c r="I355" i="1"/>
  <c r="I347" i="1"/>
  <c r="I339" i="1"/>
  <c r="N257" i="1"/>
  <c r="L170" i="1"/>
  <c r="L169" i="1"/>
  <c r="N201" i="1"/>
  <c r="J32" i="1"/>
  <c r="J33" i="1" s="1"/>
  <c r="L25" i="1"/>
  <c r="L24" i="1"/>
  <c r="L44" i="1"/>
  <c r="L26" i="1"/>
  <c r="L23" i="1"/>
  <c r="I289" i="1"/>
  <c r="I273" i="1"/>
  <c r="I288" i="1"/>
  <c r="I272" i="1"/>
  <c r="M262" i="1"/>
  <c r="M152" i="1"/>
  <c r="M79" i="1"/>
  <c r="I165" i="1"/>
  <c r="I180" i="1"/>
  <c r="I164" i="1"/>
  <c r="I179" i="1"/>
  <c r="M155" i="1"/>
  <c r="N154" i="1"/>
  <c r="N151" i="1"/>
  <c r="M134" i="1"/>
  <c r="M17" i="1"/>
  <c r="M18" i="1" s="1"/>
  <c r="N134" i="1"/>
  <c r="N17" i="1"/>
  <c r="N18" i="1" s="1"/>
  <c r="I144" i="1"/>
  <c r="I123" i="1"/>
  <c r="I143" i="1"/>
  <c r="I122" i="1"/>
  <c r="I104" i="1"/>
  <c r="I103" i="1"/>
  <c r="I205" i="1"/>
  <c r="I206" i="1"/>
  <c r="I194" i="1"/>
  <c r="I193" i="1"/>
  <c r="I230" i="1"/>
  <c r="I231" i="1"/>
  <c r="H13" i="1"/>
  <c r="H331" i="1" s="1"/>
  <c r="I54" i="1"/>
  <c r="J14" i="1"/>
  <c r="J332" i="1" s="1"/>
  <c r="J13" i="1"/>
  <c r="J331" i="1" s="1"/>
  <c r="H14" i="1"/>
  <c r="H332" i="1" s="1"/>
  <c r="I55" i="1"/>
  <c r="I336" i="1" s="1"/>
  <c r="C18" i="3"/>
  <c r="C19" i="3" s="1"/>
  <c r="K197" i="1" l="1"/>
  <c r="K46" i="1"/>
  <c r="J197" i="1"/>
  <c r="J199" i="1" s="1"/>
  <c r="J46" i="1"/>
  <c r="L173" i="1"/>
  <c r="M343" i="1"/>
  <c r="M342" i="1" s="1"/>
  <c r="M59" i="1" s="1"/>
  <c r="M335" i="1"/>
  <c r="N20" i="1"/>
  <c r="N21" i="1" s="1"/>
  <c r="N45" i="1" s="1"/>
  <c r="N299" i="1"/>
  <c r="K29" i="1"/>
  <c r="K32" i="1" s="1"/>
  <c r="K33" i="1" s="1"/>
  <c r="K281" i="1"/>
  <c r="K263" i="1" s="1"/>
  <c r="K264" i="1" s="1"/>
  <c r="K61" i="1" s="1"/>
  <c r="L41" i="1"/>
  <c r="J35" i="1"/>
  <c r="J37" i="1" s="1"/>
  <c r="J82" i="1"/>
  <c r="J87" i="1" s="1"/>
  <c r="H307" i="1"/>
  <c r="H371" i="1"/>
  <c r="H363" i="1"/>
  <c r="H355" i="1"/>
  <c r="H347" i="1"/>
  <c r="H339" i="1"/>
  <c r="J308" i="1"/>
  <c r="J372" i="1"/>
  <c r="J364" i="1"/>
  <c r="J356" i="1"/>
  <c r="J348" i="1"/>
  <c r="J340" i="1"/>
  <c r="J307" i="1"/>
  <c r="J371" i="1"/>
  <c r="J363" i="1"/>
  <c r="J355" i="1"/>
  <c r="J347" i="1"/>
  <c r="J339" i="1"/>
  <c r="H308" i="1"/>
  <c r="H372" i="1"/>
  <c r="H364" i="1"/>
  <c r="H356" i="1"/>
  <c r="H348" i="1"/>
  <c r="H340" i="1"/>
  <c r="M25" i="1"/>
  <c r="M24" i="1"/>
  <c r="M44" i="1"/>
  <c r="M26" i="1"/>
  <c r="M23" i="1"/>
  <c r="N25" i="1"/>
  <c r="N24" i="1"/>
  <c r="N44" i="1"/>
  <c r="N26" i="1"/>
  <c r="N23" i="1"/>
  <c r="M167" i="1"/>
  <c r="L64" i="1"/>
  <c r="L275" i="1"/>
  <c r="H288" i="1"/>
  <c r="H272" i="1"/>
  <c r="J289" i="1"/>
  <c r="J273" i="1"/>
  <c r="J288" i="1"/>
  <c r="J272" i="1"/>
  <c r="H289" i="1"/>
  <c r="H273" i="1"/>
  <c r="N262" i="1"/>
  <c r="N152" i="1"/>
  <c r="N79" i="1"/>
  <c r="H164" i="1"/>
  <c r="H179" i="1"/>
  <c r="J165" i="1"/>
  <c r="J180" i="1"/>
  <c r="J164" i="1"/>
  <c r="J179" i="1"/>
  <c r="H165" i="1"/>
  <c r="H180" i="1"/>
  <c r="N155" i="1"/>
  <c r="H143" i="1"/>
  <c r="H122" i="1"/>
  <c r="J144" i="1"/>
  <c r="J123" i="1"/>
  <c r="J143" i="1"/>
  <c r="J122" i="1"/>
  <c r="H144" i="1"/>
  <c r="H123" i="1"/>
  <c r="H103" i="1"/>
  <c r="J104" i="1"/>
  <c r="J103" i="1"/>
  <c r="H104" i="1"/>
  <c r="H205" i="1"/>
  <c r="J205" i="1"/>
  <c r="G13" i="1"/>
  <c r="G331" i="1" s="1"/>
  <c r="H193" i="1"/>
  <c r="J231" i="1"/>
  <c r="J194" i="1"/>
  <c r="J206" i="1"/>
  <c r="J230" i="1"/>
  <c r="J193" i="1"/>
  <c r="G14" i="1"/>
  <c r="G332" i="1" s="1"/>
  <c r="H194" i="1"/>
  <c r="H206" i="1"/>
  <c r="H231" i="1"/>
  <c r="H54" i="1"/>
  <c r="H230" i="1"/>
  <c r="K13" i="1"/>
  <c r="K331" i="1" s="1"/>
  <c r="J54" i="1"/>
  <c r="H55" i="1"/>
  <c r="H336" i="1" s="1"/>
  <c r="J55" i="1"/>
  <c r="K14" i="1"/>
  <c r="K332" i="1" s="1"/>
  <c r="K196" i="1" l="1"/>
  <c r="K198" i="1" s="1"/>
  <c r="K199" i="1" s="1"/>
  <c r="J72" i="1"/>
  <c r="L197" i="1"/>
  <c r="L46" i="1"/>
  <c r="M41" i="1"/>
  <c r="N41" i="1"/>
  <c r="N343" i="1"/>
  <c r="N342" i="1" s="1"/>
  <c r="N59" i="1" s="1"/>
  <c r="N335" i="1"/>
  <c r="K82" i="1"/>
  <c r="K35" i="1"/>
  <c r="K37" i="1" s="1"/>
  <c r="F14" i="7"/>
  <c r="F19" i="7" s="1"/>
  <c r="F24" i="7" s="1"/>
  <c r="F25" i="7" s="1"/>
  <c r="L196" i="1"/>
  <c r="L198" i="1" s="1"/>
  <c r="L199" i="1" s="1"/>
  <c r="K72" i="1"/>
  <c r="E14" i="7"/>
  <c r="J220" i="1"/>
  <c r="J219" i="1"/>
  <c r="G307" i="1"/>
  <c r="G371" i="1"/>
  <c r="G363" i="1"/>
  <c r="G355" i="1"/>
  <c r="G347" i="1"/>
  <c r="G339" i="1"/>
  <c r="G308" i="1"/>
  <c r="G372" i="1"/>
  <c r="G364" i="1"/>
  <c r="G356" i="1"/>
  <c r="G348" i="1"/>
  <c r="G340" i="1"/>
  <c r="K307" i="1"/>
  <c r="K371" i="1"/>
  <c r="K363" i="1"/>
  <c r="K355" i="1"/>
  <c r="K347" i="1"/>
  <c r="K339" i="1"/>
  <c r="K308" i="1"/>
  <c r="K372" i="1"/>
  <c r="K364" i="1"/>
  <c r="K356" i="1"/>
  <c r="K348" i="1"/>
  <c r="K340" i="1"/>
  <c r="M170" i="1"/>
  <c r="M169" i="1"/>
  <c r="L278" i="1"/>
  <c r="L277" i="1"/>
  <c r="L279" i="1"/>
  <c r="G288" i="1"/>
  <c r="G272" i="1"/>
  <c r="G289" i="1"/>
  <c r="G273" i="1"/>
  <c r="K288" i="1"/>
  <c r="K272" i="1"/>
  <c r="K289" i="1"/>
  <c r="K273" i="1"/>
  <c r="G164" i="1"/>
  <c r="G179" i="1"/>
  <c r="G165" i="1"/>
  <c r="G180" i="1"/>
  <c r="K164" i="1"/>
  <c r="K179" i="1"/>
  <c r="K165" i="1"/>
  <c r="K180" i="1"/>
  <c r="G143" i="1"/>
  <c r="G122" i="1"/>
  <c r="G144" i="1"/>
  <c r="G123" i="1"/>
  <c r="K143" i="1"/>
  <c r="K122" i="1"/>
  <c r="K144" i="1"/>
  <c r="K123" i="1"/>
  <c r="G103" i="1"/>
  <c r="G104" i="1"/>
  <c r="K103" i="1"/>
  <c r="K104" i="1"/>
  <c r="G205" i="1"/>
  <c r="K205" i="1"/>
  <c r="G193" i="1"/>
  <c r="G54" i="1"/>
  <c r="G230" i="1"/>
  <c r="F13" i="1"/>
  <c r="F331" i="1" s="1"/>
  <c r="G231" i="1"/>
  <c r="G206" i="1"/>
  <c r="G55" i="1"/>
  <c r="G336" i="1" s="1"/>
  <c r="G194" i="1"/>
  <c r="F14" i="1"/>
  <c r="F332" i="1" s="1"/>
  <c r="K193" i="1"/>
  <c r="K231" i="1"/>
  <c r="K206" i="1"/>
  <c r="K194" i="1"/>
  <c r="K230" i="1"/>
  <c r="L13" i="1"/>
  <c r="L331" i="1" s="1"/>
  <c r="K54" i="1"/>
  <c r="K55" i="1"/>
  <c r="L14" i="1"/>
  <c r="L332" i="1" s="1"/>
  <c r="C24" i="3"/>
  <c r="N197" i="1" l="1"/>
  <c r="N46" i="1"/>
  <c r="M173" i="1"/>
  <c r="M197" i="1"/>
  <c r="M46" i="1"/>
  <c r="K220" i="1"/>
  <c r="K219" i="1"/>
  <c r="K39" i="1" s="1"/>
  <c r="K38" i="1" s="1"/>
  <c r="K210" i="1" s="1"/>
  <c r="E15" i="7"/>
  <c r="F15" i="7"/>
  <c r="E19" i="7"/>
  <c r="E24" i="7" s="1"/>
  <c r="E25" i="7" s="1"/>
  <c r="E17" i="8"/>
  <c r="F17" i="8"/>
  <c r="J221" i="1"/>
  <c r="J39" i="1"/>
  <c r="J38" i="1" s="1"/>
  <c r="J210" i="1" s="1"/>
  <c r="F307" i="1"/>
  <c r="F371" i="1"/>
  <c r="F363" i="1"/>
  <c r="F355" i="1"/>
  <c r="F347" i="1"/>
  <c r="F339" i="1"/>
  <c r="F308" i="1"/>
  <c r="F372" i="1"/>
  <c r="F364" i="1"/>
  <c r="F356" i="1"/>
  <c r="F348" i="1"/>
  <c r="F340" i="1"/>
  <c r="L307" i="1"/>
  <c r="L371" i="1"/>
  <c r="L363" i="1"/>
  <c r="L355" i="1"/>
  <c r="L347" i="1"/>
  <c r="L339" i="1"/>
  <c r="L308" i="1"/>
  <c r="L372" i="1"/>
  <c r="L364" i="1"/>
  <c r="L356" i="1"/>
  <c r="L348" i="1"/>
  <c r="L340" i="1"/>
  <c r="L72" i="1"/>
  <c r="M196" i="1"/>
  <c r="N167" i="1"/>
  <c r="M64" i="1"/>
  <c r="L29" i="1"/>
  <c r="L32" i="1" s="1"/>
  <c r="L33" i="1" s="1"/>
  <c r="L281" i="1"/>
  <c r="F288" i="1"/>
  <c r="F272" i="1"/>
  <c r="F289" i="1"/>
  <c r="F273" i="1"/>
  <c r="L288" i="1"/>
  <c r="L272" i="1"/>
  <c r="L289" i="1"/>
  <c r="L273" i="1"/>
  <c r="F164" i="1"/>
  <c r="F179" i="1"/>
  <c r="F165" i="1"/>
  <c r="F180" i="1"/>
  <c r="L164" i="1"/>
  <c r="L179" i="1"/>
  <c r="L165" i="1"/>
  <c r="L180" i="1"/>
  <c r="F143" i="1"/>
  <c r="F122" i="1"/>
  <c r="F144" i="1"/>
  <c r="F123" i="1"/>
  <c r="L143" i="1"/>
  <c r="L122" i="1"/>
  <c r="L144" i="1"/>
  <c r="L123" i="1"/>
  <c r="F103" i="1"/>
  <c r="F104" i="1"/>
  <c r="L103" i="1"/>
  <c r="L104" i="1"/>
  <c r="F205" i="1"/>
  <c r="L205" i="1"/>
  <c r="F193" i="1"/>
  <c r="F230" i="1"/>
  <c r="F54" i="1"/>
  <c r="E13" i="1"/>
  <c r="E331" i="1" s="1"/>
  <c r="F194" i="1"/>
  <c r="F206" i="1"/>
  <c r="F55" i="1"/>
  <c r="F336" i="1" s="1"/>
  <c r="F231" i="1"/>
  <c r="E14" i="1"/>
  <c r="E332" i="1" s="1"/>
  <c r="L193" i="1"/>
  <c r="L231" i="1"/>
  <c r="L206" i="1"/>
  <c r="L194" i="1"/>
  <c r="L230" i="1"/>
  <c r="M13" i="1"/>
  <c r="M331" i="1" s="1"/>
  <c r="L54" i="1"/>
  <c r="M14" i="1"/>
  <c r="M332" i="1" s="1"/>
  <c r="L55" i="1"/>
  <c r="K211" i="1" l="1"/>
  <c r="K212" i="1"/>
  <c r="K218" i="1"/>
  <c r="K221" i="1" s="1"/>
  <c r="J95" i="1"/>
  <c r="J211" i="1"/>
  <c r="J212" i="1"/>
  <c r="L35" i="1"/>
  <c r="L37" i="1" s="1"/>
  <c r="L82" i="1"/>
  <c r="E307" i="1"/>
  <c r="E371" i="1"/>
  <c r="E363" i="1"/>
  <c r="E355" i="1"/>
  <c r="E347" i="1"/>
  <c r="E339" i="1"/>
  <c r="E308" i="1"/>
  <c r="E372" i="1"/>
  <c r="E364" i="1"/>
  <c r="E356" i="1"/>
  <c r="E348" i="1"/>
  <c r="E340" i="1"/>
  <c r="M307" i="1"/>
  <c r="M371" i="1"/>
  <c r="M363" i="1"/>
  <c r="M355" i="1"/>
  <c r="M347" i="1"/>
  <c r="M339" i="1"/>
  <c r="M308" i="1"/>
  <c r="M372" i="1"/>
  <c r="M364" i="1"/>
  <c r="M356" i="1"/>
  <c r="M348" i="1"/>
  <c r="M340" i="1"/>
  <c r="M198" i="1"/>
  <c r="M199" i="1" s="1"/>
  <c r="N170" i="1"/>
  <c r="N169" i="1"/>
  <c r="L263" i="1"/>
  <c r="L264" i="1" s="1"/>
  <c r="L61" i="1" s="1"/>
  <c r="M275" i="1"/>
  <c r="E288" i="1"/>
  <c r="E272" i="1"/>
  <c r="E289" i="1"/>
  <c r="E273" i="1"/>
  <c r="M288" i="1"/>
  <c r="M272" i="1"/>
  <c r="M289" i="1"/>
  <c r="M273" i="1"/>
  <c r="E164" i="1"/>
  <c r="E179" i="1"/>
  <c r="E165" i="1"/>
  <c r="E180" i="1"/>
  <c r="M164" i="1"/>
  <c r="M179" i="1"/>
  <c r="M165" i="1"/>
  <c r="M180" i="1"/>
  <c r="E143" i="1"/>
  <c r="E122" i="1"/>
  <c r="E144" i="1"/>
  <c r="E123" i="1"/>
  <c r="M143" i="1"/>
  <c r="M122" i="1"/>
  <c r="M144" i="1"/>
  <c r="M123" i="1"/>
  <c r="E103" i="1"/>
  <c r="E104" i="1"/>
  <c r="M103" i="1"/>
  <c r="M104" i="1"/>
  <c r="E205" i="1"/>
  <c r="M205" i="1"/>
  <c r="E230" i="1"/>
  <c r="E193" i="1"/>
  <c r="E54" i="1"/>
  <c r="D13" i="1"/>
  <c r="D331" i="1" s="1"/>
  <c r="E231" i="1"/>
  <c r="E55" i="1"/>
  <c r="E336" i="1" s="1"/>
  <c r="E194" i="1"/>
  <c r="E206" i="1"/>
  <c r="D14" i="1"/>
  <c r="D332" i="1" s="1"/>
  <c r="M193" i="1"/>
  <c r="M231" i="1"/>
  <c r="M206" i="1"/>
  <c r="M194" i="1"/>
  <c r="M230" i="1"/>
  <c r="N13" i="1"/>
  <c r="N331" i="1" s="1"/>
  <c r="M54" i="1"/>
  <c r="N14" i="1"/>
  <c r="N332" i="1" s="1"/>
  <c r="M55" i="1"/>
  <c r="G17" i="8" l="1"/>
  <c r="G14" i="7"/>
  <c r="K95" i="1"/>
  <c r="L218" i="1"/>
  <c r="L220" i="1"/>
  <c r="L219" i="1"/>
  <c r="L39" i="1" s="1"/>
  <c r="L38" i="1" s="1"/>
  <c r="L210" i="1" s="1"/>
  <c r="D307" i="1"/>
  <c r="D371" i="1"/>
  <c r="D363" i="1"/>
  <c r="D355" i="1"/>
  <c r="D347" i="1"/>
  <c r="D339" i="1"/>
  <c r="D308" i="1"/>
  <c r="D372" i="1"/>
  <c r="D364" i="1"/>
  <c r="D356" i="1"/>
  <c r="D348" i="1"/>
  <c r="D340" i="1"/>
  <c r="N307" i="1"/>
  <c r="N371" i="1"/>
  <c r="N363" i="1"/>
  <c r="N355" i="1"/>
  <c r="N347" i="1"/>
  <c r="N339" i="1"/>
  <c r="N308" i="1"/>
  <c r="N372" i="1"/>
  <c r="N364" i="1"/>
  <c r="N356" i="1"/>
  <c r="N348" i="1"/>
  <c r="N340" i="1"/>
  <c r="M72" i="1"/>
  <c r="N196" i="1"/>
  <c r="N198" i="1" s="1"/>
  <c r="N199" i="1" s="1"/>
  <c r="N72" i="1" s="1"/>
  <c r="N173" i="1"/>
  <c r="N64" i="1" s="1"/>
  <c r="M278" i="1"/>
  <c r="M279" i="1"/>
  <c r="M277" i="1"/>
  <c r="M29" i="1" s="1"/>
  <c r="M32" i="1" s="1"/>
  <c r="M33" i="1" s="1"/>
  <c r="D288" i="1"/>
  <c r="D272" i="1"/>
  <c r="D289" i="1"/>
  <c r="D273" i="1"/>
  <c r="N288" i="1"/>
  <c r="N272" i="1"/>
  <c r="N289" i="1"/>
  <c r="N273" i="1"/>
  <c r="D164" i="1"/>
  <c r="D179" i="1"/>
  <c r="D165" i="1"/>
  <c r="D180" i="1"/>
  <c r="N164" i="1"/>
  <c r="N179" i="1"/>
  <c r="N165" i="1"/>
  <c r="N180" i="1"/>
  <c r="D143" i="1"/>
  <c r="D122" i="1"/>
  <c r="D144" i="1"/>
  <c r="D123" i="1"/>
  <c r="N143" i="1"/>
  <c r="N122" i="1"/>
  <c r="N144" i="1"/>
  <c r="N123" i="1"/>
  <c r="D103" i="1"/>
  <c r="D104" i="1"/>
  <c r="N103" i="1"/>
  <c r="N104" i="1"/>
  <c r="D205" i="1"/>
  <c r="N205" i="1"/>
  <c r="D193" i="1"/>
  <c r="D230" i="1"/>
  <c r="D54" i="1"/>
  <c r="D231" i="1"/>
  <c r="D55" i="1"/>
  <c r="D336" i="1" s="1"/>
  <c r="J336" i="1" s="1"/>
  <c r="D206" i="1"/>
  <c r="D194" i="1"/>
  <c r="N230" i="1"/>
  <c r="N193" i="1"/>
  <c r="N231" i="1"/>
  <c r="N206" i="1"/>
  <c r="N194" i="1"/>
  <c r="N54" i="1"/>
  <c r="N55" i="1"/>
  <c r="K336" i="1" l="1"/>
  <c r="J334" i="1"/>
  <c r="J58" i="1" s="1"/>
  <c r="G15" i="7"/>
  <c r="G19" i="7"/>
  <c r="G24" i="7" s="1"/>
  <c r="G25" i="7" s="1"/>
  <c r="L221" i="1"/>
  <c r="M35" i="1"/>
  <c r="M37" i="1" s="1"/>
  <c r="M82" i="1"/>
  <c r="L212" i="1"/>
  <c r="L211" i="1"/>
  <c r="M281" i="1"/>
  <c r="C14" i="3"/>
  <c r="F14" i="3"/>
  <c r="L336" i="1" l="1"/>
  <c r="K334" i="1"/>
  <c r="K58" i="1" s="1"/>
  <c r="H17" i="8"/>
  <c r="H14" i="7"/>
  <c r="M218" i="1"/>
  <c r="L95" i="1"/>
  <c r="M219" i="1"/>
  <c r="M39" i="1" s="1"/>
  <c r="M38" i="1" s="1"/>
  <c r="M210" i="1" s="1"/>
  <c r="M220" i="1"/>
  <c r="N275" i="1"/>
  <c r="M263" i="1"/>
  <c r="M264" i="1" s="1"/>
  <c r="M61" i="1" s="1"/>
  <c r="D14" i="3"/>
  <c r="M336" i="1" l="1"/>
  <c r="L334" i="1"/>
  <c r="L58" i="1" s="1"/>
  <c r="H15" i="7"/>
  <c r="H19" i="7"/>
  <c r="H24" i="7" s="1"/>
  <c r="H25" i="7" s="1"/>
  <c r="M221" i="1"/>
  <c r="M211" i="1"/>
  <c r="M212" i="1"/>
  <c r="N279" i="1"/>
  <c r="N277" i="1"/>
  <c r="N29" i="1" s="1"/>
  <c r="N32" i="1" s="1"/>
  <c r="N33" i="1" s="1"/>
  <c r="N278" i="1"/>
  <c r="N336" i="1" l="1"/>
  <c r="N334" i="1" s="1"/>
  <c r="N58" i="1" s="1"/>
  <c r="M334" i="1"/>
  <c r="M58" i="1" s="1"/>
  <c r="N218" i="1"/>
  <c r="M95" i="1"/>
  <c r="N281" i="1"/>
  <c r="N263" i="1" s="1"/>
  <c r="N264" i="1" s="1"/>
  <c r="N61" i="1" s="1"/>
  <c r="N35" i="1"/>
  <c r="N37" i="1" s="1"/>
  <c r="N82" i="1"/>
  <c r="I14" i="7" l="1"/>
  <c r="I17" i="8"/>
  <c r="N220" i="1"/>
  <c r="N219" i="1"/>
  <c r="I15" i="7" l="1"/>
  <c r="I19" i="7"/>
  <c r="I24" i="7" s="1"/>
  <c r="C29" i="7" s="1"/>
  <c r="N221" i="1"/>
  <c r="N95" i="1" s="1"/>
  <c r="N39" i="1"/>
  <c r="N38" i="1" s="1"/>
  <c r="N210" i="1" s="1"/>
  <c r="I25" i="7" l="1"/>
  <c r="C32" i="7" s="1"/>
  <c r="C30" i="7"/>
  <c r="C31" i="7" s="1"/>
  <c r="N212" i="1"/>
  <c r="N211" i="1"/>
  <c r="C33" i="7" l="1"/>
  <c r="C37" i="7" s="1"/>
  <c r="C39" i="7" s="1"/>
  <c r="H7" i="7" s="1"/>
  <c r="H8" i="7" s="1"/>
  <c r="I8" i="7" s="1" a="1"/>
  <c r="I8" i="7" s="1"/>
  <c r="D38" i="1"/>
  <c r="D210" i="1" s="1"/>
  <c r="D219" i="1"/>
  <c r="D226" i="1" s="1"/>
  <c r="D223" i="1" l="1"/>
  <c r="D225" i="1"/>
  <c r="J225" i="1" s="1"/>
  <c r="J213" i="1" l="1"/>
  <c r="J215" i="1" s="1"/>
  <c r="K225" i="1"/>
  <c r="J93" i="1" l="1"/>
  <c r="J94" i="1" s="1"/>
  <c r="J96" i="1" s="1"/>
  <c r="K209" i="1"/>
  <c r="K213" i="1"/>
  <c r="L225" i="1"/>
  <c r="E33" i="8" l="1"/>
  <c r="J314" i="1"/>
  <c r="J316" i="1" s="1"/>
  <c r="J98" i="1"/>
  <c r="L213" i="1"/>
  <c r="M225" i="1"/>
  <c r="K215" i="1"/>
  <c r="M213" i="1" l="1"/>
  <c r="N225" i="1"/>
  <c r="N213" i="1" s="1"/>
  <c r="K93" i="1"/>
  <c r="K94" i="1" s="1"/>
  <c r="K96" i="1" s="1"/>
  <c r="L209" i="1"/>
  <c r="L215" i="1" s="1"/>
  <c r="F33" i="8" l="1"/>
  <c r="K314" i="1"/>
  <c r="K316" i="1" s="1"/>
  <c r="M209" i="1"/>
  <c r="M215" i="1" s="1"/>
  <c r="L93" i="1"/>
  <c r="L94" i="1" s="1"/>
  <c r="L96" i="1" s="1"/>
  <c r="G33" i="8" l="1"/>
  <c r="N209" i="1"/>
  <c r="N215" i="1" s="1"/>
  <c r="N93" i="1" s="1"/>
  <c r="N94" i="1" s="1"/>
  <c r="N96" i="1" s="1"/>
  <c r="M93" i="1"/>
  <c r="M94" i="1" s="1"/>
  <c r="M96" i="1" s="1"/>
  <c r="L314" i="1"/>
  <c r="L316" i="1" s="1"/>
  <c r="C37" i="8" l="1"/>
  <c r="H33" i="8"/>
  <c r="N314" i="1"/>
  <c r="N316" i="1" s="1"/>
  <c r="M314" i="1"/>
  <c r="M316" i="1" s="1"/>
  <c r="C38" i="8" l="1"/>
  <c r="C39" i="8" s="1"/>
  <c r="I33" i="8"/>
  <c r="C40" i="8" s="1"/>
  <c r="C41" i="8" l="1"/>
  <c r="C45" i="8" s="1"/>
  <c r="C47" i="8" s="1"/>
  <c r="H7" i="8" s="1"/>
  <c r="H8" i="8" s="1"/>
  <c r="I8" i="8" s="1" a="1"/>
  <c r="I8" i="8" s="1"/>
  <c r="J60" i="1" l="1"/>
  <c r="J68" i="1"/>
  <c r="J187" i="1" l="1"/>
  <c r="K182" i="1" l="1"/>
  <c r="J65" i="1"/>
  <c r="J73" i="1" s="1"/>
  <c r="J310" i="1" s="1"/>
  <c r="J312" i="1" s="1"/>
  <c r="J319" i="1" s="1"/>
  <c r="J320" i="1" s="1"/>
  <c r="J324" i="1" s="1"/>
  <c r="J326" i="1" s="1"/>
  <c r="J328" i="1" l="1"/>
  <c r="J359" i="1"/>
  <c r="K358" i="1" s="1"/>
  <c r="K68" i="1" s="1"/>
  <c r="J100" i="1"/>
  <c r="J351" i="1"/>
  <c r="K350" i="1" s="1"/>
  <c r="K60" i="1" s="1"/>
  <c r="J367" i="1"/>
  <c r="K366" i="1" s="1"/>
  <c r="K83" i="1" s="1"/>
  <c r="K87" i="1" s="1"/>
  <c r="K98" i="1" s="1"/>
  <c r="K185" i="1"/>
  <c r="K184" i="1"/>
  <c r="K187" i="1" l="1"/>
  <c r="L182" i="1" s="1"/>
  <c r="K65" i="1"/>
  <c r="K73" i="1" s="1"/>
  <c r="K310" i="1" s="1"/>
  <c r="L184" i="1" l="1"/>
  <c r="L185" i="1"/>
  <c r="K312" i="1"/>
  <c r="K319" i="1" s="1"/>
  <c r="K320" i="1" s="1"/>
  <c r="K324" i="1" s="1"/>
  <c r="K100" i="1"/>
  <c r="K359" i="1"/>
  <c r="L358" i="1" s="1"/>
  <c r="L68" i="1" s="1"/>
  <c r="K367" i="1"/>
  <c r="L366" i="1" s="1"/>
  <c r="L83" i="1" s="1"/>
  <c r="L87" i="1" s="1"/>
  <c r="L98" i="1" s="1"/>
  <c r="K351" i="1"/>
  <c r="L350" i="1" s="1"/>
  <c r="L60" i="1" s="1"/>
  <c r="L187" i="1" l="1"/>
  <c r="K326" i="1"/>
  <c r="K328" i="1"/>
  <c r="L65" i="1" l="1"/>
  <c r="L73" i="1" s="1"/>
  <c r="L367" i="1" s="1"/>
  <c r="M366" i="1" s="1"/>
  <c r="M83" i="1" s="1"/>
  <c r="M87" i="1" s="1"/>
  <c r="M98" i="1" s="1"/>
  <c r="M182" i="1"/>
  <c r="M185" i="1" s="1"/>
  <c r="M184" i="1" l="1"/>
  <c r="L310" i="1"/>
  <c r="L312" i="1" s="1"/>
  <c r="L319" i="1" s="1"/>
  <c r="L320" i="1" s="1"/>
  <c r="L324" i="1" s="1"/>
  <c r="L328" i="1" s="1"/>
  <c r="L100" i="1"/>
  <c r="L351" i="1"/>
  <c r="M350" i="1" s="1"/>
  <c r="M60" i="1" s="1"/>
  <c r="L359" i="1"/>
  <c r="M358" i="1" s="1"/>
  <c r="M68" i="1" s="1"/>
  <c r="L326" i="1" l="1"/>
  <c r="M187" i="1"/>
  <c r="M65" i="1" s="1"/>
  <c r="M73" i="1" s="1"/>
  <c r="M310" i="1" s="1"/>
  <c r="N182" i="1" l="1"/>
  <c r="M367" i="1"/>
  <c r="N366" i="1" s="1"/>
  <c r="N83" i="1" s="1"/>
  <c r="N87" i="1" s="1"/>
  <c r="N98" i="1" s="1"/>
  <c r="M312" i="1"/>
  <c r="M319" i="1" s="1"/>
  <c r="M320" i="1" s="1"/>
  <c r="M324" i="1" s="1"/>
  <c r="M351" i="1"/>
  <c r="N350" i="1" s="1"/>
  <c r="N60" i="1" s="1"/>
  <c r="M359" i="1"/>
  <c r="N358" i="1" s="1"/>
  <c r="N68" i="1" s="1"/>
  <c r="N185" i="1"/>
  <c r="N184" i="1"/>
  <c r="M100" i="1"/>
  <c r="N187" i="1" l="1"/>
  <c r="N65" i="1" s="1"/>
  <c r="N73" i="1" s="1"/>
  <c r="M328" i="1"/>
  <c r="M326" i="1"/>
  <c r="N310" i="1" l="1"/>
  <c r="N312" i="1" s="1"/>
  <c r="N319" i="1" s="1"/>
  <c r="N320" i="1" s="1"/>
  <c r="N324" i="1" s="1"/>
  <c r="N328" i="1" s="1"/>
  <c r="N359" i="1"/>
  <c r="N367" i="1"/>
  <c r="N351" i="1"/>
  <c r="N100" i="1"/>
  <c r="N3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Ahmed Wael</author>
  </authors>
  <commentList>
    <comment ref="I28" authorId="0" shapeId="0" xr:uid="{00000000-0006-0000-0200-000004000000}">
      <text>
        <r>
          <rPr>
            <sz val="11"/>
            <color theme="1"/>
            <rFont val="Calibri"/>
            <family val="2"/>
            <charset val="1"/>
          </rPr>
          <t>Ahmed Wael:
Unlevered Beta</t>
        </r>
      </text>
    </comment>
    <comment ref="C36" authorId="0" shapeId="0" xr:uid="{00000000-0006-0000-0200-000005000000}">
      <text>
        <r>
          <rPr>
            <sz val="11"/>
            <color theme="1"/>
            <rFont val="Calibri"/>
            <family val="2"/>
            <charset val="1"/>
          </rPr>
          <t>Ahmed Wael:
Re-levered Beta</t>
        </r>
      </text>
    </comment>
  </commentList>
</comments>
</file>

<file path=xl/sharedStrings.xml><?xml version="1.0" encoding="utf-8"?>
<sst xmlns="http://schemas.openxmlformats.org/spreadsheetml/2006/main" count="537" uniqueCount="384">
  <si>
    <t>Most recent fiscal year end</t>
  </si>
  <si>
    <t>End of first fiscal year</t>
  </si>
  <si>
    <t>Share price (Public Co)</t>
  </si>
  <si>
    <t>Most recent quarter end date</t>
  </si>
  <si>
    <t>Share price date</t>
  </si>
  <si>
    <t xml:space="preserve">Valuation date </t>
  </si>
  <si>
    <t>Implied Share Price</t>
  </si>
  <si>
    <t>Portion of First Year Cash Flows</t>
  </si>
  <si>
    <t>Upside / (Downside)</t>
  </si>
  <si>
    <t>Midyear adjustment?</t>
  </si>
  <si>
    <t>LTM</t>
  </si>
  <si>
    <t>Actual</t>
  </si>
  <si>
    <t>Forecasts</t>
  </si>
  <si>
    <t>Fiscal year ended</t>
  </si>
  <si>
    <t>% growth</t>
  </si>
  <si>
    <t>Tax rate</t>
  </si>
  <si>
    <t>Val date</t>
  </si>
  <si>
    <t xml:space="preserve">Yr 1 - Stub </t>
  </si>
  <si>
    <t>Year 2</t>
  </si>
  <si>
    <t>Year 3</t>
  </si>
  <si>
    <t>Year 4</t>
  </si>
  <si>
    <t>Year 5</t>
  </si>
  <si>
    <t>Date for discounting cash flows</t>
  </si>
  <si>
    <t>Terminal value - growth in perpetuity approach</t>
  </si>
  <si>
    <t>Long term growth rate</t>
  </si>
  <si>
    <t>Present value of terminal value</t>
  </si>
  <si>
    <t>Shares outstanding</t>
  </si>
  <si>
    <t>Source doc</t>
  </si>
  <si>
    <t>Consolidated FS 2025</t>
  </si>
  <si>
    <t>12/31/2025</t>
  </si>
  <si>
    <t>Date</t>
  </si>
  <si>
    <t>Shares</t>
  </si>
  <si>
    <t>Basic shares</t>
  </si>
  <si>
    <t>Restricted stock / RSUs</t>
  </si>
  <si>
    <t>Convertible debt</t>
  </si>
  <si>
    <t>Options / warrants</t>
  </si>
  <si>
    <t>Convertible preferred stock</t>
  </si>
  <si>
    <t>Net diluted shares outstanding</t>
  </si>
  <si>
    <t>Valuation</t>
  </si>
  <si>
    <t xml:space="preserve">Equity value </t>
  </si>
  <si>
    <t>Equity value per share</t>
  </si>
  <si>
    <t>Low</t>
  </si>
  <si>
    <t>High</t>
  </si>
  <si>
    <t>All amounts are shown in EGP, except per-share data, ratios, and shares outstanding</t>
  </si>
  <si>
    <t>Company Name</t>
  </si>
  <si>
    <t>Ticker</t>
  </si>
  <si>
    <t>Latest Closing Share Price</t>
  </si>
  <si>
    <t>Latest Closing Share Price Date</t>
  </si>
  <si>
    <t>Last Historical Year</t>
  </si>
  <si>
    <t>INCOME STATEMENT</t>
  </si>
  <si>
    <t xml:space="preserve">Fiscal year  </t>
  </si>
  <si>
    <t>Fiscal year end date</t>
  </si>
  <si>
    <t>Growth Rates &amp; Margins</t>
  </si>
  <si>
    <t>BALANCE SHEET</t>
  </si>
  <si>
    <t>Total Assets</t>
  </si>
  <si>
    <t>Total Liabilities</t>
  </si>
  <si>
    <t>Equity</t>
  </si>
  <si>
    <t>Total Liabilites &amp; Equity</t>
  </si>
  <si>
    <t>Balance Check</t>
  </si>
  <si>
    <t>Net income</t>
  </si>
  <si>
    <t>PROPERTY, PLANT &amp; EQUIPMENT</t>
  </si>
  <si>
    <t>Beginning of period</t>
  </si>
  <si>
    <t>Plus: Capital expenditures</t>
  </si>
  <si>
    <t>Less: Depreciation</t>
  </si>
  <si>
    <t>End of period</t>
  </si>
  <si>
    <t>EQUITY &amp; NCI ROLL-FORWARD</t>
  </si>
  <si>
    <t>Retained Earnings</t>
  </si>
  <si>
    <t>Less: Dividends &amp; distributions</t>
  </si>
  <si>
    <t>End of period (= BS)</t>
  </si>
  <si>
    <t xml:space="preserve">Risk free rate </t>
  </si>
  <si>
    <t xml:space="preserve">Beta </t>
  </si>
  <si>
    <t>Market risk premium</t>
  </si>
  <si>
    <t>Beta</t>
  </si>
  <si>
    <t>Market</t>
  </si>
  <si>
    <t>Risk</t>
  </si>
  <si>
    <t>Premium</t>
  </si>
  <si>
    <t>Select Beta for model</t>
  </si>
  <si>
    <t>Observed</t>
  </si>
  <si>
    <t>Industry beta</t>
  </si>
  <si>
    <t>Observed b</t>
  </si>
  <si>
    <t>Share price</t>
  </si>
  <si>
    <t>Dil. shares</t>
  </si>
  <si>
    <t>Market cap</t>
  </si>
  <si>
    <t>Net Debt</t>
  </si>
  <si>
    <t>Delev. b</t>
  </si>
  <si>
    <t>Industry average delevered beta</t>
  </si>
  <si>
    <t>Intangible assets</t>
  </si>
  <si>
    <t>Reserves</t>
  </si>
  <si>
    <t>Income tax expense</t>
  </si>
  <si>
    <t>Plus: Net income (Parent Share)</t>
  </si>
  <si>
    <t>Dividend payout ratio % of Net Income of Parent</t>
  </si>
  <si>
    <t>Non-controlling Interests</t>
  </si>
  <si>
    <t>Plus: NCI share of net income</t>
  </si>
  <si>
    <t>Less: Dividends Paid to NCI</t>
  </si>
  <si>
    <t>NCI % of total net income</t>
  </si>
  <si>
    <t>NCI share % of net income</t>
  </si>
  <si>
    <t>Intangible assets amortization</t>
  </si>
  <si>
    <t>Comparable Companies Analysis (Trading Comps)</t>
  </si>
  <si>
    <t>Refresh date:</t>
  </si>
  <si>
    <t>GENERAL INFORMATION</t>
  </si>
  <si>
    <t>Company</t>
  </si>
  <si>
    <t>Exchange / Currency</t>
  </si>
  <si>
    <t>Fiscal year end</t>
  </si>
  <si>
    <t>Last closing price</t>
  </si>
  <si>
    <t>Price as of</t>
  </si>
  <si>
    <t>FULLY DILUTED SHARES</t>
  </si>
  <si>
    <t>Basic shares outstanding</t>
  </si>
  <si>
    <t>Options / RSUs / other dilution</t>
  </si>
  <si>
    <t>Fully diluted shares</t>
  </si>
  <si>
    <t>BALANCE SHEET DATA (latest reported)</t>
  </si>
  <si>
    <t>MARKET VALUATION</t>
  </si>
  <si>
    <t>Market capitalization</t>
  </si>
  <si>
    <t>TRADING MULTIPLES</t>
  </si>
  <si>
    <t>P/E</t>
  </si>
  <si>
    <t>Mean</t>
  </si>
  <si>
    <t>Median</t>
  </si>
  <si>
    <t>IMPLIED VALUATION (from peer MEDIAN multiples)</t>
  </si>
  <si>
    <t>Implied equity value</t>
  </si>
  <si>
    <t>Via P/E:</t>
  </si>
  <si>
    <t>Peer median P/E</t>
  </si>
  <si>
    <t>x LTM net income</t>
  </si>
  <si>
    <t>Via (closest Egyptian peer):</t>
  </si>
  <si>
    <t>PEER STATISTICS</t>
  </si>
  <si>
    <t>LTM FINANCIALS</t>
  </si>
  <si>
    <t>Interest and similar income</t>
  </si>
  <si>
    <t>Interest and similar expense</t>
  </si>
  <si>
    <t>Net Interest Income (NII)</t>
  </si>
  <si>
    <t>Fee and commission income</t>
  </si>
  <si>
    <t>Fee and commission expense</t>
  </si>
  <si>
    <t>Net Fee &amp; Commission Income</t>
  </si>
  <si>
    <t>Dividend income</t>
  </si>
  <si>
    <t>Net trading income</t>
  </si>
  <si>
    <t>Profits (Losses) on financial investments</t>
  </si>
  <si>
    <t>Administrative expenses</t>
  </si>
  <si>
    <t>Other operating income (expenses)</t>
  </si>
  <si>
    <t>Goodwill amortization</t>
  </si>
  <si>
    <t>Impairment release (charges) for credit losses</t>
  </si>
  <si>
    <t>Profits from subsidiaries acquisition</t>
  </si>
  <si>
    <t>Bank's share in profits (losses) of associates</t>
  </si>
  <si>
    <t>Profit Before Income Tax</t>
  </si>
  <si>
    <t>Deferred tax assets (Liabilities)</t>
  </si>
  <si>
    <t>Net Profit from Continued Operations</t>
  </si>
  <si>
    <t>Discontinued operations</t>
  </si>
  <si>
    <t>Net Profit for the Year</t>
  </si>
  <si>
    <t>Non-Controlling Interest</t>
  </si>
  <si>
    <t>Bank Shareholders</t>
  </si>
  <si>
    <t>Liabilities</t>
  </si>
  <si>
    <t>Assets</t>
  </si>
  <si>
    <t>Liabilities and Equity</t>
  </si>
  <si>
    <t>Cash and balances at central bank</t>
  </si>
  <si>
    <t>Due from banks</t>
  </si>
  <si>
    <t>Loans and advances to banks, net</t>
  </si>
  <si>
    <t>Loans and advances to customers, net</t>
  </si>
  <si>
    <t>Derivative financial instruments</t>
  </si>
  <si>
    <t>Financial Assets at FVTPL</t>
  </si>
  <si>
    <t>Financial Assets at FVOCI</t>
  </si>
  <si>
    <t>Financial Assets at Amortized Cost</t>
  </si>
  <si>
    <t>Investments in associates</t>
  </si>
  <si>
    <t>Non-current assets held for sale</t>
  </si>
  <si>
    <t>Other assets</t>
  </si>
  <si>
    <t>Goodwill</t>
  </si>
  <si>
    <t>Deferred tax assets</t>
  </si>
  <si>
    <t>Property and equipment</t>
  </si>
  <si>
    <t>Due to banks</t>
  </si>
  <si>
    <t>Due to customers (Deposits)</t>
  </si>
  <si>
    <t>Non-current liabilities held for sale</t>
  </si>
  <si>
    <t>Current income tax liabilities</t>
  </si>
  <si>
    <t>Other liabilities</t>
  </si>
  <si>
    <t>Issued debt instruments</t>
  </si>
  <si>
    <t>Other loans</t>
  </si>
  <si>
    <t>Other provisions</t>
  </si>
  <si>
    <t>Issued and paid up capital</t>
  </si>
  <si>
    <t>Reserve for ESOP</t>
  </si>
  <si>
    <t>Retained earnings (incl. net profit)</t>
  </si>
  <si>
    <t>Total Shareholders' Equity</t>
  </si>
  <si>
    <t>Non-Controlling Interest (NCI)</t>
  </si>
  <si>
    <t>Total Equity &amp; NCI</t>
  </si>
  <si>
    <t>Net Interest Margin (NIM %)</t>
  </si>
  <si>
    <t>Other loans %</t>
  </si>
  <si>
    <t>Overdrafts</t>
  </si>
  <si>
    <t>Credit cards</t>
  </si>
  <si>
    <t>Personal loans</t>
  </si>
  <si>
    <t>Real estate (Mortgages)</t>
  </si>
  <si>
    <t>Total Individual Loans</t>
  </si>
  <si>
    <t>Direct loans</t>
  </si>
  <si>
    <t>Syndicated loans</t>
  </si>
  <si>
    <t>Total Gross Customer Loans</t>
  </si>
  <si>
    <t>Less: Unamortized bills discount</t>
  </si>
  <si>
    <t>Less: Unamortized syndicated discount</t>
  </si>
  <si>
    <t>Less: Suspended credit account</t>
  </si>
  <si>
    <t>Less: Total ECL Impairment Allowance</t>
  </si>
  <si>
    <t>Deductions</t>
  </si>
  <si>
    <t>Corporate &amp; Business Banking</t>
  </si>
  <si>
    <t>Individual (Retail) Loans</t>
  </si>
  <si>
    <t>Net Customer Loans (To Balance Sheet)</t>
  </si>
  <si>
    <t>Total Corporate Loans</t>
  </si>
  <si>
    <t>Loan Schedule</t>
  </si>
  <si>
    <t>Overdrafts %</t>
  </si>
  <si>
    <t>Credit cards %</t>
  </si>
  <si>
    <t>Personal loans %</t>
  </si>
  <si>
    <t>Real estate (Mortgages) %</t>
  </si>
  <si>
    <t>Unamortized bills discount %</t>
  </si>
  <si>
    <t>Unamortized syndicated discount %</t>
  </si>
  <si>
    <t>Suspended credit account %</t>
  </si>
  <si>
    <t>Total ECL Impairment Allowance %</t>
  </si>
  <si>
    <t>Direct loans %</t>
  </si>
  <si>
    <t>Syndicated loans %</t>
  </si>
  <si>
    <t>P/B</t>
  </si>
  <si>
    <t>P/TBV</t>
  </si>
  <si>
    <t>ROE</t>
  </si>
  <si>
    <t>P/E (LTM)</t>
  </si>
  <si>
    <t>P/B (LTM)</t>
  </si>
  <si>
    <t>P/TBV (LTM)</t>
  </si>
  <si>
    <t>ROE (LTM)</t>
  </si>
  <si>
    <t>Via P/B:</t>
  </si>
  <si>
    <t>Peer median P/B</t>
  </si>
  <si>
    <t>Cost of equity (Ke​)</t>
  </si>
  <si>
    <t>Interest-earning assets and interest income</t>
  </si>
  <si>
    <t>Interest and Similar Income:</t>
  </si>
  <si>
    <t>Subtotal (Banks &amp; Clients)</t>
  </si>
  <si>
    <t>Repos (Reverse Repurchase Agreements)</t>
  </si>
  <si>
    <t>Total Interest and Similar Income</t>
  </si>
  <si>
    <t>Debt instruments at fair value through OCI and AC</t>
  </si>
  <si>
    <t>Treasury bills, bonds and other governmental notes</t>
  </si>
  <si>
    <t>Clients</t>
  </si>
  <si>
    <t>Banks</t>
  </si>
  <si>
    <t>Banks %</t>
  </si>
  <si>
    <t>Clients %</t>
  </si>
  <si>
    <t>Treasury bills, bonds and other governmental notes %</t>
  </si>
  <si>
    <t>Repos (Reverse Repurchase Agreements) %</t>
  </si>
  <si>
    <t>Debt instruments at fair value through OCI and AC %</t>
  </si>
  <si>
    <t>Total Interest and Similar Expense</t>
  </si>
  <si>
    <t>Repos</t>
  </si>
  <si>
    <t>Interest-bearing liabilities and interest expense</t>
  </si>
  <si>
    <t>Repos %</t>
  </si>
  <si>
    <t>Issued debt instruments %</t>
  </si>
  <si>
    <t>Deposit build</t>
  </si>
  <si>
    <t>Demand deposits (Checking / CASA)</t>
  </si>
  <si>
    <t>Time deposits (Short/Medium term)</t>
  </si>
  <si>
    <t>Certificates of deposit (CDs)</t>
  </si>
  <si>
    <t>Saving deposits (CASA)</t>
  </si>
  <si>
    <t>Other deposits</t>
  </si>
  <si>
    <t>Total Customer Deposits</t>
  </si>
  <si>
    <t>Demand deposits %</t>
  </si>
  <si>
    <t>Time deposits %</t>
  </si>
  <si>
    <t>Certificates of deposit (CDs) %</t>
  </si>
  <si>
    <t>Saving deposits %</t>
  </si>
  <si>
    <t>Other deposits %</t>
  </si>
  <si>
    <t>Margin</t>
  </si>
  <si>
    <t>CASA Deposits (Demand + Saving)</t>
  </si>
  <si>
    <t>Financial Assets at FVOCI Roll-Forward</t>
  </si>
  <si>
    <t>Beginning balance</t>
  </si>
  <si>
    <t>Addition</t>
  </si>
  <si>
    <t>Disposals</t>
  </si>
  <si>
    <t>Profit (losses) from fair value difference</t>
  </si>
  <si>
    <t>Exchange revaluation differences for foreign financial assets</t>
  </si>
  <si>
    <t>Additon %</t>
  </si>
  <si>
    <t>Disposals %</t>
  </si>
  <si>
    <t>Financial Assets at Amortized Cost Roll-Forward</t>
  </si>
  <si>
    <t>Ending balance</t>
  </si>
  <si>
    <t>Acquired during year (Mayfair)</t>
  </si>
  <si>
    <t>Customer Loans ECL / Provision Roll-Forward Schedule</t>
  </si>
  <si>
    <t>Beginning Allowance</t>
  </si>
  <si>
    <t>Ending Allowance</t>
  </si>
  <si>
    <t>P&amp;L Provision Charge (Impairment Expense)</t>
  </si>
  <si>
    <t>Less: Bad Loans Written Off</t>
  </si>
  <si>
    <t>Add: Cash Recoveries of Written-off Loans</t>
  </si>
  <si>
    <t>Foreign Exchange &amp; Recalibration Differences</t>
  </si>
  <si>
    <t>P&amp;L Provision Charge %</t>
  </si>
  <si>
    <t>Bad Loans Written Off %</t>
  </si>
  <si>
    <t>Cash Recoveries %</t>
  </si>
  <si>
    <t>Non-Interest Income Schedule</t>
  </si>
  <si>
    <t>Fees related to credit (Lending &amp; Trade)</t>
  </si>
  <si>
    <t>Custody fee (Securities safekeeping)</t>
  </si>
  <si>
    <t>Other fees (Cards, ATMs, Transfers)</t>
  </si>
  <si>
    <t>Total Fee &amp; Commission Income</t>
  </si>
  <si>
    <t>Fee and commission expense:</t>
  </si>
  <si>
    <t>Other fee paid (Visa/Mastercard interchange)</t>
  </si>
  <si>
    <t>Credit-related fees growth %</t>
  </si>
  <si>
    <t>Custody fees growth %</t>
  </si>
  <si>
    <t>Other fees (Cards/Digital) growth %</t>
  </si>
  <si>
    <t>Fee Expense % of Fee Income</t>
  </si>
  <si>
    <t>Net trading income %</t>
  </si>
  <si>
    <t>Profits (Losses) on financial investments %</t>
  </si>
  <si>
    <t>Administrative expenses %</t>
  </si>
  <si>
    <t>Other operating income (expenses) %</t>
  </si>
  <si>
    <t>Total Operating Income</t>
  </si>
  <si>
    <t>CapEx % of Total Operating Income</t>
  </si>
  <si>
    <t>Depreciation % of beginning PP&amp;E</t>
  </si>
  <si>
    <t>Less: Staff &amp; Board Bonus (10%)</t>
  </si>
  <si>
    <t>Plus: Cost of ESOP</t>
  </si>
  <si>
    <t>OCI / FX Translation</t>
  </si>
  <si>
    <t>Staff Share &amp; Board Bonus %</t>
  </si>
  <si>
    <t>Cost of ESOP (EGP) %</t>
  </si>
  <si>
    <t>Capital Adequacy &amp; RWA</t>
  </si>
  <si>
    <t>RWA Density %</t>
  </si>
  <si>
    <t>Total RWAs</t>
  </si>
  <si>
    <t>Shareholders' Equity</t>
  </si>
  <si>
    <t>Less: Deductions</t>
  </si>
  <si>
    <t>Tier 1 Capital</t>
  </si>
  <si>
    <t>Subordinated Debt</t>
  </si>
  <si>
    <t>Stage 1 ECL Reserve</t>
  </si>
  <si>
    <t>Tier 2 Capital</t>
  </si>
  <si>
    <t>ECL Reserve % of Total RWA</t>
  </si>
  <si>
    <t>Total Capital (Tier 1+2)</t>
  </si>
  <si>
    <t>CAR (%)</t>
  </si>
  <si>
    <t>CBE Minimum %</t>
  </si>
  <si>
    <t>Excess Capital (vs 15%)</t>
  </si>
  <si>
    <t>Due from Banks</t>
  </si>
  <si>
    <t>Customer Deposits</t>
  </si>
  <si>
    <t>Due from Banks % of Deposits</t>
  </si>
  <si>
    <t>Loans and advances to banks</t>
  </si>
  <si>
    <t>Loans to banks, net</t>
  </si>
  <si>
    <t>% of Total Assets</t>
  </si>
  <si>
    <t>Subordinated Tier 2 Component</t>
  </si>
  <si>
    <t>BII / CDC Subordinated Loan (10 years)</t>
  </si>
  <si>
    <t>EBRD Subordinated Loan (10 years)</t>
  </si>
  <si>
    <t>IFC Subordinated Loan (10 years)</t>
  </si>
  <si>
    <t>Total Subordinated Loans (Feeds Tier 2)</t>
  </si>
  <si>
    <t>Senior Development Facilities</t>
  </si>
  <si>
    <t>Senior Loans (EBRD, IFC, EPAP, ARDF, ECO)</t>
  </si>
  <si>
    <t>Total Other Loans (Balance Sheet)</t>
  </si>
  <si>
    <t>BII / CDC Subordinated Loan (10 years) %</t>
  </si>
  <si>
    <t>EBRD Subordinated Loan (10 years) %</t>
  </si>
  <si>
    <t>IFC Subordinated Loan (10 years) %</t>
  </si>
  <si>
    <t>Senior Loans (EBRD, IFC, EPAP, ARDF, ECO) %</t>
  </si>
  <si>
    <t>Cash as % of Deposits</t>
  </si>
  <si>
    <t>Dividend payout ratio</t>
  </si>
  <si>
    <t>Dividends paid</t>
  </si>
  <si>
    <t>Cost of equity (Ke​) assumptions</t>
  </si>
  <si>
    <t>Cost of equity (Ke​) sensitivity to MRP and Beta</t>
  </si>
  <si>
    <t>Dividends stub adjusted</t>
  </si>
  <si>
    <t>Present value of dividends</t>
  </si>
  <si>
    <t>Terminal year dividend x (1+g)</t>
  </si>
  <si>
    <t>Present value of stage 1 dividends</t>
  </si>
  <si>
    <t>Equity value</t>
  </si>
  <si>
    <t>Link from Cost of equity (Ke​)</t>
  </si>
  <si>
    <t>Opening book value of equity</t>
  </si>
  <si>
    <t>Dividends</t>
  </si>
  <si>
    <t>Book Value Roll-Forward</t>
  </si>
  <si>
    <t>Residual income = Net income - Equity charge</t>
  </si>
  <si>
    <t>Terminal year residual income x (1+g)</t>
  </si>
  <si>
    <t>Present value of stage 1 residual income</t>
  </si>
  <si>
    <t>Residual Income</t>
  </si>
  <si>
    <t>Discounted Dividends Model Valuation</t>
  </si>
  <si>
    <t>Residual Income (Stub-Adjusted)</t>
  </si>
  <si>
    <t>Present Value of Residual Income</t>
  </si>
  <si>
    <t>EGX / EGP</t>
  </si>
  <si>
    <t>Credit Agricole Egypt S.A.E</t>
  </si>
  <si>
    <t>CIEB.CA</t>
  </si>
  <si>
    <t>QNB Egypt S.A.E</t>
  </si>
  <si>
    <t>QNBA.CA</t>
  </si>
  <si>
    <t>COMI.CA</t>
  </si>
  <si>
    <t>ADIB.CA</t>
  </si>
  <si>
    <t>Abu Dhabi Islamic Bank - Egypt S.A.E</t>
  </si>
  <si>
    <t>Housing &amp; Development Bank S.A.E</t>
  </si>
  <si>
    <t>HDBK.CA</t>
  </si>
  <si>
    <t>Commercial International Bank - Egypt - CIB S.A.E</t>
  </si>
  <si>
    <t>Total Borrowings / Financial Debt</t>
  </si>
  <si>
    <t>Due to Banks</t>
  </si>
  <si>
    <t>Other Loans / Subordinated Debt</t>
  </si>
  <si>
    <t>Issued Debt Instruments (Bonds)</t>
  </si>
  <si>
    <t>Minority Interest (NCI)</t>
  </si>
  <si>
    <t>Cash + Liquid Investments</t>
  </si>
  <si>
    <t>Tangible Book Value (TBV)</t>
  </si>
  <si>
    <t>Cash &amp; Balances with Central Bank</t>
  </si>
  <si>
    <t>Treasury Bills &amp; Sovereign Notes</t>
  </si>
  <si>
    <t>Net Banking Income</t>
  </si>
  <si>
    <t>Profit Before Tax</t>
  </si>
  <si>
    <t>Net Income (Bank Shareholders)</t>
  </si>
  <si>
    <t>Net Margin</t>
  </si>
  <si>
    <t>Implied value per share</t>
  </si>
  <si>
    <t>x LTM book value of equity</t>
  </si>
  <si>
    <t>Credit Agricole Egypt</t>
  </si>
  <si>
    <t>QNB Egypt</t>
  </si>
  <si>
    <t>Abu Dhabi Islamic Bank</t>
  </si>
  <si>
    <t>Housing &amp; Development Bank</t>
  </si>
  <si>
    <t>Commercial International Bank</t>
  </si>
  <si>
    <t>Pre-Provision Operating Profit (PPOP)</t>
  </si>
  <si>
    <t>Net Fee &amp; Commission Income %</t>
  </si>
  <si>
    <t>Total Operating Income %</t>
  </si>
  <si>
    <t>ROE = net income ÷ opening book value</t>
  </si>
  <si>
    <t>ROE - Ke  (value is created only when this is positive)</t>
  </si>
  <si>
    <t>Equity charge = Ke(t) × opening book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</si>
</sst>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%"/>
    <numFmt numFmtId="166" formatCode="_(* #,##0_);_(* \(#,##0\);_(* \-_);_(@_)"/>
    <numFmt numFmtId="167" formatCode="_(* #,##0_);_(* \(#,##0\);_(* \-??_);_(@_)"/>
    <numFmt numFmtId="168" formatCode="&quot;FY&quot;yy"/>
    <numFmt numFmtId="169" formatCode="0\A;[Red]0\A"/>
    <numFmt numFmtId="170" formatCode="0\P_);\(0\P\)"/>
    <numFmt numFmtId="171" formatCode="m/d/yy;@"/>
    <numFmt numFmtId="172" formatCode="0.0%_);\(0.0%\);@_)"/>
    <numFmt numFmtId="173" formatCode="_(#,##0.0%_);\(#,##0.0%\);_(&quot;–&quot;_)_%;_(@_)_%"/>
    <numFmt numFmtId="174" formatCode="#,##0_);\(#,##0\);@_)"/>
    <numFmt numFmtId="175" formatCode="0000\P"/>
    <numFmt numFmtId="176" formatCode="0.0\x_);\(0.0\x\);@_)"/>
    <numFmt numFmtId="177" formatCode="#,##0.000_);\(#,##0.000\);@_)"/>
    <numFmt numFmtId="178" formatCode="#,##0.000_);\(#,##0.000\)"/>
    <numFmt numFmtId="179" formatCode="_([$$]#,##0_)_%;\([$$]#,##0\)_%;_(&quot;–&quot;_)_%;_(@_)_%"/>
    <numFmt numFmtId="180" formatCode="0000\A"/>
    <numFmt numFmtId="181" formatCode="_(* #,##0_);_(* \(#,##0\);_(* &quot;-&quot;??_);_(@_)"/>
    <numFmt numFmtId="182" formatCode="d/m/yy;@"/>
    <numFmt numFmtId="183" formatCode="_(* #,##0.00_);_(* \(#,##0.00\);_(* \-??_);_(@_)"/>
    <numFmt numFmtId="184" formatCode="0.000"/>
    <numFmt numFmtId="185" formatCode="_-[$EGP]\ * #,##0.00_-;\-[$EGP]\ * #,##0.00_-;_-[$EGP]\ * &quot;-&quot;??_-;_-@_-"/>
    <numFmt numFmtId="186" formatCode="[$-409]mmmmm/yy;@"/>
    <numFmt numFmtId="187" formatCode="#,##0;\(#,##0\)"/>
    <numFmt numFmtId="188" formatCode="0.0&quot;x&quot;"/>
    <numFmt numFmtId="189" formatCode="_(* #,##0.0_);_(* \(#,##0.0\);_(* \-??_);_(@_)"/>
  </numFmts>
  <fonts count="4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0"/>
      <name val="Times New Roman"/>
      <family val="1"/>
    </font>
    <font>
      <sz val="11"/>
      <color rgb="FF008000"/>
      <name val="Calibri"/>
      <family val="2"/>
      <scheme val="minor"/>
    </font>
    <font>
      <u/>
      <sz val="11"/>
      <color theme="1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singleAccounting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charset val="1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sz val="11"/>
      <color rgb="FF0000FF"/>
      <name val="Calibri"/>
      <family val="2"/>
    </font>
    <font>
      <sz val="11"/>
      <color theme="4" tint="-0.249977111117893"/>
      <name val="Calibri"/>
      <family val="2"/>
      <scheme val="minor"/>
    </font>
    <font>
      <b/>
      <i/>
      <sz val="11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sz val="11"/>
      <color theme="4" tint="-0.249977111117893"/>
      <name val="Calibri"/>
      <family val="2"/>
    </font>
    <font>
      <b/>
      <i/>
      <sz val="11"/>
      <color theme="1"/>
      <name val="Calibri"/>
      <family val="2"/>
    </font>
    <font>
      <sz val="11"/>
      <name val="Calibri"/>
      <family val="2"/>
      <charset val="1"/>
    </font>
    <font>
      <b/>
      <sz val="11"/>
      <color rgb="FF008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8000"/>
      <name val="Calibri"/>
      <family val="2"/>
    </font>
    <font>
      <b/>
      <sz val="11"/>
      <color rgb="FF0000FF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2F2FF"/>
        <bgColor rgb="FF000000"/>
      </patternFill>
    </fill>
    <fill>
      <patternFill patternType="solid">
        <fgColor rgb="FFC9DAF8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183" fontId="9" fillId="0" borderId="0"/>
    <xf numFmtId="9" fontId="9" fillId="0" borderId="0"/>
    <xf numFmtId="0" fontId="8" fillId="0" borderId="0"/>
    <xf numFmtId="37" fontId="22" fillId="0" borderId="0"/>
    <xf numFmtId="0" fontId="24" fillId="0" borderId="0"/>
    <xf numFmtId="186" fontId="31" fillId="0" borderId="0"/>
    <xf numFmtId="0" fontId="4" fillId="0" borderId="0"/>
  </cellStyleXfs>
  <cellXfs count="264">
    <xf numFmtId="0" fontId="0" fillId="0" borderId="0" xfId="0"/>
    <xf numFmtId="165" fontId="9" fillId="0" borderId="0" xfId="2" applyNumberFormat="1"/>
    <xf numFmtId="0" fontId="10" fillId="0" borderId="4" xfId="0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3" fillId="0" borderId="4" xfId="0" applyFont="1" applyBorder="1"/>
    <xf numFmtId="0" fontId="13" fillId="0" borderId="5" xfId="0" applyFont="1" applyBorder="1"/>
    <xf numFmtId="166" fontId="16" fillId="0" borderId="0" xfId="1" applyNumberFormat="1" applyFont="1"/>
    <xf numFmtId="0" fontId="17" fillId="0" borderId="1" xfId="0" applyFont="1" applyBorder="1"/>
    <xf numFmtId="167" fontId="17" fillId="0" borderId="1" xfId="1" applyNumberFormat="1" applyFont="1" applyBorder="1"/>
    <xf numFmtId="0" fontId="17" fillId="0" borderId="0" xfId="0" applyFont="1"/>
    <xf numFmtId="167" fontId="17" fillId="0" borderId="0" xfId="1" applyNumberFormat="1" applyFont="1"/>
    <xf numFmtId="165" fontId="14" fillId="0" borderId="0" xfId="2" applyNumberFormat="1" applyFont="1"/>
    <xf numFmtId="0" fontId="17" fillId="0" borderId="3" xfId="0" applyFont="1" applyBorder="1"/>
    <xf numFmtId="0" fontId="13" fillId="0" borderId="0" xfId="0" applyFont="1" applyAlignment="1">
      <alignment horizontal="left" indent="1"/>
    </xf>
    <xf numFmtId="167" fontId="13" fillId="0" borderId="0" xfId="0" applyNumberFormat="1" applyFont="1"/>
    <xf numFmtId="167" fontId="13" fillId="0" borderId="0" xfId="1" applyNumberFormat="1" applyFont="1"/>
    <xf numFmtId="0" fontId="19" fillId="0" borderId="2" xfId="0" applyFont="1" applyBorder="1"/>
    <xf numFmtId="167" fontId="17" fillId="0" borderId="2" xfId="1" applyNumberFormat="1" applyFont="1" applyBorder="1"/>
    <xf numFmtId="165" fontId="13" fillId="0" borderId="0" xfId="2" applyNumberFormat="1" applyFont="1"/>
    <xf numFmtId="1" fontId="13" fillId="0" borderId="0" xfId="2" applyNumberFormat="1" applyFont="1"/>
    <xf numFmtId="0" fontId="17" fillId="0" borderId="1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indent="2"/>
    </xf>
    <xf numFmtId="0" fontId="15" fillId="0" borderId="0" xfId="0" applyFont="1"/>
    <xf numFmtId="0" fontId="10" fillId="0" borderId="6" xfId="0" applyFont="1" applyBorder="1"/>
    <xf numFmtId="0" fontId="0" fillId="0" borderId="6" xfId="0" applyBorder="1"/>
    <xf numFmtId="169" fontId="10" fillId="0" borderId="0" xfId="0" applyNumberFormat="1" applyFont="1"/>
    <xf numFmtId="170" fontId="10" fillId="0" borderId="0" xfId="0" applyNumberFormat="1" applyFont="1"/>
    <xf numFmtId="0" fontId="20" fillId="0" borderId="6" xfId="0" applyFont="1" applyBorder="1"/>
    <xf numFmtId="0" fontId="18" fillId="0" borderId="0" xfId="0" applyFont="1"/>
    <xf numFmtId="171" fontId="20" fillId="0" borderId="6" xfId="0" applyNumberFormat="1" applyFont="1" applyBorder="1"/>
    <xf numFmtId="168" fontId="18" fillId="0" borderId="0" xfId="0" applyNumberFormat="1" applyFont="1" applyAlignment="1">
      <alignment horizontal="center" vertical="center"/>
    </xf>
    <xf numFmtId="0" fontId="0" fillId="0" borderId="3" xfId="0" applyBorder="1"/>
    <xf numFmtId="169" fontId="10" fillId="0" borderId="3" xfId="0" applyNumberFormat="1" applyFont="1" applyBorder="1"/>
    <xf numFmtId="170" fontId="10" fillId="0" borderId="3" xfId="0" applyNumberFormat="1" applyFont="1" applyBorder="1"/>
    <xf numFmtId="0" fontId="8" fillId="0" borderId="0" xfId="3"/>
    <xf numFmtId="0" fontId="10" fillId="0" borderId="4" xfId="3" applyFont="1" applyBorder="1"/>
    <xf numFmtId="0" fontId="8" fillId="0" borderId="4" xfId="3" applyBorder="1"/>
    <xf numFmtId="0" fontId="21" fillId="0" borderId="5" xfId="3" applyFont="1" applyBorder="1"/>
    <xf numFmtId="14" fontId="12" fillId="0" borderId="0" xfId="4" applyNumberFormat="1" applyFont="1" applyAlignment="1">
      <alignment horizontal="right"/>
    </xf>
    <xf numFmtId="172" fontId="23" fillId="0" borderId="0" xfId="3" applyNumberFormat="1" applyFont="1"/>
    <xf numFmtId="14" fontId="11" fillId="0" borderId="0" xfId="4" applyNumberFormat="1" applyFont="1" applyAlignment="1">
      <alignment horizontal="right"/>
    </xf>
    <xf numFmtId="14" fontId="12" fillId="0" borderId="0" xfId="3" applyNumberFormat="1" applyFont="1" applyAlignment="1">
      <alignment horizontal="right"/>
    </xf>
    <xf numFmtId="0" fontId="24" fillId="0" borderId="0" xfId="5"/>
    <xf numFmtId="173" fontId="11" fillId="0" borderId="0" xfId="3" applyNumberFormat="1" applyFont="1"/>
    <xf numFmtId="7" fontId="23" fillId="0" borderId="0" xfId="3" applyNumberFormat="1" applyFont="1" applyAlignment="1">
      <alignment horizontal="right"/>
    </xf>
    <xf numFmtId="0" fontId="10" fillId="0" borderId="7" xfId="3" applyFont="1" applyBorder="1"/>
    <xf numFmtId="0" fontId="8" fillId="0" borderId="7" xfId="3" applyBorder="1"/>
    <xf numFmtId="7" fontId="23" fillId="0" borderId="7" xfId="3" applyNumberFormat="1" applyFont="1" applyBorder="1" applyAlignment="1">
      <alignment horizontal="right"/>
    </xf>
    <xf numFmtId="0" fontId="25" fillId="0" borderId="0" xfId="3" applyFont="1" applyAlignment="1">
      <alignment horizontal="centerContinuous"/>
    </xf>
    <xf numFmtId="0" fontId="26" fillId="0" borderId="8" xfId="3" applyFont="1" applyBorder="1" applyAlignment="1">
      <alignment horizontal="centerContinuous"/>
    </xf>
    <xf numFmtId="0" fontId="20" fillId="0" borderId="0" xfId="3" applyFont="1"/>
    <xf numFmtId="14" fontId="8" fillId="0" borderId="0" xfId="3" applyNumberFormat="1" applyAlignment="1">
      <alignment horizontal="center"/>
    </xf>
    <xf numFmtId="174" fontId="11" fillId="0" borderId="0" xfId="3" applyNumberFormat="1" applyFont="1"/>
    <xf numFmtId="174" fontId="23" fillId="0" borderId="0" xfId="3" applyNumberFormat="1" applyFont="1"/>
    <xf numFmtId="0" fontId="8" fillId="0" borderId="0" xfId="3" applyAlignment="1">
      <alignment horizontal="left" indent="1"/>
    </xf>
    <xf numFmtId="0" fontId="10" fillId="0" borderId="0" xfId="3" applyFont="1"/>
    <xf numFmtId="174" fontId="27" fillId="0" borderId="0" xfId="3" applyNumberFormat="1" applyFont="1"/>
    <xf numFmtId="174" fontId="8" fillId="0" borderId="0" xfId="3" applyNumberFormat="1"/>
    <xf numFmtId="37" fontId="11" fillId="0" borderId="0" xfId="3" applyNumberFormat="1" applyFont="1"/>
    <xf numFmtId="174" fontId="23" fillId="0" borderId="7" xfId="3" applyNumberFormat="1" applyFont="1" applyBorder="1"/>
    <xf numFmtId="174" fontId="26" fillId="0" borderId="7" xfId="3" applyNumberFormat="1" applyFont="1" applyBorder="1" applyAlignment="1">
      <alignment horizontal="center"/>
    </xf>
    <xf numFmtId="174" fontId="26" fillId="0" borderId="0" xfId="3" applyNumberFormat="1" applyFont="1"/>
    <xf numFmtId="14" fontId="8" fillId="0" borderId="0" xfId="3" applyNumberFormat="1"/>
    <xf numFmtId="173" fontId="8" fillId="0" borderId="0" xfId="3" applyNumberFormat="1" applyAlignment="1">
      <alignment horizontal="center"/>
    </xf>
    <xf numFmtId="174" fontId="11" fillId="0" borderId="7" xfId="3" applyNumberFormat="1" applyFont="1" applyBorder="1"/>
    <xf numFmtId="0" fontId="27" fillId="0" borderId="0" xfId="3" applyFont="1"/>
    <xf numFmtId="173" fontId="12" fillId="0" borderId="0" xfId="3" applyNumberFormat="1" applyFont="1"/>
    <xf numFmtId="175" fontId="8" fillId="0" borderId="0" xfId="3" applyNumberFormat="1"/>
    <xf numFmtId="176" fontId="12" fillId="0" borderId="0" xfId="3" applyNumberFormat="1" applyFont="1"/>
    <xf numFmtId="174" fontId="10" fillId="0" borderId="0" xfId="3" applyNumberFormat="1" applyFont="1"/>
    <xf numFmtId="0" fontId="8" fillId="0" borderId="0" xfId="3" applyAlignment="1">
      <alignment horizontal="left"/>
    </xf>
    <xf numFmtId="0" fontId="28" fillId="0" borderId="0" xfId="3" applyFont="1"/>
    <xf numFmtId="0" fontId="28" fillId="0" borderId="0" xfId="3" applyFont="1" applyAlignment="1">
      <alignment horizontal="right"/>
    </xf>
    <xf numFmtId="177" fontId="12" fillId="0" borderId="0" xfId="3" applyNumberFormat="1" applyFont="1"/>
    <xf numFmtId="178" fontId="12" fillId="0" borderId="0" xfId="3" applyNumberFormat="1" applyFont="1"/>
    <xf numFmtId="0" fontId="10" fillId="0" borderId="0" xfId="3" applyFont="1" applyAlignment="1">
      <alignment horizontal="left"/>
    </xf>
    <xf numFmtId="179" fontId="12" fillId="0" borderId="0" xfId="3" applyNumberFormat="1" applyFont="1"/>
    <xf numFmtId="174" fontId="8" fillId="0" borderId="0" xfId="3" applyNumberFormat="1" applyAlignment="1">
      <alignment horizontal="right"/>
    </xf>
    <xf numFmtId="37" fontId="20" fillId="0" borderId="7" xfId="3" applyNumberFormat="1" applyFont="1" applyBorder="1" applyAlignment="1">
      <alignment horizontal="right"/>
    </xf>
    <xf numFmtId="37" fontId="8" fillId="0" borderId="0" xfId="3" applyNumberFormat="1" applyAlignment="1">
      <alignment horizontal="right"/>
    </xf>
    <xf numFmtId="173" fontId="11" fillId="0" borderId="0" xfId="0" applyNumberFormat="1" applyFont="1"/>
    <xf numFmtId="0" fontId="27" fillId="0" borderId="7" xfId="3" applyFont="1" applyBorder="1"/>
    <xf numFmtId="0" fontId="11" fillId="0" borderId="7" xfId="3" applyFont="1" applyBorder="1"/>
    <xf numFmtId="0" fontId="27" fillId="0" borderId="7" xfId="3" applyFont="1" applyBorder="1" applyAlignment="1">
      <alignment horizontal="right"/>
    </xf>
    <xf numFmtId="0" fontId="28" fillId="0" borderId="0" xfId="3" applyFont="1" applyAlignment="1">
      <alignment horizontal="left"/>
    </xf>
    <xf numFmtId="0" fontId="10" fillId="0" borderId="10" xfId="3" applyFont="1" applyBorder="1"/>
    <xf numFmtId="172" fontId="10" fillId="0" borderId="11" xfId="3" applyNumberFormat="1" applyFont="1" applyBorder="1"/>
    <xf numFmtId="174" fontId="11" fillId="0" borderId="0" xfId="0" applyNumberFormat="1" applyFont="1"/>
    <xf numFmtId="14" fontId="0" fillId="0" borderId="0" xfId="0" applyNumberFormat="1"/>
    <xf numFmtId="166" fontId="18" fillId="0" borderId="0" xfId="1" applyNumberFormat="1" applyFont="1"/>
    <xf numFmtId="39" fontId="0" fillId="0" borderId="0" xfId="0" applyNumberFormat="1"/>
    <xf numFmtId="180" fontId="10" fillId="0" borderId="12" xfId="3" applyNumberFormat="1" applyFont="1" applyBorder="1"/>
    <xf numFmtId="174" fontId="23" fillId="0" borderId="13" xfId="3" applyNumberFormat="1" applyFont="1" applyBorder="1"/>
    <xf numFmtId="9" fontId="9" fillId="0" borderId="13" xfId="2" applyBorder="1"/>
    <xf numFmtId="175" fontId="10" fillId="0" borderId="15" xfId="3" applyNumberFormat="1" applyFont="1" applyBorder="1"/>
    <xf numFmtId="175" fontId="10" fillId="0" borderId="12" xfId="3" applyNumberFormat="1" applyFont="1" applyBorder="1"/>
    <xf numFmtId="14" fontId="21" fillId="0" borderId="5" xfId="3" applyNumberFormat="1" applyFont="1" applyBorder="1"/>
    <xf numFmtId="167" fontId="9" fillId="0" borderId="0" xfId="1" applyNumberFormat="1"/>
    <xf numFmtId="167" fontId="30" fillId="0" borderId="0" xfId="1" applyNumberFormat="1" applyFont="1"/>
    <xf numFmtId="174" fontId="12" fillId="0" borderId="0" xfId="3" applyNumberFormat="1" applyFont="1"/>
    <xf numFmtId="3" fontId="10" fillId="0" borderId="0" xfId="3" applyNumberFormat="1" applyFont="1"/>
    <xf numFmtId="0" fontId="12" fillId="0" borderId="0" xfId="3" applyFont="1" applyAlignment="1">
      <alignment horizontal="left" vertical="center"/>
    </xf>
    <xf numFmtId="164" fontId="17" fillId="0" borderId="0" xfId="0" applyNumberFormat="1" applyFont="1" applyAlignment="1">
      <alignment horizontal="center" vertical="center"/>
    </xf>
    <xf numFmtId="164" fontId="15" fillId="0" borderId="0" xfId="1" applyNumberFormat="1" applyFont="1"/>
    <xf numFmtId="164" fontId="13" fillId="0" borderId="0" xfId="0" applyNumberFormat="1" applyFont="1" applyAlignment="1">
      <alignment horizontal="center" vertical="center"/>
    </xf>
    <xf numFmtId="164" fontId="13" fillId="0" borderId="0" xfId="0" applyNumberFormat="1" applyFont="1"/>
    <xf numFmtId="164" fontId="15" fillId="0" borderId="0" xfId="0" applyNumberFormat="1" applyFont="1"/>
    <xf numFmtId="9" fontId="9" fillId="0" borderId="0" xfId="2"/>
    <xf numFmtId="9" fontId="30" fillId="0" borderId="0" xfId="2" applyFont="1"/>
    <xf numFmtId="165" fontId="15" fillId="0" borderId="3" xfId="2" applyNumberFormat="1" applyFont="1" applyBorder="1"/>
    <xf numFmtId="165" fontId="11" fillId="0" borderId="0" xfId="0" applyNumberFormat="1" applyFont="1"/>
    <xf numFmtId="165" fontId="30" fillId="0" borderId="0" xfId="2" applyNumberFormat="1" applyFont="1"/>
    <xf numFmtId="0" fontId="7" fillId="0" borderId="0" xfId="3" applyFont="1"/>
    <xf numFmtId="37" fontId="7" fillId="0" borderId="0" xfId="3" applyNumberFormat="1" applyFont="1" applyAlignment="1">
      <alignment horizontal="right"/>
    </xf>
    <xf numFmtId="167" fontId="17" fillId="0" borderId="0" xfId="0" applyNumberFormat="1" applyFont="1" applyAlignment="1">
      <alignment horizontal="center" vertical="center"/>
    </xf>
    <xf numFmtId="167" fontId="18" fillId="0" borderId="0" xfId="0" applyNumberFormat="1" applyFont="1" applyAlignment="1">
      <alignment horizontal="center" vertical="center"/>
    </xf>
    <xf numFmtId="167" fontId="18" fillId="0" borderId="0" xfId="1" applyNumberFormat="1" applyFont="1"/>
    <xf numFmtId="0" fontId="10" fillId="0" borderId="0" xfId="0" applyFont="1"/>
    <xf numFmtId="0" fontId="13" fillId="0" borderId="0" xfId="0" applyFont="1" applyAlignment="1">
      <alignment horizontal="left"/>
    </xf>
    <xf numFmtId="182" fontId="20" fillId="0" borderId="2" xfId="0" applyNumberFormat="1" applyFont="1" applyBorder="1"/>
    <xf numFmtId="182" fontId="6" fillId="0" borderId="2" xfId="0" applyNumberFormat="1" applyFont="1" applyBorder="1" applyAlignment="1">
      <alignment horizontal="center"/>
    </xf>
    <xf numFmtId="166" fontId="17" fillId="0" borderId="3" xfId="0" applyNumberFormat="1" applyFont="1" applyBorder="1" applyAlignment="1">
      <alignment horizontal="center" vertical="center"/>
    </xf>
    <xf numFmtId="166" fontId="16" fillId="0" borderId="0" xfId="0" applyNumberFormat="1" applyFont="1"/>
    <xf numFmtId="167" fontId="16" fillId="0" borderId="0" xfId="1" applyNumberFormat="1" applyFont="1"/>
    <xf numFmtId="0" fontId="32" fillId="0" borderId="0" xfId="0" applyFont="1" applyAlignment="1">
      <alignment horizontal="center"/>
    </xf>
    <xf numFmtId="165" fontId="16" fillId="0" borderId="0" xfId="2" applyNumberFormat="1" applyFont="1"/>
    <xf numFmtId="167" fontId="33" fillId="0" borderId="0" xfId="1" applyNumberFormat="1" applyFont="1" applyAlignment="1">
      <alignment horizontal="center" vertical="center"/>
    </xf>
    <xf numFmtId="0" fontId="13" fillId="0" borderId="6" xfId="0" applyFont="1" applyBorder="1"/>
    <xf numFmtId="171" fontId="5" fillId="0" borderId="6" xfId="0" applyNumberFormat="1" applyFont="1" applyBorder="1"/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left" indent="1"/>
    </xf>
    <xf numFmtId="167" fontId="13" fillId="0" borderId="0" xfId="0" applyNumberFormat="1" applyFont="1" applyAlignment="1">
      <alignment horizontal="center" vertical="center"/>
    </xf>
    <xf numFmtId="167" fontId="0" fillId="0" borderId="0" xfId="0" applyNumberFormat="1"/>
    <xf numFmtId="183" fontId="9" fillId="0" borderId="0" xfId="1"/>
    <xf numFmtId="165" fontId="12" fillId="0" borderId="0" xfId="3" applyNumberFormat="1" applyFont="1" applyAlignment="1">
      <alignment vertical="center"/>
    </xf>
    <xf numFmtId="0" fontId="0" fillId="0" borderId="0" xfId="0" applyAlignment="1">
      <alignment horizontal="centerContinuous"/>
    </xf>
    <xf numFmtId="0" fontId="0" fillId="0" borderId="16" xfId="0" applyBorder="1" applyAlignment="1">
      <alignment horizontal="centerContinuous"/>
    </xf>
    <xf numFmtId="172" fontId="0" fillId="3" borderId="0" xfId="0" applyNumberFormat="1" applyFill="1"/>
    <xf numFmtId="184" fontId="11" fillId="0" borderId="17" xfId="0" applyNumberFormat="1" applyFont="1" applyBorder="1"/>
    <xf numFmtId="178" fontId="12" fillId="0" borderId="18" xfId="0" applyNumberFormat="1" applyFont="1" applyBorder="1"/>
    <xf numFmtId="184" fontId="11" fillId="0" borderId="18" xfId="0" applyNumberFormat="1" applyFont="1" applyBorder="1"/>
    <xf numFmtId="10" fontId="11" fillId="0" borderId="19" xfId="0" applyNumberFormat="1" applyFont="1" applyBorder="1"/>
    <xf numFmtId="173" fontId="0" fillId="0" borderId="16" xfId="0" applyNumberFormat="1" applyBorder="1"/>
    <xf numFmtId="173" fontId="0" fillId="0" borderId="0" xfId="0" applyNumberFormat="1"/>
    <xf numFmtId="0" fontId="0" fillId="0" borderId="0" xfId="0" applyAlignment="1">
      <alignment horizontal="right"/>
    </xf>
    <xf numFmtId="10" fontId="12" fillId="0" borderId="19" xfId="0" applyNumberFormat="1" applyFont="1" applyBorder="1"/>
    <xf numFmtId="10" fontId="11" fillId="0" borderId="9" xfId="0" applyNumberFormat="1" applyFont="1" applyBorder="1"/>
    <xf numFmtId="0" fontId="12" fillId="2" borderId="20" xfId="0" applyFont="1" applyFill="1" applyBorder="1" applyAlignment="1">
      <alignment horizontal="right"/>
    </xf>
    <xf numFmtId="0" fontId="0" fillId="0" borderId="0" xfId="0" applyAlignment="1">
      <alignment horizontal="left" indent="1"/>
    </xf>
    <xf numFmtId="178" fontId="0" fillId="0" borderId="0" xfId="0" applyNumberFormat="1"/>
    <xf numFmtId="0" fontId="0" fillId="0" borderId="0" xfId="0" applyAlignment="1">
      <alignment wrapText="1"/>
    </xf>
    <xf numFmtId="0" fontId="0" fillId="0" borderId="21" xfId="0" applyBorder="1"/>
    <xf numFmtId="0" fontId="0" fillId="0" borderId="21" xfId="0" applyBorder="1" applyAlignment="1">
      <alignment wrapText="1"/>
    </xf>
    <xf numFmtId="37" fontId="0" fillId="0" borderId="0" xfId="0" applyNumberFormat="1"/>
    <xf numFmtId="172" fontId="0" fillId="0" borderId="0" xfId="0" applyNumberFormat="1"/>
    <xf numFmtId="39" fontId="12" fillId="0" borderId="0" xfId="0" applyNumberFormat="1" applyFont="1"/>
    <xf numFmtId="39" fontId="34" fillId="0" borderId="0" xfId="0" applyNumberFormat="1" applyFont="1"/>
    <xf numFmtId="172" fontId="34" fillId="0" borderId="0" xfId="0" applyNumberFormat="1" applyFont="1"/>
    <xf numFmtId="39" fontId="10" fillId="0" borderId="0" xfId="0" applyNumberFormat="1" applyFont="1"/>
    <xf numFmtId="185" fontId="29" fillId="0" borderId="0" xfId="0" applyNumberFormat="1" applyFont="1" applyAlignment="1">
      <alignment horizontal="right" vertical="center"/>
    </xf>
    <xf numFmtId="185" fontId="12" fillId="0" borderId="0" xfId="0" applyNumberFormat="1" applyFont="1" applyAlignment="1">
      <alignment horizontal="right" vertical="center"/>
    </xf>
    <xf numFmtId="185" fontId="12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0" fontId="8" fillId="0" borderId="0" xfId="3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/>
    </xf>
    <xf numFmtId="167" fontId="15" fillId="0" borderId="0" xfId="1" applyNumberFormat="1" applyFont="1"/>
    <xf numFmtId="165" fontId="35" fillId="0" borderId="0" xfId="2" applyNumberFormat="1" applyFont="1"/>
    <xf numFmtId="0" fontId="18" fillId="0" borderId="0" xfId="0" applyFont="1" applyAlignment="1">
      <alignment horizontal="left"/>
    </xf>
    <xf numFmtId="37" fontId="13" fillId="0" borderId="0" xfId="0" applyNumberFormat="1" applyFont="1" applyAlignment="1">
      <alignment horizontal="right" vertical="center"/>
    </xf>
    <xf numFmtId="37" fontId="15" fillId="0" borderId="0" xfId="1" applyNumberFormat="1" applyFont="1" applyAlignment="1">
      <alignment horizontal="right" vertical="center"/>
    </xf>
    <xf numFmtId="37" fontId="17" fillId="0" borderId="0" xfId="0" applyNumberFormat="1" applyFont="1" applyAlignment="1">
      <alignment horizontal="right" vertical="center"/>
    </xf>
    <xf numFmtId="0" fontId="10" fillId="0" borderId="4" xfId="7" applyFont="1" applyBorder="1"/>
    <xf numFmtId="0" fontId="4" fillId="0" borderId="4" xfId="7" applyBorder="1"/>
    <xf numFmtId="0" fontId="4" fillId="0" borderId="0" xfId="7"/>
    <xf numFmtId="0" fontId="36" fillId="0" borderId="0" xfId="0" applyFont="1"/>
    <xf numFmtId="14" fontId="33" fillId="0" borderId="0" xfId="0" applyNumberFormat="1" applyFont="1"/>
    <xf numFmtId="0" fontId="18" fillId="0" borderId="2" xfId="0" applyFont="1" applyBorder="1"/>
    <xf numFmtId="0" fontId="15" fillId="0" borderId="2" xfId="0" applyFont="1" applyBorder="1"/>
    <xf numFmtId="49" fontId="33" fillId="0" borderId="0" xfId="0" applyNumberFormat="1" applyFont="1"/>
    <xf numFmtId="49" fontId="33" fillId="0" borderId="0" xfId="0" applyNumberFormat="1" applyFont="1" applyAlignment="1">
      <alignment horizontal="left"/>
    </xf>
    <xf numFmtId="4" fontId="33" fillId="0" borderId="0" xfId="0" applyNumberFormat="1" applyFont="1"/>
    <xf numFmtId="187" fontId="37" fillId="0" borderId="0" xfId="0" applyNumberFormat="1" applyFont="1"/>
    <xf numFmtId="187" fontId="33" fillId="0" borderId="0" xfId="0" applyNumberFormat="1" applyFont="1"/>
    <xf numFmtId="187" fontId="18" fillId="0" borderId="0" xfId="0" applyNumberFormat="1" applyFont="1"/>
    <xf numFmtId="188" fontId="15" fillId="0" borderId="0" xfId="0" applyNumberFormat="1" applyFont="1"/>
    <xf numFmtId="188" fontId="18" fillId="0" borderId="0" xfId="0" applyNumberFormat="1" applyFont="1"/>
    <xf numFmtId="187" fontId="15" fillId="0" borderId="0" xfId="0" applyNumberFormat="1" applyFont="1"/>
    <xf numFmtId="0" fontId="29" fillId="0" borderId="0" xfId="0" applyFont="1"/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38" fillId="0" borderId="0" xfId="0" applyFont="1" applyAlignment="1">
      <alignment horizontal="center" vertical="center"/>
    </xf>
    <xf numFmtId="0" fontId="38" fillId="0" borderId="0" xfId="0" applyFont="1"/>
    <xf numFmtId="167" fontId="38" fillId="0" borderId="0" xfId="1" applyNumberFormat="1" applyFont="1"/>
    <xf numFmtId="9" fontId="9" fillId="0" borderId="0" xfId="2" applyAlignment="1">
      <alignment horizontal="right"/>
    </xf>
    <xf numFmtId="166" fontId="15" fillId="0" borderId="0" xfId="0" applyNumberFormat="1" applyFont="1"/>
    <xf numFmtId="166" fontId="18" fillId="0" borderId="0" xfId="0" applyNumberFormat="1" applyFont="1"/>
    <xf numFmtId="0" fontId="21" fillId="0" borderId="0" xfId="0" applyFont="1" applyAlignment="1">
      <alignment horizontal="left"/>
    </xf>
    <xf numFmtId="0" fontId="18" fillId="0" borderId="0" xfId="2" applyNumberFormat="1" applyFont="1" applyAlignment="1">
      <alignment horizontal="left"/>
    </xf>
    <xf numFmtId="0" fontId="13" fillId="0" borderId="0" xfId="2" applyNumberFormat="1" applyFont="1" applyAlignment="1">
      <alignment horizontal="left"/>
    </xf>
    <xf numFmtId="0" fontId="3" fillId="0" borderId="0" xfId="0" applyFont="1" applyAlignment="1">
      <alignment horizontal="left" indent="1"/>
    </xf>
    <xf numFmtId="0" fontId="9" fillId="0" borderId="0" xfId="1" applyNumberFormat="1"/>
    <xf numFmtId="0" fontId="9" fillId="0" borderId="0" xfId="2" applyNumberFormat="1"/>
    <xf numFmtId="0" fontId="17" fillId="0" borderId="0" xfId="1" applyNumberFormat="1" applyFont="1"/>
    <xf numFmtId="164" fontId="16" fillId="0" borderId="0" xfId="0" applyNumberFormat="1" applyFont="1" applyAlignment="1">
      <alignment horizontal="center" vertical="center"/>
    </xf>
    <xf numFmtId="164" fontId="16" fillId="0" borderId="0" xfId="1" applyNumberFormat="1" applyFont="1"/>
    <xf numFmtId="0" fontId="14" fillId="0" borderId="0" xfId="1" applyNumberFormat="1" applyFont="1" applyAlignment="1">
      <alignment horizontal="left" indent="1"/>
    </xf>
    <xf numFmtId="9" fontId="14" fillId="0" borderId="0" xfId="2" applyFont="1"/>
    <xf numFmtId="167" fontId="39" fillId="0" borderId="0" xfId="1" applyNumberFormat="1" applyFont="1"/>
    <xf numFmtId="9" fontId="30" fillId="0" borderId="0" xfId="1" applyNumberFormat="1" applyFont="1"/>
    <xf numFmtId="9" fontId="40" fillId="0" borderId="0" xfId="2" applyFont="1"/>
    <xf numFmtId="165" fontId="15" fillId="0" borderId="0" xfId="2" applyNumberFormat="1" applyFont="1"/>
    <xf numFmtId="166" fontId="17" fillId="0" borderId="0" xfId="0" applyNumberFormat="1" applyFont="1" applyAlignment="1">
      <alignment horizontal="center" vertical="center"/>
    </xf>
    <xf numFmtId="9" fontId="16" fillId="0" borderId="0" xfId="0" applyNumberFormat="1" applyFont="1"/>
    <xf numFmtId="167" fontId="16" fillId="0" borderId="0" xfId="0" applyNumberFormat="1" applyFont="1" applyAlignment="1">
      <alignment horizontal="center" vertical="center"/>
    </xf>
    <xf numFmtId="10" fontId="9" fillId="0" borderId="0" xfId="2" applyNumberFormat="1"/>
    <xf numFmtId="10" fontId="16" fillId="0" borderId="0" xfId="0" applyNumberFormat="1" applyFont="1"/>
    <xf numFmtId="10" fontId="30" fillId="0" borderId="0" xfId="2" applyNumberFormat="1" applyFont="1"/>
    <xf numFmtId="166" fontId="13" fillId="0" borderId="0" xfId="0" applyNumberFormat="1" applyFont="1" applyAlignment="1">
      <alignment horizontal="center" vertical="center"/>
    </xf>
    <xf numFmtId="9" fontId="13" fillId="0" borderId="0" xfId="0" applyNumberFormat="1" applyFont="1"/>
    <xf numFmtId="181" fontId="13" fillId="0" borderId="0" xfId="0" applyNumberFormat="1" applyFont="1"/>
    <xf numFmtId="181" fontId="17" fillId="0" borderId="0" xfId="0" applyNumberFormat="1" applyFont="1"/>
    <xf numFmtId="174" fontId="27" fillId="0" borderId="0" xfId="0" applyNumberFormat="1" applyFont="1"/>
    <xf numFmtId="9" fontId="23" fillId="0" borderId="13" xfId="3" applyNumberFormat="1" applyFont="1" applyBorder="1"/>
    <xf numFmtId="174" fontId="42" fillId="0" borderId="14" xfId="3" applyNumberFormat="1" applyFont="1" applyBorder="1"/>
    <xf numFmtId="10" fontId="12" fillId="0" borderId="0" xfId="3" applyNumberFormat="1" applyFont="1"/>
    <xf numFmtId="0" fontId="2" fillId="0" borderId="0" xfId="3" applyFont="1"/>
    <xf numFmtId="0" fontId="28" fillId="0" borderId="0" xfId="3" applyFont="1" applyAlignment="1">
      <alignment horizontal="left" vertical="center"/>
    </xf>
    <xf numFmtId="37" fontId="23" fillId="0" borderId="0" xfId="3" applyNumberFormat="1" applyFont="1"/>
    <xf numFmtId="0" fontId="11" fillId="0" borderId="0" xfId="3" applyFont="1" applyAlignment="1">
      <alignment horizontal="left" indent="1"/>
    </xf>
    <xf numFmtId="0" fontId="25" fillId="0" borderId="0" xfId="3" applyFont="1" applyAlignment="1">
      <alignment horizontal="right"/>
    </xf>
    <xf numFmtId="37" fontId="20" fillId="0" borderId="0" xfId="3" applyNumberFormat="1" applyFont="1" applyAlignment="1">
      <alignment horizontal="right"/>
    </xf>
    <xf numFmtId="180" fontId="10" fillId="0" borderId="13" xfId="3" applyNumberFormat="1" applyFont="1" applyBorder="1"/>
    <xf numFmtId="0" fontId="8" fillId="0" borderId="3" xfId="3" applyBorder="1"/>
    <xf numFmtId="173" fontId="11" fillId="0" borderId="3" xfId="3" applyNumberFormat="1" applyFont="1" applyBorder="1"/>
    <xf numFmtId="174" fontId="41" fillId="0" borderId="0" xfId="3" applyNumberFormat="1" applyFont="1"/>
    <xf numFmtId="175" fontId="2" fillId="0" borderId="0" xfId="3" applyNumberFormat="1" applyFont="1"/>
    <xf numFmtId="43" fontId="33" fillId="0" borderId="0" xfId="0" applyNumberFormat="1" applyFont="1"/>
    <xf numFmtId="9" fontId="17" fillId="0" borderId="0" xfId="2" applyFont="1"/>
    <xf numFmtId="41" fontId="33" fillId="0" borderId="0" xfId="0" applyNumberFormat="1" applyFont="1"/>
    <xf numFmtId="41" fontId="37" fillId="0" borderId="0" xfId="0" applyNumberFormat="1" applyFont="1"/>
    <xf numFmtId="41" fontId="18" fillId="0" borderId="0" xfId="0" applyNumberFormat="1" applyFont="1"/>
    <xf numFmtId="41" fontId="44" fillId="0" borderId="0" xfId="0" applyNumberFormat="1" applyFont="1"/>
    <xf numFmtId="41" fontId="43" fillId="0" borderId="0" xfId="0" applyNumberFormat="1" applyFont="1"/>
    <xf numFmtId="4" fontId="18" fillId="0" borderId="0" xfId="0" applyNumberFormat="1" applyFont="1"/>
    <xf numFmtId="187" fontId="15" fillId="0" borderId="2" xfId="0" applyNumberFormat="1" applyFont="1" applyBorder="1"/>
    <xf numFmtId="0" fontId="45" fillId="0" borderId="0" xfId="0" applyFont="1"/>
    <xf numFmtId="165" fontId="45" fillId="0" borderId="0" xfId="0" applyNumberFormat="1" applyFont="1"/>
    <xf numFmtId="14" fontId="45" fillId="0" borderId="0" xfId="0" applyNumberFormat="1" applyFont="1"/>
    <xf numFmtId="189" fontId="30" fillId="0" borderId="0" xfId="1" applyNumberFormat="1" applyFont="1"/>
    <xf numFmtId="0" fontId="1" fillId="0" borderId="0" xfId="3" applyFont="1"/>
    <xf numFmtId="187" fontId="18" fillId="0" borderId="3" xfId="0" applyNumberFormat="1" applyFont="1" applyBorder="1"/>
    <xf numFmtId="37" fontId="27" fillId="0" borderId="0" xfId="3" applyNumberFormat="1" applyFont="1"/>
    <xf numFmtId="173" fontId="27" fillId="0" borderId="0" xfId="3" applyNumberFormat="1" applyFont="1"/>
    <xf numFmtId="0" fontId="8" fillId="0" borderId="0" xfId="3" applyBorder="1"/>
    <xf numFmtId="173" fontId="11" fillId="0" borderId="0" xfId="3" applyNumberFormat="1" applyFont="1" applyBorder="1"/>
    <xf numFmtId="41" fontId="9" fillId="0" borderId="13" xfId="2" applyNumberFormat="1" applyBorder="1"/>
  </cellXfs>
  <cellStyles count="8">
    <cellStyle name="Comma" xfId="1" builtinId="3"/>
    <cellStyle name="Hyperlink" xfId="5" builtinId="8"/>
    <cellStyle name="Normal" xfId="0" builtinId="0"/>
    <cellStyle name="Normal 15" xfId="6" xr:uid="{00000000-0005-0000-0000-000006000000}"/>
    <cellStyle name="Normal 2" xfId="3" xr:uid="{00000000-0005-0000-0000-000003000000}"/>
    <cellStyle name="Normal 2 2" xfId="7" xr:uid="{DBAE67C8-160E-49AC-AF22-FF1456715B4B}"/>
    <cellStyle name="Normal_DCF_Model" xfId="4" xr:uid="{00000000-0005-0000-0000-000004000000}"/>
    <cellStyle name="Percent" xfId="2" builtinId="5"/>
  </cellStyles>
  <dxfs count="7">
    <dxf>
      <font>
        <b/>
      </font>
      <fill>
        <patternFill patternType="solid">
          <bgColor theme="2"/>
        </patternFill>
      </fill>
      <border>
        <left/>
        <right/>
        <top/>
        <bottom/>
      </border>
    </dxf>
    <dxf>
      <font>
        <b/>
        <color rgb="FF00B050"/>
      </font>
      <fill>
        <patternFill>
          <bgColor auto="1"/>
        </patternFill>
      </fill>
    </dxf>
    <dxf>
      <font>
        <b/>
        <color theme="5"/>
      </font>
      <fill>
        <patternFill>
          <bgColor auto="1"/>
        </patternFill>
      </fill>
    </dxf>
    <dxf>
      <font>
        <b/>
        <color rgb="FFFF0000"/>
      </font>
      <fill>
        <patternFill>
          <bgColor auto="1"/>
        </patternFill>
      </fill>
    </dxf>
    <dxf>
      <font>
        <b/>
        <color rgb="FF00B050"/>
      </font>
      <fill>
        <patternFill>
          <bgColor auto="1"/>
        </patternFill>
      </fill>
    </dxf>
    <dxf>
      <font>
        <b/>
        <color theme="5"/>
      </font>
      <fill>
        <patternFill>
          <bgColor auto="1"/>
        </patternFill>
      </fill>
    </dxf>
    <dxf>
      <font>
        <b/>
        <color rgb="FFFF0000"/>
      </font>
      <fill>
        <patternFill>
          <bgColor auto="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F4F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C4D7B8-F634-4D63-B054-CDE3BE791163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47d42482-8aac-49bb-a390-ee24cfeb285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O387"/>
  <sheetViews>
    <sheetView showGridLines="0" tabSelected="1" zoomScaleNormal="100" workbookViewId="0">
      <selection activeCell="D246" sqref="D246"/>
    </sheetView>
  </sheetViews>
  <sheetFormatPr defaultColWidth="9.140625" defaultRowHeight="15" x14ac:dyDescent="0.25"/>
  <cols>
    <col min="1" max="2" width="1.7109375" style="6" customWidth="1"/>
    <col min="3" max="3" width="60.7109375" style="6" customWidth="1"/>
    <col min="4" max="7" width="17.140625" style="25" customWidth="1"/>
    <col min="8" max="8" width="19.7109375" style="6" bestFit="1" customWidth="1"/>
    <col min="9" max="9" width="19.85546875" style="6" bestFit="1" customWidth="1"/>
    <col min="10" max="10" width="19" style="6" bestFit="1" customWidth="1"/>
    <col min="11" max="13" width="18" style="6" bestFit="1" customWidth="1"/>
    <col min="14" max="14" width="18.7109375" style="6" bestFit="1" customWidth="1"/>
    <col min="15" max="15" width="2.7109375" style="6" customWidth="1"/>
    <col min="16" max="16" width="9.140625" style="6" customWidth="1"/>
    <col min="17" max="16384" width="9.140625" style="6"/>
  </cols>
  <sheetData>
    <row r="1" spans="3:14" ht="15" customHeight="1" thickBot="1" x14ac:dyDescent="0.3"/>
    <row r="2" spans="3:14" ht="15.75" customHeight="1" thickBot="1" x14ac:dyDescent="0.3">
      <c r="C2" s="2" t="str">
        <f>Company_Name&amp;" - Financial Statement Model"</f>
        <v>Commercial International Bank - Egypt - CIB S.A.E - Financial Statement Model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3:14" x14ac:dyDescent="0.25">
      <c r="C3" s="204" t="s">
        <v>43</v>
      </c>
      <c r="D3" s="9"/>
      <c r="E3" s="9"/>
      <c r="F3" s="9"/>
      <c r="G3" s="9"/>
      <c r="H3" s="9"/>
      <c r="I3" s="9"/>
      <c r="J3" s="9"/>
      <c r="K3" s="9"/>
    </row>
    <row r="4" spans="3:14" ht="15" customHeight="1" x14ac:dyDescent="0.25"/>
    <row r="5" spans="3:14" x14ac:dyDescent="0.25">
      <c r="C5" s="3" t="s">
        <v>44</v>
      </c>
      <c r="D5" s="194" t="s">
        <v>357</v>
      </c>
      <c r="E5" s="194"/>
      <c r="F5" s="194"/>
      <c r="G5" s="194"/>
    </row>
    <row r="6" spans="3:14" x14ac:dyDescent="0.25">
      <c r="C6" s="3" t="s">
        <v>45</v>
      </c>
      <c r="D6" s="4" t="s">
        <v>352</v>
      </c>
      <c r="E6" s="4"/>
      <c r="F6" s="4"/>
      <c r="G6" s="4"/>
    </row>
    <row r="7" spans="3:14" x14ac:dyDescent="0.25">
      <c r="C7" s="6" t="s">
        <v>46</v>
      </c>
      <c r="D7" s="166">
        <v>140.07</v>
      </c>
      <c r="E7" s="166"/>
      <c r="F7" s="166"/>
      <c r="G7" s="166"/>
    </row>
    <row r="8" spans="3:14" x14ac:dyDescent="0.25">
      <c r="C8" s="6" t="s">
        <v>47</v>
      </c>
      <c r="D8" s="5">
        <v>46272</v>
      </c>
      <c r="E8" s="5"/>
      <c r="F8" s="5"/>
      <c r="G8" s="5"/>
    </row>
    <row r="9" spans="3:14" x14ac:dyDescent="0.25">
      <c r="C9" s="3" t="s">
        <v>48</v>
      </c>
      <c r="D9" s="5">
        <v>46022</v>
      </c>
      <c r="E9" s="5"/>
      <c r="F9" s="5"/>
      <c r="G9" s="5"/>
    </row>
    <row r="10" spans="3:14" ht="15" customHeight="1" x14ac:dyDescent="0.25">
      <c r="C10" s="6" t="s">
        <v>26</v>
      </c>
      <c r="D10" s="131">
        <v>3377936000</v>
      </c>
      <c r="E10" s="131"/>
      <c r="F10" s="131"/>
      <c r="G10" s="131"/>
    </row>
    <row r="11" spans="3:14" ht="15" customHeight="1" x14ac:dyDescent="0.25"/>
    <row r="12" spans="3:14" x14ac:dyDescent="0.25">
      <c r="C12" s="28" t="s">
        <v>49</v>
      </c>
      <c r="D12" s="132"/>
      <c r="E12" s="132"/>
      <c r="F12" s="132"/>
      <c r="G12" s="132"/>
      <c r="H12" s="29"/>
      <c r="I12" s="29"/>
      <c r="J12" s="29"/>
      <c r="K12" s="29"/>
      <c r="L12" s="29"/>
      <c r="M12" s="29"/>
      <c r="N12" s="29"/>
    </row>
    <row r="13" spans="3:14" x14ac:dyDescent="0.25">
      <c r="C13" t="s">
        <v>50</v>
      </c>
      <c r="D13" s="30">
        <f t="shared" ref="D13:G13" si="0">E13-1</f>
        <v>2020</v>
      </c>
      <c r="E13" s="30">
        <f t="shared" si="0"/>
        <v>2021</v>
      </c>
      <c r="F13" s="30">
        <f t="shared" si="0"/>
        <v>2022</v>
      </c>
      <c r="G13" s="30">
        <f t="shared" si="0"/>
        <v>2023</v>
      </c>
      <c r="H13" s="30">
        <f>I13-1</f>
        <v>2024</v>
      </c>
      <c r="I13" s="30">
        <f>YEAR(D9)</f>
        <v>2025</v>
      </c>
      <c r="J13" s="31">
        <f>I13+1</f>
        <v>2026</v>
      </c>
      <c r="K13" s="31">
        <f>J13+1</f>
        <v>2027</v>
      </c>
      <c r="L13" s="31">
        <f>K13+1</f>
        <v>2028</v>
      </c>
      <c r="M13" s="31">
        <f>L13+1</f>
        <v>2029</v>
      </c>
      <c r="N13" s="31">
        <f>M13+1</f>
        <v>2030</v>
      </c>
    </row>
    <row r="14" spans="3:14" x14ac:dyDescent="0.25">
      <c r="C14" s="32" t="s">
        <v>51</v>
      </c>
      <c r="D14" s="124">
        <f t="shared" ref="D14:G14" si="1">EOMONTH(E14,-12)</f>
        <v>44196</v>
      </c>
      <c r="E14" s="124">
        <f t="shared" si="1"/>
        <v>44561</v>
      </c>
      <c r="F14" s="124">
        <f t="shared" si="1"/>
        <v>44926</v>
      </c>
      <c r="G14" s="124">
        <f t="shared" si="1"/>
        <v>45291</v>
      </c>
      <c r="H14" s="124">
        <f>EOMONTH(I14,-12)</f>
        <v>45657</v>
      </c>
      <c r="I14" s="124">
        <f>D9</f>
        <v>46022</v>
      </c>
      <c r="J14" s="124">
        <f>EOMONTH(I14,12)</f>
        <v>46387</v>
      </c>
      <c r="K14" s="124">
        <f>EOMONTH(J14,12)</f>
        <v>46752</v>
      </c>
      <c r="L14" s="124">
        <f>EOMONTH(K14,12)</f>
        <v>47118</v>
      </c>
      <c r="M14" s="124">
        <f>EOMONTH(L14,12)</f>
        <v>47483</v>
      </c>
      <c r="N14" s="124">
        <f>EOMONTH(M14,12)</f>
        <v>47848</v>
      </c>
    </row>
    <row r="15" spans="3:14" ht="15" customHeight="1" x14ac:dyDescent="0.25"/>
    <row r="16" spans="3:14" ht="15" customHeight="1" x14ac:dyDescent="0.25">
      <c r="C16" s="6" t="s">
        <v>124</v>
      </c>
      <c r="D16" s="103">
        <v>42196235000</v>
      </c>
      <c r="E16" s="103">
        <v>45078169000</v>
      </c>
      <c r="F16" s="103">
        <v>55723701000</v>
      </c>
      <c r="G16" s="103">
        <v>104028379000</v>
      </c>
      <c r="H16" s="103">
        <v>182735474000</v>
      </c>
      <c r="I16" s="103">
        <v>211600177000</v>
      </c>
      <c r="J16" s="102">
        <f>J113</f>
        <v>228537480660</v>
      </c>
      <c r="K16" s="102">
        <f t="shared" ref="K16:N16" si="2">K113</f>
        <v>239463311995.20001</v>
      </c>
      <c r="L16" s="102">
        <f t="shared" si="2"/>
        <v>246801197892.74405</v>
      </c>
      <c r="M16" s="102">
        <f t="shared" si="2"/>
        <v>258454124794.69778</v>
      </c>
      <c r="N16" s="102">
        <f t="shared" si="2"/>
        <v>273052595870.19107</v>
      </c>
    </row>
    <row r="17" spans="3:14" ht="15" customHeight="1" x14ac:dyDescent="0.25">
      <c r="C17" s="6" t="s">
        <v>125</v>
      </c>
      <c r="D17" s="103">
        <v>-17023815000</v>
      </c>
      <c r="E17" s="103">
        <v>-20112378000</v>
      </c>
      <c r="F17" s="103">
        <v>-24718803000</v>
      </c>
      <c r="G17" s="103">
        <v>-51098717000</v>
      </c>
      <c r="H17" s="103">
        <v>-91671252000</v>
      </c>
      <c r="I17" s="103">
        <v>-103900546000</v>
      </c>
      <c r="J17" s="102">
        <f>J132</f>
        <v>-112274821150.00002</v>
      </c>
      <c r="K17" s="102">
        <f t="shared" ref="K17:N17" si="3">K132</f>
        <v>-118786956736.00002</v>
      </c>
      <c r="L17" s="102">
        <f t="shared" si="3"/>
        <v>-122913974324.32001</v>
      </c>
      <c r="M17" s="102">
        <f t="shared" si="3"/>
        <v>-128706104642.53603</v>
      </c>
      <c r="N17" s="102">
        <f t="shared" si="3"/>
        <v>-135929915035.01779</v>
      </c>
    </row>
    <row r="18" spans="3:14" s="172" customFormat="1" ht="15" customHeight="1" x14ac:dyDescent="0.25">
      <c r="C18" s="205" t="s">
        <v>126</v>
      </c>
      <c r="D18" s="121">
        <f>SUM(D16:D17)</f>
        <v>25172420000</v>
      </c>
      <c r="E18" s="121">
        <f t="shared" ref="E18:I18" si="4">SUM(E16:E17)</f>
        <v>24965791000</v>
      </c>
      <c r="F18" s="121">
        <f t="shared" si="4"/>
        <v>31004898000</v>
      </c>
      <c r="G18" s="121">
        <f t="shared" si="4"/>
        <v>52929662000</v>
      </c>
      <c r="H18" s="121">
        <f t="shared" si="4"/>
        <v>91064222000</v>
      </c>
      <c r="I18" s="121">
        <f t="shared" si="4"/>
        <v>107699631000</v>
      </c>
      <c r="J18" s="121">
        <f t="shared" ref="J18" si="5">SUM(J16:J17)</f>
        <v>116262659509.99998</v>
      </c>
      <c r="K18" s="121">
        <f t="shared" ref="K18" si="6">SUM(K16:K17)</f>
        <v>120676355259.2</v>
      </c>
      <c r="L18" s="121">
        <f t="shared" ref="L18" si="7">SUM(L16:L17)</f>
        <v>123887223568.42404</v>
      </c>
      <c r="M18" s="121">
        <f t="shared" ref="M18" si="8">SUM(M16:M17)</f>
        <v>129748020152.16176</v>
      </c>
      <c r="N18" s="121">
        <f t="shared" ref="N18" si="9">SUM(N16:N17)</f>
        <v>137122680835.17328</v>
      </c>
    </row>
    <row r="19" spans="3:14" s="15" customFormat="1" ht="15" customHeight="1" x14ac:dyDescent="0.25">
      <c r="C19" s="206" t="s">
        <v>127</v>
      </c>
      <c r="D19" s="103">
        <v>3059264000</v>
      </c>
      <c r="E19" s="103">
        <v>4045573000</v>
      </c>
      <c r="F19" s="103">
        <v>5555082000</v>
      </c>
      <c r="G19" s="103">
        <v>9049924000</v>
      </c>
      <c r="H19" s="103">
        <v>12813876000</v>
      </c>
      <c r="I19" s="103">
        <v>16036009000</v>
      </c>
      <c r="J19" s="102">
        <f>J295</f>
        <v>18907359250</v>
      </c>
      <c r="K19" s="102">
        <f t="shared" ref="K19:N19" si="10">K295</f>
        <v>22004420741</v>
      </c>
      <c r="L19" s="102">
        <f t="shared" si="10"/>
        <v>25036795442.400002</v>
      </c>
      <c r="M19" s="102">
        <f t="shared" si="10"/>
        <v>28089830518.500004</v>
      </c>
      <c r="N19" s="102">
        <f t="shared" si="10"/>
        <v>31247600620.692009</v>
      </c>
    </row>
    <row r="20" spans="3:14" s="15" customFormat="1" ht="15" customHeight="1" x14ac:dyDescent="0.25">
      <c r="C20" s="206" t="s">
        <v>128</v>
      </c>
      <c r="D20" s="103">
        <v>-983450000</v>
      </c>
      <c r="E20" s="103">
        <v>-1655096000</v>
      </c>
      <c r="F20" s="103">
        <v>-2476945000</v>
      </c>
      <c r="G20" s="103">
        <v>-3611699000</v>
      </c>
      <c r="H20" s="103">
        <v>-5728656000</v>
      </c>
      <c r="I20" s="103">
        <v>-6816966000</v>
      </c>
      <c r="J20" s="102">
        <f>J298</f>
        <v>-8112029321.5644293</v>
      </c>
      <c r="K20" s="102">
        <f t="shared" ref="K20:N20" si="11">K298</f>
        <v>-9653124236.4889393</v>
      </c>
      <c r="L20" s="102">
        <f t="shared" si="11"/>
        <v>-11486990965.057259</v>
      </c>
      <c r="M20" s="102">
        <f t="shared" si="11"/>
        <v>-13669249270.876541</v>
      </c>
      <c r="N20" s="102">
        <f t="shared" si="11"/>
        <v>-16266085365.413837</v>
      </c>
    </row>
    <row r="21" spans="3:14" s="172" customFormat="1" ht="15" customHeight="1" x14ac:dyDescent="0.25">
      <c r="C21" s="205" t="s">
        <v>129</v>
      </c>
      <c r="D21" s="121">
        <f>SUM(D19:D20)</f>
        <v>2075814000</v>
      </c>
      <c r="E21" s="121">
        <f t="shared" ref="E21:I21" si="12">SUM(E19:E20)</f>
        <v>2390477000</v>
      </c>
      <c r="F21" s="121">
        <f t="shared" si="12"/>
        <v>3078137000</v>
      </c>
      <c r="G21" s="121">
        <f t="shared" si="12"/>
        <v>5438225000</v>
      </c>
      <c r="H21" s="121">
        <f t="shared" si="12"/>
        <v>7085220000</v>
      </c>
      <c r="I21" s="121">
        <f t="shared" si="12"/>
        <v>9219043000</v>
      </c>
      <c r="J21" s="121">
        <f t="shared" ref="J21:N21" si="13">SUM(J19:J20)</f>
        <v>10795329928.43557</v>
      </c>
      <c r="K21" s="121">
        <f t="shared" si="13"/>
        <v>12351296504.511061</v>
      </c>
      <c r="L21" s="121">
        <f t="shared" si="13"/>
        <v>13549804477.342743</v>
      </c>
      <c r="M21" s="121">
        <f t="shared" si="13"/>
        <v>14420581247.623463</v>
      </c>
      <c r="N21" s="121">
        <f t="shared" si="13"/>
        <v>14981515255.278172</v>
      </c>
    </row>
    <row r="22" spans="3:14" ht="15" customHeight="1" x14ac:dyDescent="0.25">
      <c r="C22" s="123" t="s">
        <v>130</v>
      </c>
      <c r="D22" s="103">
        <v>50175000</v>
      </c>
      <c r="E22" s="103">
        <v>59725000</v>
      </c>
      <c r="F22" s="103">
        <v>52411000</v>
      </c>
      <c r="G22" s="103">
        <v>234010000</v>
      </c>
      <c r="H22" s="103">
        <v>195047000</v>
      </c>
      <c r="I22" s="103">
        <v>216273000</v>
      </c>
      <c r="J22" s="102">
        <f>I22</f>
        <v>216273000</v>
      </c>
      <c r="K22" s="102">
        <f t="shared" ref="K22:N22" si="14">J22</f>
        <v>216273000</v>
      </c>
      <c r="L22" s="102">
        <f t="shared" si="14"/>
        <v>216273000</v>
      </c>
      <c r="M22" s="102">
        <f t="shared" si="14"/>
        <v>216273000</v>
      </c>
      <c r="N22" s="102">
        <f t="shared" si="14"/>
        <v>216273000</v>
      </c>
    </row>
    <row r="23" spans="3:14" ht="15" customHeight="1" x14ac:dyDescent="0.25">
      <c r="C23" s="123" t="s">
        <v>131</v>
      </c>
      <c r="D23" s="103">
        <v>406631000</v>
      </c>
      <c r="E23" s="103">
        <v>708297000</v>
      </c>
      <c r="F23" s="103">
        <v>2749657000</v>
      </c>
      <c r="G23" s="103">
        <v>3942939000</v>
      </c>
      <c r="H23" s="103">
        <v>20472067000</v>
      </c>
      <c r="I23" s="103">
        <v>1800665000</v>
      </c>
      <c r="J23" s="102">
        <f>J18*J47</f>
        <v>1943833046.0628424</v>
      </c>
      <c r="K23" s="102">
        <f t="shared" ref="K23:N23" si="15">K18*K47</f>
        <v>2017627054.2914615</v>
      </c>
      <c r="L23" s="102">
        <f t="shared" si="15"/>
        <v>2071310601.1183667</v>
      </c>
      <c r="M23" s="102">
        <f t="shared" si="15"/>
        <v>2169299156.7194171</v>
      </c>
      <c r="N23" s="102">
        <f t="shared" si="15"/>
        <v>2292598496.3315921</v>
      </c>
    </row>
    <row r="24" spans="3:14" ht="15" customHeight="1" x14ac:dyDescent="0.25">
      <c r="C24" s="123" t="s">
        <v>132</v>
      </c>
      <c r="D24" s="103">
        <v>922832000</v>
      </c>
      <c r="E24" s="103">
        <v>594863000</v>
      </c>
      <c r="F24" s="103">
        <v>1162195000</v>
      </c>
      <c r="G24" s="103">
        <v>221810000</v>
      </c>
      <c r="H24" s="103">
        <v>459337000</v>
      </c>
      <c r="I24" s="103">
        <v>775841000</v>
      </c>
      <c r="J24" s="102">
        <f>J18*J48</f>
        <v>837526899.39019287</v>
      </c>
      <c r="K24" s="102">
        <f t="shared" ref="K24:N24" si="16">K18*K48</f>
        <v>869322051.25803065</v>
      </c>
      <c r="L24" s="102">
        <f t="shared" si="16"/>
        <v>892452337.37662184</v>
      </c>
      <c r="M24" s="102">
        <f t="shared" si="16"/>
        <v>934672038.9680196</v>
      </c>
      <c r="N24" s="102">
        <f t="shared" si="16"/>
        <v>987797236.01691508</v>
      </c>
    </row>
    <row r="25" spans="3:14" ht="15" customHeight="1" x14ac:dyDescent="0.25">
      <c r="C25" s="123" t="s">
        <v>133</v>
      </c>
      <c r="D25" s="103">
        <v>-5625883000</v>
      </c>
      <c r="E25" s="103">
        <v>-6182730000</v>
      </c>
      <c r="F25" s="103">
        <v>-7371629000</v>
      </c>
      <c r="G25" s="103">
        <v>-10076013000</v>
      </c>
      <c r="H25" s="103">
        <v>-13895619000</v>
      </c>
      <c r="I25" s="103">
        <v>-17561606000</v>
      </c>
      <c r="J25" s="102">
        <f>-J18*J49</f>
        <v>-18957901711.165314</v>
      </c>
      <c r="K25" s="102">
        <f t="shared" ref="K25:N25" si="17">-K18*K49</f>
        <v>-19677603209.040691</v>
      </c>
      <c r="L25" s="102">
        <f t="shared" si="17"/>
        <v>-20201170501.155914</v>
      </c>
      <c r="M25" s="102">
        <f t="shared" si="17"/>
        <v>-21156837660.774574</v>
      </c>
      <c r="N25" s="102">
        <f t="shared" si="17"/>
        <v>-22359356964.659092</v>
      </c>
    </row>
    <row r="26" spans="3:14" ht="15" customHeight="1" x14ac:dyDescent="0.25">
      <c r="C26" s="123" t="s">
        <v>134</v>
      </c>
      <c r="D26" s="103">
        <v>-2742996000</v>
      </c>
      <c r="E26" s="103">
        <v>-1986692000</v>
      </c>
      <c r="F26" s="103">
        <v>-5080138000</v>
      </c>
      <c r="G26" s="103">
        <v>-6590740000</v>
      </c>
      <c r="H26" s="103">
        <v>-23702991000</v>
      </c>
      <c r="I26" s="103">
        <v>604504000</v>
      </c>
      <c r="J26" s="102">
        <f>-J18*J50</f>
        <v>-6975759570.5999985</v>
      </c>
      <c r="K26" s="102">
        <f t="shared" ref="K26:N26" si="18">-K18*K50</f>
        <v>-7240581315.5519991</v>
      </c>
      <c r="L26" s="102">
        <f t="shared" si="18"/>
        <v>-7433233414.105442</v>
      </c>
      <c r="M26" s="102">
        <f t="shared" si="18"/>
        <v>-7784881209.1297054</v>
      </c>
      <c r="N26" s="102">
        <f t="shared" si="18"/>
        <v>-8227360850.1103964</v>
      </c>
    </row>
    <row r="27" spans="3:14" ht="15" customHeight="1" x14ac:dyDescent="0.25">
      <c r="C27" s="123" t="s">
        <v>135</v>
      </c>
      <c r="D27" s="103">
        <v>-27505000</v>
      </c>
      <c r="E27" s="103">
        <v>-41257000</v>
      </c>
      <c r="F27" s="103">
        <v>-41257000</v>
      </c>
      <c r="G27" s="103">
        <v>-96268000</v>
      </c>
      <c r="H27" s="103">
        <v>0</v>
      </c>
      <c r="I27" s="103">
        <v>0</v>
      </c>
      <c r="J27" s="102">
        <v>0</v>
      </c>
      <c r="K27" s="102">
        <f>J27</f>
        <v>0</v>
      </c>
      <c r="L27" s="102">
        <f t="shared" ref="L27:N27" si="19">K27</f>
        <v>0</v>
      </c>
      <c r="M27" s="102">
        <f t="shared" si="19"/>
        <v>0</v>
      </c>
      <c r="N27" s="102">
        <f t="shared" si="19"/>
        <v>0</v>
      </c>
    </row>
    <row r="28" spans="3:14" ht="15" customHeight="1" x14ac:dyDescent="0.25">
      <c r="C28" s="123" t="s">
        <v>96</v>
      </c>
      <c r="D28" s="103">
        <v>-6911000</v>
      </c>
      <c r="E28" s="103">
        <v>-10366000</v>
      </c>
      <c r="F28" s="103">
        <v>-10366000</v>
      </c>
      <c r="G28" s="103">
        <v>-24188000</v>
      </c>
      <c r="H28" s="103">
        <v>0</v>
      </c>
      <c r="I28" s="103">
        <v>0</v>
      </c>
      <c r="J28" s="102">
        <v>0</v>
      </c>
      <c r="K28" s="102">
        <f>J28</f>
        <v>0</v>
      </c>
      <c r="L28" s="102">
        <f t="shared" ref="L28:N28" si="20">K28</f>
        <v>0</v>
      </c>
      <c r="M28" s="102">
        <f t="shared" si="20"/>
        <v>0</v>
      </c>
      <c r="N28" s="102">
        <f t="shared" si="20"/>
        <v>0</v>
      </c>
    </row>
    <row r="29" spans="3:14" ht="15" customHeight="1" x14ac:dyDescent="0.25">
      <c r="C29" s="123" t="s">
        <v>136</v>
      </c>
      <c r="D29" s="103">
        <v>-5018781000</v>
      </c>
      <c r="E29" s="103">
        <v>-1679747000</v>
      </c>
      <c r="F29" s="103">
        <v>-1584942000</v>
      </c>
      <c r="G29" s="103">
        <v>-4270081000</v>
      </c>
      <c r="H29" s="103">
        <v>-4523819000</v>
      </c>
      <c r="I29" s="103">
        <v>8817158000</v>
      </c>
      <c r="J29" s="102">
        <f>-J277</f>
        <v>-4653214231.7941256</v>
      </c>
      <c r="K29" s="102">
        <f t="shared" ref="K29:N29" si="21">-K277</f>
        <v>-5149605884.4671631</v>
      </c>
      <c r="L29" s="102">
        <f t="shared" si="21"/>
        <v>-5698951186.0738459</v>
      </c>
      <c r="M29" s="102">
        <f t="shared" si="21"/>
        <v>-6306899081.1930923</v>
      </c>
      <c r="N29" s="102">
        <f t="shared" si="21"/>
        <v>-6979701127.736392</v>
      </c>
    </row>
    <row r="30" spans="3:14" ht="15" customHeight="1" x14ac:dyDescent="0.25">
      <c r="C30" s="123" t="s">
        <v>137</v>
      </c>
      <c r="D30" s="103">
        <v>8086000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02">
        <v>0</v>
      </c>
      <c r="K30" s="102">
        <f>J30</f>
        <v>0</v>
      </c>
      <c r="L30" s="102">
        <f t="shared" ref="L30:N30" si="22">K30</f>
        <v>0</v>
      </c>
      <c r="M30" s="102">
        <f t="shared" si="22"/>
        <v>0</v>
      </c>
      <c r="N30" s="102">
        <f t="shared" si="22"/>
        <v>0</v>
      </c>
    </row>
    <row r="31" spans="3:14" ht="15" customHeight="1" x14ac:dyDescent="0.25">
      <c r="C31" s="123" t="s">
        <v>138</v>
      </c>
      <c r="D31" s="103">
        <v>22426000</v>
      </c>
      <c r="E31" s="103">
        <v>14996000</v>
      </c>
      <c r="F31" s="103">
        <v>-17680000</v>
      </c>
      <c r="G31" s="103">
        <v>-55983000</v>
      </c>
      <c r="H31" s="103">
        <v>-17786000</v>
      </c>
      <c r="I31" s="103">
        <v>10512000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</row>
    <row r="32" spans="3:14" s="27" customFormat="1" ht="15" customHeight="1" x14ac:dyDescent="0.25">
      <c r="C32" s="173" t="s">
        <v>139</v>
      </c>
      <c r="D32" s="121">
        <f>D18+D21+SUM(D22:D31)</f>
        <v>15236308000</v>
      </c>
      <c r="E32" s="121">
        <f t="shared" ref="E32:I32" si="23">E18+E21+SUM(E22:E31)</f>
        <v>18833357000</v>
      </c>
      <c r="F32" s="121">
        <f t="shared" si="23"/>
        <v>23941286000</v>
      </c>
      <c r="G32" s="121">
        <f t="shared" si="23"/>
        <v>41653373000</v>
      </c>
      <c r="H32" s="121">
        <f t="shared" si="23"/>
        <v>77135678000</v>
      </c>
      <c r="I32" s="121">
        <f t="shared" si="23"/>
        <v>111582021000</v>
      </c>
      <c r="J32" s="121">
        <f t="shared" ref="J32" si="24">J18+J21+SUM(J22:J31)</f>
        <v>99468746870.329147</v>
      </c>
      <c r="K32" s="121">
        <f t="shared" ref="K32" si="25">K18+K21+SUM(K22:K31)</f>
        <v>104063083460.2007</v>
      </c>
      <c r="L32" s="121">
        <f t="shared" ref="L32" si="26">L18+L21+SUM(L22:L31)</f>
        <v>107283708882.92657</v>
      </c>
      <c r="M32" s="121">
        <f t="shared" ref="M32" si="27">M18+M21+SUM(M22:M31)</f>
        <v>112240227644.37527</v>
      </c>
      <c r="N32" s="121">
        <f t="shared" ref="N32" si="28">N18+N21+SUM(N22:N31)</f>
        <v>118034445880.29407</v>
      </c>
    </row>
    <row r="33" spans="3:14" ht="15" customHeight="1" x14ac:dyDescent="0.25">
      <c r="C33" s="6" t="s">
        <v>88</v>
      </c>
      <c r="D33" s="103">
        <v>-5087418000</v>
      </c>
      <c r="E33" s="103">
        <v>-5679734000</v>
      </c>
      <c r="F33" s="103">
        <v>-6345103000</v>
      </c>
      <c r="G33" s="103">
        <v>-13099948000</v>
      </c>
      <c r="H33" s="103">
        <v>-23548933000</v>
      </c>
      <c r="I33" s="103">
        <v>-29895128000</v>
      </c>
      <c r="J33" s="102">
        <f>J32*-J51</f>
        <v>-25861874186.28558</v>
      </c>
      <c r="K33" s="102">
        <f>K32*-K51</f>
        <v>-27056401699.652184</v>
      </c>
      <c r="L33" s="102">
        <f>L32*-L51</f>
        <v>-27893764309.560909</v>
      </c>
      <c r="M33" s="102">
        <f>M32*-M51</f>
        <v>-29182459187.537571</v>
      </c>
      <c r="N33" s="102">
        <f>N32*-N51</f>
        <v>-30688955928.876457</v>
      </c>
    </row>
    <row r="34" spans="3:14" ht="15" customHeight="1" x14ac:dyDescent="0.25">
      <c r="C34" s="6" t="s">
        <v>140</v>
      </c>
      <c r="D34" s="103">
        <v>87433000</v>
      </c>
      <c r="E34" s="103">
        <v>114135000</v>
      </c>
      <c r="F34" s="103">
        <v>-1424033000</v>
      </c>
      <c r="G34" s="103">
        <v>1157542000</v>
      </c>
      <c r="H34" s="103">
        <v>1669987000</v>
      </c>
      <c r="I34" s="103">
        <v>571922000</v>
      </c>
      <c r="J34" s="102">
        <v>0</v>
      </c>
      <c r="K34" s="102">
        <f>J34</f>
        <v>0</v>
      </c>
      <c r="L34" s="102">
        <f t="shared" ref="L34:N36" si="29">K34</f>
        <v>0</v>
      </c>
      <c r="M34" s="102">
        <f t="shared" si="29"/>
        <v>0</v>
      </c>
      <c r="N34" s="102">
        <f t="shared" si="29"/>
        <v>0</v>
      </c>
    </row>
    <row r="35" spans="3:14" s="33" customFormat="1" ht="15" customHeight="1" x14ac:dyDescent="0.25">
      <c r="C35" s="33" t="s">
        <v>141</v>
      </c>
      <c r="D35" s="121">
        <f>SUM(D32:D34)</f>
        <v>10236323000</v>
      </c>
      <c r="E35" s="121">
        <f t="shared" ref="E35:I35" si="30">SUM(E32:E34)</f>
        <v>13267758000</v>
      </c>
      <c r="F35" s="121">
        <f t="shared" si="30"/>
        <v>16172150000</v>
      </c>
      <c r="G35" s="121">
        <f t="shared" si="30"/>
        <v>29710967000</v>
      </c>
      <c r="H35" s="121">
        <f t="shared" si="30"/>
        <v>55256732000</v>
      </c>
      <c r="I35" s="121">
        <f t="shared" si="30"/>
        <v>82258815000</v>
      </c>
      <c r="J35" s="121">
        <f t="shared" ref="J35" si="31">SUM(J32:J34)</f>
        <v>73606872684.043564</v>
      </c>
      <c r="K35" s="121">
        <f t="shared" ref="K35" si="32">SUM(K32:K34)</f>
        <v>77006681760.548523</v>
      </c>
      <c r="L35" s="121">
        <f t="shared" ref="L35" si="33">SUM(L32:L34)</f>
        <v>79389944573.365662</v>
      </c>
      <c r="M35" s="121">
        <f t="shared" ref="M35" si="34">SUM(M32:M34)</f>
        <v>83057768456.837708</v>
      </c>
      <c r="N35" s="121">
        <f t="shared" ref="N35" si="35">SUM(N32:N34)</f>
        <v>87345489951.417603</v>
      </c>
    </row>
    <row r="36" spans="3:14" ht="15" customHeight="1" x14ac:dyDescent="0.25">
      <c r="C36" s="6" t="s">
        <v>142</v>
      </c>
      <c r="D36" s="103">
        <v>0</v>
      </c>
      <c r="E36" s="103">
        <v>0</v>
      </c>
      <c r="F36" s="103">
        <v>0</v>
      </c>
      <c r="G36" s="103">
        <v>-42102000</v>
      </c>
      <c r="H36" s="103">
        <v>0</v>
      </c>
      <c r="I36" s="103">
        <v>0</v>
      </c>
      <c r="J36" s="102">
        <v>0</v>
      </c>
      <c r="K36" s="102">
        <f>J36</f>
        <v>0</v>
      </c>
      <c r="L36" s="102">
        <f t="shared" si="29"/>
        <v>0</v>
      </c>
      <c r="M36" s="102">
        <f t="shared" si="29"/>
        <v>0</v>
      </c>
      <c r="N36" s="102">
        <f t="shared" si="29"/>
        <v>0</v>
      </c>
    </row>
    <row r="37" spans="3:14" s="33" customFormat="1" ht="15" customHeight="1" x14ac:dyDescent="0.25">
      <c r="C37" s="33" t="s">
        <v>143</v>
      </c>
      <c r="D37" s="121">
        <f>SUM(D35:D36)</f>
        <v>10236323000</v>
      </c>
      <c r="E37" s="121">
        <f t="shared" ref="E37:I37" si="36">SUM(E35:E36)</f>
        <v>13267758000</v>
      </c>
      <c r="F37" s="121">
        <f t="shared" si="36"/>
        <v>16172150000</v>
      </c>
      <c r="G37" s="121">
        <f t="shared" si="36"/>
        <v>29668865000</v>
      </c>
      <c r="H37" s="121">
        <f t="shared" si="36"/>
        <v>55256732000</v>
      </c>
      <c r="I37" s="121">
        <f t="shared" si="36"/>
        <v>82258815000</v>
      </c>
      <c r="J37" s="121">
        <f t="shared" ref="J37" si="37">SUM(J35:J36)</f>
        <v>73606872684.043564</v>
      </c>
      <c r="K37" s="121">
        <f t="shared" ref="K37" si="38">SUM(K35:K36)</f>
        <v>77006681760.548523</v>
      </c>
      <c r="L37" s="121">
        <f t="shared" ref="L37" si="39">SUM(L35:L36)</f>
        <v>79389944573.365662</v>
      </c>
      <c r="M37" s="121">
        <f t="shared" ref="M37" si="40">SUM(M35:M36)</f>
        <v>83057768456.837708</v>
      </c>
      <c r="N37" s="121">
        <f t="shared" ref="N37" si="41">SUM(N35:N36)</f>
        <v>87345489951.417603</v>
      </c>
    </row>
    <row r="38" spans="3:14" s="27" customFormat="1" ht="15" customHeight="1" x14ac:dyDescent="0.25">
      <c r="C38" s="27" t="s">
        <v>145</v>
      </c>
      <c r="D38" s="171">
        <f>D37-D39</f>
        <v>10238157000</v>
      </c>
      <c r="E38" s="171">
        <f t="shared" ref="E38:I38" si="42">E37-E39</f>
        <v>13272209000</v>
      </c>
      <c r="F38" s="171">
        <f t="shared" si="42"/>
        <v>16114388000</v>
      </c>
      <c r="G38" s="171">
        <f t="shared" si="42"/>
        <v>29634542000</v>
      </c>
      <c r="H38" s="171">
        <f t="shared" si="42"/>
        <v>55196394000</v>
      </c>
      <c r="I38" s="171">
        <f t="shared" si="42"/>
        <v>82238852000</v>
      </c>
      <c r="J38" s="171">
        <f t="shared" ref="J38" si="43">J37-J39</f>
        <v>73606872684.043564</v>
      </c>
      <c r="K38" s="171">
        <f t="shared" ref="K38" si="44">K37-K39</f>
        <v>77006681760.548523</v>
      </c>
      <c r="L38" s="171">
        <f t="shared" ref="L38" si="45">L37-L39</f>
        <v>79389944573.365662</v>
      </c>
      <c r="M38" s="171">
        <f t="shared" ref="M38" si="46">M37-M39</f>
        <v>83057768456.837708</v>
      </c>
      <c r="N38" s="171">
        <f t="shared" ref="N38" si="47">N37-N39</f>
        <v>87345489951.417603</v>
      </c>
    </row>
    <row r="39" spans="3:14" s="27" customFormat="1" ht="15" customHeight="1" x14ac:dyDescent="0.25">
      <c r="C39" s="27" t="s">
        <v>144</v>
      </c>
      <c r="D39" s="128">
        <v>-1834000</v>
      </c>
      <c r="E39" s="128">
        <v>-4451000</v>
      </c>
      <c r="F39" s="128">
        <v>57762000</v>
      </c>
      <c r="G39" s="128">
        <v>34323000</v>
      </c>
      <c r="H39" s="128">
        <v>60338000</v>
      </c>
      <c r="I39" s="128">
        <v>19963000</v>
      </c>
      <c r="J39" s="128">
        <f>J219</f>
        <v>0</v>
      </c>
      <c r="K39" s="128">
        <f t="shared" ref="K39:N39" si="48">K219</f>
        <v>0</v>
      </c>
      <c r="L39" s="128">
        <f t="shared" si="48"/>
        <v>0</v>
      </c>
      <c r="M39" s="128">
        <f t="shared" si="48"/>
        <v>0</v>
      </c>
      <c r="N39" s="128">
        <f t="shared" si="48"/>
        <v>0</v>
      </c>
    </row>
    <row r="40" spans="3:14" s="27" customFormat="1" ht="15" customHeight="1" x14ac:dyDescent="0.25"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</row>
    <row r="41" spans="3:14" s="33" customFormat="1" ht="15" customHeight="1" x14ac:dyDescent="0.25">
      <c r="C41" s="33" t="s">
        <v>286</v>
      </c>
      <c r="D41" s="14">
        <f>D18+D21+D22+D23+D24</f>
        <v>28627872000</v>
      </c>
      <c r="E41" s="14">
        <f t="shared" ref="E41:N41" si="49">E18+E21+E22+E23+E24</f>
        <v>28719153000</v>
      </c>
      <c r="F41" s="14">
        <f t="shared" si="49"/>
        <v>38047298000</v>
      </c>
      <c r="G41" s="14">
        <f t="shared" si="49"/>
        <v>62766646000</v>
      </c>
      <c r="H41" s="14">
        <f t="shared" si="49"/>
        <v>119275893000</v>
      </c>
      <c r="I41" s="14">
        <f t="shared" si="49"/>
        <v>119711453000</v>
      </c>
      <c r="J41" s="14">
        <f t="shared" si="49"/>
        <v>130055622383.88858</v>
      </c>
      <c r="K41" s="14">
        <f t="shared" si="49"/>
        <v>136130873869.26054</v>
      </c>
      <c r="L41" s="14">
        <f t="shared" si="49"/>
        <v>140617063984.26178</v>
      </c>
      <c r="M41" s="14">
        <f t="shared" si="49"/>
        <v>147488845595.47266</v>
      </c>
      <c r="N41" s="14">
        <f t="shared" si="49"/>
        <v>155600864822.79996</v>
      </c>
    </row>
    <row r="42" spans="3:14" ht="15" customHeight="1" x14ac:dyDescent="0.25"/>
    <row r="43" spans="3:14" ht="15" customHeight="1" x14ac:dyDescent="0.25">
      <c r="C43" s="20" t="s">
        <v>52</v>
      </c>
      <c r="D43" s="21"/>
      <c r="E43" s="21"/>
      <c r="F43" s="21"/>
      <c r="G43" s="21"/>
      <c r="H43" s="21"/>
      <c r="I43" s="14"/>
      <c r="K43" s="21"/>
      <c r="L43" s="21"/>
      <c r="M43" s="21"/>
      <c r="N43" s="21"/>
    </row>
    <row r="44" spans="3:14" ht="15" customHeight="1" x14ac:dyDescent="0.25">
      <c r="C44" s="17" t="s">
        <v>177</v>
      </c>
      <c r="D44" s="114">
        <f>D18/21578619000-1</f>
        <v>0.16654453188130347</v>
      </c>
      <c r="E44" s="114">
        <f>E18/D18-1</f>
        <v>-8.2085472910431445E-3</v>
      </c>
      <c r="F44" s="114">
        <f t="shared" ref="F44:I44" si="50">F18/E18-1</f>
        <v>0.24189527982510151</v>
      </c>
      <c r="G44" s="114">
        <f t="shared" si="50"/>
        <v>0.70713872369455943</v>
      </c>
      <c r="H44" s="114">
        <f t="shared" si="50"/>
        <v>0.72047616703087969</v>
      </c>
      <c r="I44" s="114">
        <f t="shared" si="50"/>
        <v>0.1826777699808384</v>
      </c>
      <c r="J44" s="114">
        <f t="shared" ref="J44" si="51">J18/I18-1</f>
        <v>7.9508429420709792E-2</v>
      </c>
      <c r="K44" s="114">
        <f t="shared" ref="K44" si="52">K18/J18-1</f>
        <v>3.796314111342336E-2</v>
      </c>
      <c r="L44" s="114">
        <f t="shared" ref="L44" si="53">L18/K18-1</f>
        <v>2.6607269521253363E-2</v>
      </c>
      <c r="M44" s="114">
        <f t="shared" ref="M44" si="54">M18/L18-1</f>
        <v>4.7307514164289577E-2</v>
      </c>
      <c r="N44" s="114">
        <f t="shared" ref="N44" si="55">N18/M18-1</f>
        <v>5.683832920427534E-2</v>
      </c>
    </row>
    <row r="45" spans="3:14" ht="15" customHeight="1" x14ac:dyDescent="0.25">
      <c r="C45" s="17" t="s">
        <v>379</v>
      </c>
      <c r="D45" s="218"/>
      <c r="E45" s="218">
        <f>E21/D21-1</f>
        <v>0.15158535398643624</v>
      </c>
      <c r="F45" s="218">
        <f t="shared" ref="F45:N45" si="56">F21/E21-1</f>
        <v>0.28766643644762113</v>
      </c>
      <c r="G45" s="218">
        <f t="shared" si="56"/>
        <v>0.76672610738248492</v>
      </c>
      <c r="H45" s="218">
        <f t="shared" si="56"/>
        <v>0.30285525148371018</v>
      </c>
      <c r="I45" s="218">
        <f t="shared" si="56"/>
        <v>0.30116538371426715</v>
      </c>
      <c r="J45" s="218">
        <f t="shared" si="56"/>
        <v>0.17098162232626213</v>
      </c>
      <c r="K45" s="218">
        <f t="shared" si="56"/>
        <v>0.14413330452985762</v>
      </c>
      <c r="L45" s="218">
        <f t="shared" si="56"/>
        <v>9.703499324090803E-2</v>
      </c>
      <c r="M45" s="218">
        <f t="shared" si="56"/>
        <v>6.4264895610618211E-2</v>
      </c>
      <c r="N45" s="218">
        <f t="shared" si="56"/>
        <v>3.8898155214593055E-2</v>
      </c>
    </row>
    <row r="46" spans="3:14" ht="15" customHeight="1" x14ac:dyDescent="0.25">
      <c r="C46" s="17" t="s">
        <v>380</v>
      </c>
      <c r="D46" s="218"/>
      <c r="E46" s="218">
        <f>E41/D41-1</f>
        <v>3.1885359833940807E-3</v>
      </c>
      <c r="F46" s="218">
        <f t="shared" ref="F46:N46" si="57">F41/E41-1</f>
        <v>0.32480571415180659</v>
      </c>
      <c r="G46" s="218">
        <f t="shared" si="57"/>
        <v>0.64970048595829333</v>
      </c>
      <c r="H46" s="218">
        <f t="shared" si="57"/>
        <v>0.90030694009044221</v>
      </c>
      <c r="I46" s="218">
        <f t="shared" si="57"/>
        <v>3.6517018573065663E-3</v>
      </c>
      <c r="J46" s="218">
        <f t="shared" si="57"/>
        <v>8.6409187464198345E-2</v>
      </c>
      <c r="K46" s="218">
        <f t="shared" si="57"/>
        <v>4.671271702071822E-2</v>
      </c>
      <c r="L46" s="218">
        <f t="shared" si="57"/>
        <v>3.2954979186497813E-2</v>
      </c>
      <c r="M46" s="218">
        <f t="shared" si="57"/>
        <v>4.8868760422845936E-2</v>
      </c>
      <c r="N46" s="218">
        <f t="shared" si="57"/>
        <v>5.5000899861787911E-2</v>
      </c>
    </row>
    <row r="47" spans="3:14" ht="15" customHeight="1" x14ac:dyDescent="0.25">
      <c r="C47" s="17" t="s">
        <v>282</v>
      </c>
      <c r="D47" s="218">
        <f>D23/D18</f>
        <v>1.6153830263439112E-2</v>
      </c>
      <c r="E47" s="218">
        <f>E23/E18</f>
        <v>2.8370701332875854E-2</v>
      </c>
      <c r="F47" s="218">
        <f t="shared" ref="F47:I47" si="58">F23/F18</f>
        <v>8.8684600736309474E-2</v>
      </c>
      <c r="G47" s="218">
        <f t="shared" si="58"/>
        <v>7.4493938767264373E-2</v>
      </c>
      <c r="H47" s="218">
        <f t="shared" si="58"/>
        <v>0.22480911328710412</v>
      </c>
      <c r="I47" s="218">
        <f t="shared" si="58"/>
        <v>1.6719323764442611E-2</v>
      </c>
      <c r="J47" s="130">
        <f>I47</f>
        <v>1.6719323764442611E-2</v>
      </c>
      <c r="K47" s="130">
        <f>J47</f>
        <v>1.6719323764442611E-2</v>
      </c>
      <c r="L47" s="130">
        <f t="shared" ref="L47:N47" si="59">K47</f>
        <v>1.6719323764442611E-2</v>
      </c>
      <c r="M47" s="130">
        <f t="shared" si="59"/>
        <v>1.6719323764442611E-2</v>
      </c>
      <c r="N47" s="130">
        <f t="shared" si="59"/>
        <v>1.6719323764442611E-2</v>
      </c>
    </row>
    <row r="48" spans="3:14" ht="15" customHeight="1" x14ac:dyDescent="0.25">
      <c r="C48" s="17" t="s">
        <v>283</v>
      </c>
      <c r="D48" s="218">
        <f>D24/D18</f>
        <v>3.6660440275507876E-2</v>
      </c>
      <c r="E48" s="218">
        <f t="shared" ref="E48:I48" si="60">E24/E18</f>
        <v>2.3827124083510912E-2</v>
      </c>
      <c r="F48" s="218">
        <f t="shared" si="60"/>
        <v>3.7484238780595244E-2</v>
      </c>
      <c r="G48" s="218">
        <f t="shared" si="60"/>
        <v>4.1906558934761383E-3</v>
      </c>
      <c r="H48" s="218">
        <f t="shared" si="60"/>
        <v>5.0440995366983973E-3</v>
      </c>
      <c r="I48" s="218">
        <f t="shared" si="60"/>
        <v>7.2037479868431488E-3</v>
      </c>
      <c r="J48" s="130">
        <f t="shared" ref="J48:N48" si="61">I48</f>
        <v>7.2037479868431488E-3</v>
      </c>
      <c r="K48" s="130">
        <f t="shared" si="61"/>
        <v>7.2037479868431488E-3</v>
      </c>
      <c r="L48" s="130">
        <f t="shared" si="61"/>
        <v>7.2037479868431488E-3</v>
      </c>
      <c r="M48" s="130">
        <f t="shared" si="61"/>
        <v>7.2037479868431488E-3</v>
      </c>
      <c r="N48" s="130">
        <f t="shared" si="61"/>
        <v>7.2037479868431488E-3</v>
      </c>
    </row>
    <row r="49" spans="3:14" ht="15" customHeight="1" x14ac:dyDescent="0.25">
      <c r="C49" s="17" t="s">
        <v>284</v>
      </c>
      <c r="D49" s="218">
        <f>-D25/D18</f>
        <v>0.2234939270836892</v>
      </c>
      <c r="E49" s="218">
        <f t="shared" ref="E49:I49" si="62">-E25/E18</f>
        <v>0.2476480717154125</v>
      </c>
      <c r="F49" s="218">
        <f t="shared" si="62"/>
        <v>0.23775691827787984</v>
      </c>
      <c r="G49" s="218">
        <f t="shared" si="62"/>
        <v>0.19036609377932548</v>
      </c>
      <c r="H49" s="218">
        <f t="shared" si="62"/>
        <v>0.15259142059106373</v>
      </c>
      <c r="I49" s="218">
        <f t="shared" si="62"/>
        <v>0.16306096721909846</v>
      </c>
      <c r="J49" s="130">
        <f>I49</f>
        <v>0.16306096721909846</v>
      </c>
      <c r="K49" s="130">
        <f>J49</f>
        <v>0.16306096721909846</v>
      </c>
      <c r="L49" s="130">
        <f t="shared" ref="L49:N49" si="63">K49</f>
        <v>0.16306096721909846</v>
      </c>
      <c r="M49" s="130">
        <f t="shared" si="63"/>
        <v>0.16306096721909846</v>
      </c>
      <c r="N49" s="130">
        <f t="shared" si="63"/>
        <v>0.16306096721909846</v>
      </c>
    </row>
    <row r="50" spans="3:14" ht="15" customHeight="1" x14ac:dyDescent="0.25">
      <c r="C50" s="17" t="s">
        <v>285</v>
      </c>
      <c r="D50" s="218">
        <f>-D26/D18</f>
        <v>0.10896830737767764</v>
      </c>
      <c r="E50" s="218">
        <f t="shared" ref="E50:I50" si="64">-E26/E18</f>
        <v>7.9576569394496657E-2</v>
      </c>
      <c r="F50" s="218">
        <f t="shared" si="64"/>
        <v>0.16384953112892034</v>
      </c>
      <c r="G50" s="218">
        <f t="shared" si="64"/>
        <v>0.12451883784937073</v>
      </c>
      <c r="H50" s="218">
        <f t="shared" si="64"/>
        <v>0.2602887333732451</v>
      </c>
      <c r="I50" s="218">
        <f t="shared" si="64"/>
        <v>-5.6128697414014354E-3</v>
      </c>
      <c r="J50" s="130">
        <v>0.06</v>
      </c>
      <c r="K50" s="130">
        <f t="shared" ref="K50:N50" si="65">J50</f>
        <v>0.06</v>
      </c>
      <c r="L50" s="130">
        <f t="shared" si="65"/>
        <v>0.06</v>
      </c>
      <c r="M50" s="130">
        <f t="shared" si="65"/>
        <v>0.06</v>
      </c>
      <c r="N50" s="130">
        <f t="shared" si="65"/>
        <v>0.06</v>
      </c>
    </row>
    <row r="51" spans="3:14" ht="15" customHeight="1" x14ac:dyDescent="0.25">
      <c r="C51" s="17" t="s">
        <v>15</v>
      </c>
      <c r="D51" s="115">
        <f t="shared" ref="D51:I51" si="66">-SUM(D33:D34)/D32</f>
        <v>0.32816250498480343</v>
      </c>
      <c r="E51" s="115">
        <f t="shared" si="66"/>
        <v>0.29551815961434807</v>
      </c>
      <c r="F51" s="115">
        <f t="shared" si="66"/>
        <v>0.32450788148974119</v>
      </c>
      <c r="G51" s="115">
        <f t="shared" si="66"/>
        <v>0.28670921800258531</v>
      </c>
      <c r="H51" s="115">
        <f t="shared" si="66"/>
        <v>0.28364236326541398</v>
      </c>
      <c r="I51" s="115">
        <f t="shared" si="66"/>
        <v>0.26279507878782732</v>
      </c>
      <c r="J51" s="130">
        <v>0.26</v>
      </c>
      <c r="K51" s="130">
        <f>J51</f>
        <v>0.26</v>
      </c>
      <c r="L51" s="130">
        <f t="shared" ref="L51:N51" si="67">K51</f>
        <v>0.26</v>
      </c>
      <c r="M51" s="130">
        <f t="shared" si="67"/>
        <v>0.26</v>
      </c>
      <c r="N51" s="130">
        <f t="shared" si="67"/>
        <v>0.26</v>
      </c>
    </row>
    <row r="52" spans="3:14" ht="15" customHeight="1" x14ac:dyDescent="0.25">
      <c r="C52" s="17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3:14" x14ac:dyDescent="0.25">
      <c r="C53" s="28" t="s">
        <v>53</v>
      </c>
      <c r="D53" s="133"/>
      <c r="E53" s="133"/>
      <c r="F53" s="133"/>
      <c r="G53" s="133"/>
      <c r="H53" s="34"/>
      <c r="I53" s="34"/>
      <c r="J53" s="29"/>
      <c r="K53" s="29"/>
      <c r="L53" s="29"/>
      <c r="M53" s="29"/>
      <c r="N53" s="29"/>
    </row>
    <row r="54" spans="3:14" x14ac:dyDescent="0.25">
      <c r="C54" t="s">
        <v>50</v>
      </c>
      <c r="D54" s="30">
        <f t="shared" ref="D54:N54" si="68">D$13</f>
        <v>2020</v>
      </c>
      <c r="E54" s="30">
        <f t="shared" si="68"/>
        <v>2021</v>
      </c>
      <c r="F54" s="30">
        <f t="shared" si="68"/>
        <v>2022</v>
      </c>
      <c r="G54" s="30">
        <f t="shared" si="68"/>
        <v>2023</v>
      </c>
      <c r="H54" s="30">
        <f t="shared" si="68"/>
        <v>2024</v>
      </c>
      <c r="I54" s="30">
        <f t="shared" si="68"/>
        <v>2025</v>
      </c>
      <c r="J54" s="31">
        <f t="shared" si="68"/>
        <v>2026</v>
      </c>
      <c r="K54" s="31">
        <f t="shared" si="68"/>
        <v>2027</v>
      </c>
      <c r="L54" s="31">
        <f t="shared" si="68"/>
        <v>2028</v>
      </c>
      <c r="M54" s="31">
        <f t="shared" si="68"/>
        <v>2029</v>
      </c>
      <c r="N54" s="31">
        <f t="shared" si="68"/>
        <v>2030</v>
      </c>
    </row>
    <row r="55" spans="3:14" x14ac:dyDescent="0.25">
      <c r="C55" s="32" t="s">
        <v>51</v>
      </c>
      <c r="D55" s="124">
        <f t="shared" ref="D55:N55" si="69">D$14</f>
        <v>44196</v>
      </c>
      <c r="E55" s="124">
        <f t="shared" si="69"/>
        <v>44561</v>
      </c>
      <c r="F55" s="124">
        <f t="shared" si="69"/>
        <v>44926</v>
      </c>
      <c r="G55" s="124">
        <f t="shared" si="69"/>
        <v>45291</v>
      </c>
      <c r="H55" s="124">
        <f t="shared" si="69"/>
        <v>45657</v>
      </c>
      <c r="I55" s="124">
        <f t="shared" si="69"/>
        <v>46022</v>
      </c>
      <c r="J55" s="124">
        <f t="shared" si="69"/>
        <v>46387</v>
      </c>
      <c r="K55" s="124">
        <f t="shared" si="69"/>
        <v>46752</v>
      </c>
      <c r="L55" s="124">
        <f t="shared" si="69"/>
        <v>47118</v>
      </c>
      <c r="M55" s="124">
        <f t="shared" si="69"/>
        <v>47483</v>
      </c>
      <c r="N55" s="124">
        <f t="shared" si="69"/>
        <v>47848</v>
      </c>
    </row>
    <row r="56" spans="3:14" s="27" customFormat="1" ht="15" customHeight="1" x14ac:dyDescent="0.25">
      <c r="C56" s="33" t="s">
        <v>147</v>
      </c>
    </row>
    <row r="57" spans="3:14" ht="15" customHeight="1" x14ac:dyDescent="0.25"/>
    <row r="58" spans="3:14" ht="15" customHeight="1" x14ac:dyDescent="0.25">
      <c r="C58" s="17" t="s">
        <v>149</v>
      </c>
      <c r="D58" s="10">
        <v>33768549000</v>
      </c>
      <c r="E58" s="10">
        <v>43492248000</v>
      </c>
      <c r="F58" s="10">
        <v>47492549000</v>
      </c>
      <c r="G58" s="10">
        <v>71887821000</v>
      </c>
      <c r="H58" s="10">
        <v>136531020000</v>
      </c>
      <c r="I58" s="10">
        <v>88876452000</v>
      </c>
      <c r="J58" s="102">
        <f>J334</f>
        <v>131652390310.90755</v>
      </c>
      <c r="K58" s="102">
        <f t="shared" ref="K58:N58" si="70">K334</f>
        <v>148079829596.02878</v>
      </c>
      <c r="L58" s="102">
        <f t="shared" si="70"/>
        <v>164232476728.31381</v>
      </c>
      <c r="M58" s="102">
        <f t="shared" si="70"/>
        <v>180811045455.61533</v>
      </c>
      <c r="N58" s="102">
        <f t="shared" si="70"/>
        <v>197685113610.8082</v>
      </c>
    </row>
    <row r="59" spans="3:14" ht="15" customHeight="1" x14ac:dyDescent="0.25">
      <c r="C59" s="17" t="s">
        <v>150</v>
      </c>
      <c r="D59" s="10">
        <v>87426301000</v>
      </c>
      <c r="E59" s="10">
        <v>80141769000</v>
      </c>
      <c r="F59" s="10">
        <v>133856720000</v>
      </c>
      <c r="G59" s="10">
        <v>231085244000</v>
      </c>
      <c r="H59" s="10">
        <v>270829834000</v>
      </c>
      <c r="I59" s="10">
        <v>135236549000</v>
      </c>
      <c r="J59" s="102">
        <f>J342</f>
        <v>154749805887.36694</v>
      </c>
      <c r="K59" s="102">
        <f t="shared" ref="K59:N59" si="71">K342</f>
        <v>174059315077.40552</v>
      </c>
      <c r="L59" s="102">
        <f t="shared" si="71"/>
        <v>193045821910.93277</v>
      </c>
      <c r="M59" s="102">
        <f t="shared" si="71"/>
        <v>212532975060.08243</v>
      </c>
      <c r="N59" s="102">
        <f t="shared" si="71"/>
        <v>232367470775.50092</v>
      </c>
    </row>
    <row r="60" spans="3:14" ht="15" customHeight="1" x14ac:dyDescent="0.25">
      <c r="C60" s="17" t="s">
        <v>151</v>
      </c>
      <c r="D60" s="10">
        <v>776980000</v>
      </c>
      <c r="E60" s="10">
        <v>312216000</v>
      </c>
      <c r="F60" s="10">
        <v>2978197000</v>
      </c>
      <c r="G60" s="10">
        <v>822448000</v>
      </c>
      <c r="H60" s="10">
        <v>9555410000</v>
      </c>
      <c r="I60" s="10">
        <v>34440770000</v>
      </c>
      <c r="J60" s="19">
        <f>J350</f>
        <v>9581119404.8080769</v>
      </c>
      <c r="K60" s="19">
        <f t="shared" ref="K60:N60" si="72">K350</f>
        <v>10968070326.13409</v>
      </c>
      <c r="L60" s="19">
        <f t="shared" si="72"/>
        <v>12382557444.164482</v>
      </c>
      <c r="M60" s="19">
        <f t="shared" si="72"/>
        <v>13762241247.61331</v>
      </c>
      <c r="N60" s="19">
        <f t="shared" si="72"/>
        <v>15157614252.753798</v>
      </c>
    </row>
    <row r="61" spans="3:14" ht="15" customHeight="1" x14ac:dyDescent="0.25">
      <c r="C61" s="17" t="s">
        <v>152</v>
      </c>
      <c r="D61" s="10">
        <v>119570005000</v>
      </c>
      <c r="E61" s="10">
        <v>145575243000</v>
      </c>
      <c r="F61" s="10">
        <v>193599872000</v>
      </c>
      <c r="G61" s="10">
        <v>234985936000</v>
      </c>
      <c r="H61" s="10">
        <v>343542674000</v>
      </c>
      <c r="I61" s="10">
        <v>507953766000</v>
      </c>
      <c r="J61" s="19">
        <f>J264</f>
        <v>589846296691.59277</v>
      </c>
      <c r="K61" s="19">
        <f t="shared" ref="K61:N61" si="73">K264</f>
        <v>675154651403.60815</v>
      </c>
      <c r="L61" s="19">
        <f t="shared" si="73"/>
        <v>760030376786.17993</v>
      </c>
      <c r="M61" s="19">
        <f t="shared" si="73"/>
        <v>844976118102.92432</v>
      </c>
      <c r="N61" s="19">
        <f t="shared" si="73"/>
        <v>929872614371.427</v>
      </c>
    </row>
    <row r="62" spans="3:14" ht="15" customHeight="1" x14ac:dyDescent="0.25">
      <c r="C62" s="17" t="s">
        <v>153</v>
      </c>
      <c r="D62" s="10">
        <v>248759000</v>
      </c>
      <c r="E62" s="10">
        <v>225376000</v>
      </c>
      <c r="F62" s="10">
        <v>1939961000</v>
      </c>
      <c r="G62" s="10">
        <v>1105148000</v>
      </c>
      <c r="H62" s="10">
        <v>819711000</v>
      </c>
      <c r="I62" s="10">
        <v>620349000</v>
      </c>
      <c r="J62" s="19">
        <f>I62</f>
        <v>620349000</v>
      </c>
      <c r="K62" s="19">
        <f t="shared" ref="K62:N62" si="74">J62</f>
        <v>620349000</v>
      </c>
      <c r="L62" s="19">
        <f t="shared" si="74"/>
        <v>620349000</v>
      </c>
      <c r="M62" s="19">
        <f t="shared" si="74"/>
        <v>620349000</v>
      </c>
      <c r="N62" s="19">
        <f t="shared" si="74"/>
        <v>620349000</v>
      </c>
    </row>
    <row r="63" spans="3:14" ht="15" customHeight="1" x14ac:dyDescent="0.25">
      <c r="C63" s="17" t="s">
        <v>154</v>
      </c>
      <c r="D63" s="10">
        <v>359959000</v>
      </c>
      <c r="E63" s="10">
        <v>240987000</v>
      </c>
      <c r="F63" s="10">
        <v>0</v>
      </c>
      <c r="G63" s="10">
        <v>0</v>
      </c>
      <c r="H63" s="10">
        <v>0</v>
      </c>
      <c r="I63" s="10">
        <v>0</v>
      </c>
      <c r="J63" s="19">
        <f>I63</f>
        <v>0</v>
      </c>
      <c r="K63" s="19">
        <f t="shared" ref="K63:N63" si="75">J63</f>
        <v>0</v>
      </c>
      <c r="L63" s="19">
        <f t="shared" si="75"/>
        <v>0</v>
      </c>
      <c r="M63" s="19">
        <f t="shared" si="75"/>
        <v>0</v>
      </c>
      <c r="N63" s="19">
        <f t="shared" si="75"/>
        <v>0</v>
      </c>
    </row>
    <row r="64" spans="3:14" ht="15" customHeight="1" x14ac:dyDescent="0.25">
      <c r="C64" s="17" t="s">
        <v>155</v>
      </c>
      <c r="D64" s="10">
        <v>148118372000</v>
      </c>
      <c r="E64" s="10">
        <v>193198894000</v>
      </c>
      <c r="F64" s="10">
        <v>204020733000</v>
      </c>
      <c r="G64" s="10">
        <v>233125234000</v>
      </c>
      <c r="H64" s="10">
        <v>234512167000</v>
      </c>
      <c r="I64" s="10">
        <v>376397929000</v>
      </c>
      <c r="J64" s="19">
        <f>J173</f>
        <v>429093639060</v>
      </c>
      <c r="K64" s="19">
        <f t="shared" ref="K64:N64" si="76">K173</f>
        <v>480584875747.19995</v>
      </c>
      <c r="L64" s="19">
        <f t="shared" si="76"/>
        <v>528643363321.91998</v>
      </c>
      <c r="M64" s="19">
        <f t="shared" si="76"/>
        <v>581507699654.11194</v>
      </c>
      <c r="N64" s="19">
        <f t="shared" si="76"/>
        <v>633843392622.98193</v>
      </c>
    </row>
    <row r="65" spans="3:14" ht="15" customHeight="1" x14ac:dyDescent="0.25">
      <c r="C65" s="17" t="s">
        <v>156</v>
      </c>
      <c r="D65" s="10">
        <v>25285225000</v>
      </c>
      <c r="E65" s="10">
        <v>20547465000</v>
      </c>
      <c r="F65" s="10">
        <v>34524760000</v>
      </c>
      <c r="G65" s="10">
        <v>38341019000</v>
      </c>
      <c r="H65" s="10">
        <v>168118219000</v>
      </c>
      <c r="I65" s="10">
        <v>236672175000</v>
      </c>
      <c r="J65" s="19">
        <f>J187</f>
        <v>272068283315.22144</v>
      </c>
      <c r="K65" s="19">
        <f t="shared" ref="K65:N65" si="77">K187</f>
        <v>302227136123.75098</v>
      </c>
      <c r="L65" s="19">
        <f t="shared" si="77"/>
        <v>331689050010.78418</v>
      </c>
      <c r="M65" s="19">
        <f t="shared" si="77"/>
        <v>358048152788.52417</v>
      </c>
      <c r="N65" s="19">
        <f t="shared" si="77"/>
        <v>385286812648.4375</v>
      </c>
    </row>
    <row r="66" spans="3:14" ht="15" customHeight="1" x14ac:dyDescent="0.25">
      <c r="C66" s="17" t="s">
        <v>157</v>
      </c>
      <c r="D66" s="10">
        <v>139871000</v>
      </c>
      <c r="E66" s="10">
        <v>205315000</v>
      </c>
      <c r="F66" s="10">
        <v>186062000</v>
      </c>
      <c r="G66" s="10">
        <v>115979000</v>
      </c>
      <c r="H66" s="10">
        <v>98193000</v>
      </c>
      <c r="I66" s="10">
        <v>45210000</v>
      </c>
      <c r="J66" s="19">
        <f>I66</f>
        <v>45210000</v>
      </c>
      <c r="K66" s="19">
        <f t="shared" ref="K66:N66" si="78">J66</f>
        <v>45210000</v>
      </c>
      <c r="L66" s="19">
        <f t="shared" si="78"/>
        <v>45210000</v>
      </c>
      <c r="M66" s="19">
        <f t="shared" si="78"/>
        <v>45210000</v>
      </c>
      <c r="N66" s="19">
        <f t="shared" si="78"/>
        <v>45210000</v>
      </c>
    </row>
    <row r="67" spans="3:14" ht="15" customHeight="1" x14ac:dyDescent="0.25">
      <c r="C67" s="17" t="s">
        <v>158</v>
      </c>
      <c r="D67" s="10">
        <v>0</v>
      </c>
      <c r="E67" s="10">
        <v>0</v>
      </c>
      <c r="F67" s="10">
        <v>0</v>
      </c>
      <c r="G67" s="10">
        <v>161000</v>
      </c>
      <c r="H67" s="10">
        <v>0</v>
      </c>
      <c r="I67" s="10">
        <v>182827000</v>
      </c>
      <c r="J67" s="19">
        <f>I67</f>
        <v>182827000</v>
      </c>
      <c r="K67" s="19">
        <f t="shared" ref="K67:N67" si="79">J67</f>
        <v>182827000</v>
      </c>
      <c r="L67" s="19">
        <f t="shared" si="79"/>
        <v>182827000</v>
      </c>
      <c r="M67" s="19">
        <f t="shared" si="79"/>
        <v>182827000</v>
      </c>
      <c r="N67" s="19">
        <f t="shared" si="79"/>
        <v>182827000</v>
      </c>
    </row>
    <row r="68" spans="3:14" ht="15" customHeight="1" x14ac:dyDescent="0.25">
      <c r="C68" s="17" t="s">
        <v>159</v>
      </c>
      <c r="D68" s="10">
        <v>9175525000</v>
      </c>
      <c r="E68" s="10">
        <v>11207128000</v>
      </c>
      <c r="F68" s="10">
        <v>14521427000</v>
      </c>
      <c r="G68" s="10">
        <v>18972786000</v>
      </c>
      <c r="H68" s="10">
        <v>44282773000</v>
      </c>
      <c r="I68" s="10">
        <v>54040912000</v>
      </c>
      <c r="J68" s="19">
        <f>J358</f>
        <v>54040912000</v>
      </c>
      <c r="K68" s="19">
        <f t="shared" ref="K68:N68" si="80">K358</f>
        <v>61863807167.143501</v>
      </c>
      <c r="L68" s="19">
        <f t="shared" si="80"/>
        <v>69842016251.173309</v>
      </c>
      <c r="M68" s="19">
        <f t="shared" si="80"/>
        <v>77623922295.741272</v>
      </c>
      <c r="N68" s="19">
        <f t="shared" si="80"/>
        <v>85494321003.02919</v>
      </c>
    </row>
    <row r="69" spans="3:14" ht="15" customHeight="1" x14ac:dyDescent="0.25">
      <c r="C69" s="17" t="s">
        <v>160</v>
      </c>
      <c r="D69" s="10">
        <v>178782000</v>
      </c>
      <c r="E69" s="10">
        <v>137525000</v>
      </c>
      <c r="F69" s="10">
        <v>96268000</v>
      </c>
      <c r="G69" s="10">
        <v>0</v>
      </c>
      <c r="H69" s="10">
        <v>0</v>
      </c>
      <c r="I69" s="10">
        <v>0</v>
      </c>
      <c r="J69" s="19">
        <f>I69</f>
        <v>0</v>
      </c>
      <c r="K69" s="19">
        <f t="shared" ref="K69:N70" si="81">J69</f>
        <v>0</v>
      </c>
      <c r="L69" s="19">
        <f t="shared" si="81"/>
        <v>0</v>
      </c>
      <c r="M69" s="19">
        <f t="shared" si="81"/>
        <v>0</v>
      </c>
      <c r="N69" s="19">
        <f t="shared" si="81"/>
        <v>0</v>
      </c>
    </row>
    <row r="70" spans="3:14" ht="15" customHeight="1" x14ac:dyDescent="0.25">
      <c r="C70" s="17" t="s">
        <v>86</v>
      </c>
      <c r="D70" s="10">
        <v>44920000</v>
      </c>
      <c r="E70" s="10">
        <v>34554000</v>
      </c>
      <c r="F70" s="10">
        <v>24188000</v>
      </c>
      <c r="G70" s="10">
        <v>0</v>
      </c>
      <c r="H70" s="10">
        <v>0</v>
      </c>
      <c r="I70" s="10">
        <v>0</v>
      </c>
      <c r="J70" s="19">
        <f>I70</f>
        <v>0</v>
      </c>
      <c r="K70" s="19">
        <f t="shared" si="81"/>
        <v>0</v>
      </c>
      <c r="L70" s="19">
        <f t="shared" si="81"/>
        <v>0</v>
      </c>
      <c r="M70" s="19">
        <f t="shared" si="81"/>
        <v>0</v>
      </c>
      <c r="N70" s="19">
        <f t="shared" si="81"/>
        <v>0</v>
      </c>
    </row>
    <row r="71" spans="3:14" ht="15" customHeight="1" x14ac:dyDescent="0.25">
      <c r="C71" s="17" t="s">
        <v>161</v>
      </c>
      <c r="D71" s="10">
        <v>437772000</v>
      </c>
      <c r="E71" s="10">
        <v>456002000</v>
      </c>
      <c r="F71" s="10">
        <v>185746000</v>
      </c>
      <c r="G71" s="10">
        <v>1685231000</v>
      </c>
      <c r="H71" s="10">
        <v>2685331000</v>
      </c>
      <c r="I71" s="10">
        <v>2545499000</v>
      </c>
      <c r="J71" s="19">
        <f>I71</f>
        <v>2545499000</v>
      </c>
      <c r="K71" s="19">
        <f t="shared" ref="K71:N71" si="82">J71</f>
        <v>2545499000</v>
      </c>
      <c r="L71" s="19">
        <f t="shared" si="82"/>
        <v>2545499000</v>
      </c>
      <c r="M71" s="19">
        <f t="shared" si="82"/>
        <v>2545499000</v>
      </c>
      <c r="N71" s="19">
        <f t="shared" si="82"/>
        <v>2545499000</v>
      </c>
    </row>
    <row r="72" spans="3:14" ht="15" customHeight="1" x14ac:dyDescent="0.25">
      <c r="C72" s="17" t="s">
        <v>162</v>
      </c>
      <c r="D72" s="10">
        <v>2311147000</v>
      </c>
      <c r="E72" s="10">
        <v>2461116000</v>
      </c>
      <c r="F72" s="10">
        <v>2405434000</v>
      </c>
      <c r="G72" s="10">
        <v>2739092000</v>
      </c>
      <c r="H72" s="10">
        <v>3997929000</v>
      </c>
      <c r="I72" s="10">
        <v>5481682000</v>
      </c>
      <c r="J72" s="19">
        <f>J199</f>
        <v>6881441955.7290268</v>
      </c>
      <c r="K72" s="19">
        <f t="shared" ref="K72:N72" si="83">K199</f>
        <v>7935593874.2006407</v>
      </c>
      <c r="L72" s="19">
        <f t="shared" si="83"/>
        <v>8727162965.9206886</v>
      </c>
      <c r="M72" s="19">
        <f t="shared" si="83"/>
        <v>9412318906.1038666</v>
      </c>
      <c r="N72" s="19">
        <f t="shared" si="83"/>
        <v>10061435545.510651</v>
      </c>
    </row>
    <row r="73" spans="3:14" ht="15" customHeight="1" x14ac:dyDescent="0.25">
      <c r="C73" s="11" t="s">
        <v>54</v>
      </c>
      <c r="D73" s="12">
        <f>SUM(D58:D72)</f>
        <v>427842167000</v>
      </c>
      <c r="E73" s="12">
        <f t="shared" ref="E73:N73" si="84">SUM(E58:E72)</f>
        <v>498235838000</v>
      </c>
      <c r="F73" s="12">
        <f t="shared" si="84"/>
        <v>635831917000</v>
      </c>
      <c r="G73" s="12">
        <f t="shared" si="84"/>
        <v>834866099000</v>
      </c>
      <c r="H73" s="12">
        <f t="shared" si="84"/>
        <v>1214973261000</v>
      </c>
      <c r="I73" s="12">
        <f t="shared" si="84"/>
        <v>1442494120000</v>
      </c>
      <c r="J73" s="12">
        <f>SUM(J58:J72)</f>
        <v>1651307773625.6257</v>
      </c>
      <c r="K73" s="12">
        <f t="shared" si="84"/>
        <v>1864267164315.4717</v>
      </c>
      <c r="L73" s="12">
        <f t="shared" si="84"/>
        <v>2071986710419.3892</v>
      </c>
      <c r="M73" s="12">
        <f t="shared" si="84"/>
        <v>2282068358510.7168</v>
      </c>
      <c r="N73" s="12">
        <f t="shared" si="84"/>
        <v>2493162659830.4492</v>
      </c>
    </row>
    <row r="74" spans="3:14" ht="15" customHeight="1" x14ac:dyDescent="0.25">
      <c r="H74" s="18"/>
      <c r="I74" s="18"/>
      <c r="J74" s="18"/>
      <c r="K74" s="18"/>
      <c r="L74" s="18"/>
      <c r="M74" s="18"/>
      <c r="N74" s="18"/>
    </row>
    <row r="75" spans="3:14" s="27" customFormat="1" ht="15" customHeight="1" x14ac:dyDescent="0.25">
      <c r="C75" s="33" t="s">
        <v>148</v>
      </c>
      <c r="D75" s="134"/>
      <c r="E75" s="134"/>
      <c r="F75" s="134"/>
      <c r="G75" s="134"/>
      <c r="H75" s="35"/>
      <c r="I75" s="35"/>
      <c r="J75" s="120"/>
      <c r="K75" s="120"/>
      <c r="L75" s="120"/>
      <c r="M75" s="120"/>
      <c r="N75" s="120"/>
    </row>
    <row r="76" spans="3:14" ht="15" customHeight="1" x14ac:dyDescent="0.25">
      <c r="H76" s="18"/>
      <c r="I76" s="18"/>
      <c r="J76" s="18"/>
      <c r="K76" s="18"/>
      <c r="L76" s="18"/>
      <c r="M76" s="18"/>
      <c r="N76" s="18"/>
    </row>
    <row r="77" spans="3:14" ht="15" customHeight="1" x14ac:dyDescent="0.25">
      <c r="C77" s="13" t="s">
        <v>146</v>
      </c>
      <c r="H77" s="18"/>
      <c r="I77" s="18"/>
      <c r="J77" s="18"/>
      <c r="K77" s="18"/>
      <c r="L77" s="18"/>
      <c r="M77" s="18"/>
      <c r="N77" s="18"/>
    </row>
    <row r="78" spans="3:14" ht="15" customHeight="1" x14ac:dyDescent="0.25">
      <c r="C78" s="17" t="s">
        <v>163</v>
      </c>
      <c r="D78" s="10">
        <v>8817535000</v>
      </c>
      <c r="E78" s="10">
        <v>866056000</v>
      </c>
      <c r="F78" s="10">
        <v>3496698000</v>
      </c>
      <c r="G78" s="10">
        <v>12458003000</v>
      </c>
      <c r="H78" s="10">
        <v>2034885000</v>
      </c>
      <c r="I78" s="10">
        <v>3353746000</v>
      </c>
      <c r="J78" s="19">
        <f>I78</f>
        <v>3353746000</v>
      </c>
      <c r="K78" s="19">
        <f t="shared" ref="K78:N78" si="85">J78</f>
        <v>3353746000</v>
      </c>
      <c r="L78" s="19">
        <f t="shared" si="85"/>
        <v>3353746000</v>
      </c>
      <c r="M78" s="19">
        <f t="shared" si="85"/>
        <v>3353746000</v>
      </c>
      <c r="N78" s="19">
        <f t="shared" si="85"/>
        <v>3353746000</v>
      </c>
    </row>
    <row r="79" spans="3:14" ht="15" customHeight="1" x14ac:dyDescent="0.25">
      <c r="C79" s="17" t="s">
        <v>164</v>
      </c>
      <c r="D79" s="10">
        <v>341169450000</v>
      </c>
      <c r="E79" s="10">
        <v>407241538000</v>
      </c>
      <c r="F79" s="10">
        <v>531616550000</v>
      </c>
      <c r="G79" s="10">
        <v>677237479000</v>
      </c>
      <c r="H79" s="10">
        <v>972595958000</v>
      </c>
      <c r="I79" s="10">
        <v>1110395693000</v>
      </c>
      <c r="J79" s="19">
        <f>J151</f>
        <v>1270614484180</v>
      </c>
      <c r="K79" s="19">
        <f t="shared" ref="K79:N79" si="86">K151</f>
        <v>1429160350642.2</v>
      </c>
      <c r="L79" s="19">
        <f t="shared" si="86"/>
        <v>1585054120255.2041</v>
      </c>
      <c r="M79" s="19">
        <f t="shared" si="86"/>
        <v>1745058579742.3147</v>
      </c>
      <c r="N79" s="19">
        <f t="shared" si="86"/>
        <v>1907914987851.543</v>
      </c>
    </row>
    <row r="80" spans="3:14" ht="15" customHeight="1" x14ac:dyDescent="0.25">
      <c r="C80" s="17" t="s">
        <v>165</v>
      </c>
      <c r="D80" s="10">
        <v>0</v>
      </c>
      <c r="E80" s="10">
        <v>0</v>
      </c>
      <c r="F80" s="10">
        <v>0</v>
      </c>
      <c r="G80" s="10">
        <v>873000</v>
      </c>
      <c r="H80" s="10">
        <v>1397000</v>
      </c>
      <c r="I80" s="10">
        <v>53860000</v>
      </c>
      <c r="J80" s="19">
        <f>I80</f>
        <v>53860000</v>
      </c>
      <c r="K80" s="19">
        <f t="shared" ref="K80:N80" si="87">J80</f>
        <v>53860000</v>
      </c>
      <c r="L80" s="19">
        <f t="shared" si="87"/>
        <v>53860000</v>
      </c>
      <c r="M80" s="19">
        <f t="shared" si="87"/>
        <v>53860000</v>
      </c>
      <c r="N80" s="19">
        <f t="shared" si="87"/>
        <v>53860000</v>
      </c>
    </row>
    <row r="81" spans="3:15" ht="15" customHeight="1" x14ac:dyDescent="0.25">
      <c r="C81" s="17" t="s">
        <v>153</v>
      </c>
      <c r="D81" s="10">
        <v>331073000</v>
      </c>
      <c r="E81" s="10">
        <v>265470000</v>
      </c>
      <c r="F81" s="10">
        <v>219752000</v>
      </c>
      <c r="G81" s="10">
        <v>140934000</v>
      </c>
      <c r="H81" s="10">
        <v>100571000</v>
      </c>
      <c r="I81" s="10">
        <v>137802000</v>
      </c>
      <c r="J81" s="19">
        <f>I81</f>
        <v>137802000</v>
      </c>
      <c r="K81" s="19">
        <f t="shared" ref="K81:N81" si="88">J81</f>
        <v>137802000</v>
      </c>
      <c r="L81" s="19">
        <f t="shared" si="88"/>
        <v>137802000</v>
      </c>
      <c r="M81" s="19">
        <f t="shared" si="88"/>
        <v>137802000</v>
      </c>
      <c r="N81" s="19">
        <f t="shared" si="88"/>
        <v>137802000</v>
      </c>
    </row>
    <row r="82" spans="3:15" ht="15" customHeight="1" x14ac:dyDescent="0.25">
      <c r="C82" s="17" t="s">
        <v>166</v>
      </c>
      <c r="D82" s="10">
        <v>859582000</v>
      </c>
      <c r="E82" s="10">
        <v>2234985000</v>
      </c>
      <c r="F82" s="10">
        <v>3051583000</v>
      </c>
      <c r="G82" s="10">
        <v>9395534000</v>
      </c>
      <c r="H82" s="10">
        <v>18327968000</v>
      </c>
      <c r="I82" s="10">
        <v>20570313000</v>
      </c>
      <c r="J82" s="19">
        <f>$I82/$I$33*J$33</f>
        <v>17795101823.230682</v>
      </c>
      <c r="K82" s="19">
        <f t="shared" ref="K82:N82" si="89">$I82/$I$33*K$33</f>
        <v>18617035244.524708</v>
      </c>
      <c r="L82" s="19">
        <f t="shared" si="89"/>
        <v>19193209763.005424</v>
      </c>
      <c r="M82" s="19">
        <f t="shared" si="89"/>
        <v>20079938095.510864</v>
      </c>
      <c r="N82" s="19">
        <f t="shared" si="89"/>
        <v>21116532068.375637</v>
      </c>
    </row>
    <row r="83" spans="3:15" ht="15" customHeight="1" x14ac:dyDescent="0.25">
      <c r="C83" s="17" t="s">
        <v>167</v>
      </c>
      <c r="D83" s="10">
        <v>5735269000</v>
      </c>
      <c r="E83" s="10">
        <v>8085545000</v>
      </c>
      <c r="F83" s="10">
        <v>11606912000</v>
      </c>
      <c r="G83" s="10">
        <v>18339465000</v>
      </c>
      <c r="H83" s="10">
        <v>21441169000</v>
      </c>
      <c r="I83" s="10">
        <v>25595390000</v>
      </c>
      <c r="J83" s="19">
        <f>J366</f>
        <v>25595390000</v>
      </c>
      <c r="K83" s="19">
        <f t="shared" ref="K83:N83" si="90">K366</f>
        <v>29300546802.908012</v>
      </c>
      <c r="L83" s="19">
        <f t="shared" si="90"/>
        <v>33079264915.720131</v>
      </c>
      <c r="M83" s="19">
        <f t="shared" si="90"/>
        <v>36765008045.92627</v>
      </c>
      <c r="N83" s="19">
        <f t="shared" si="90"/>
        <v>40492663944.267319</v>
      </c>
    </row>
    <row r="84" spans="3:15" ht="15" customHeight="1" x14ac:dyDescent="0.25">
      <c r="C84" s="17" t="s">
        <v>168</v>
      </c>
      <c r="D84" s="10">
        <v>0</v>
      </c>
      <c r="E84" s="10">
        <v>1557263000</v>
      </c>
      <c r="F84" s="10">
        <v>2456607000</v>
      </c>
      <c r="G84" s="10">
        <v>3073349000</v>
      </c>
      <c r="H84" s="10">
        <v>5067781000</v>
      </c>
      <c r="I84" s="10">
        <v>4761558000</v>
      </c>
      <c r="J84" s="19">
        <f>I84</f>
        <v>4761558000</v>
      </c>
      <c r="K84" s="19">
        <f t="shared" ref="K84:N84" si="91">J84</f>
        <v>4761558000</v>
      </c>
      <c r="L84" s="19">
        <f t="shared" si="91"/>
        <v>4761558000</v>
      </c>
      <c r="M84" s="19">
        <f t="shared" si="91"/>
        <v>4761558000</v>
      </c>
      <c r="N84" s="19">
        <f t="shared" si="91"/>
        <v>4761558000</v>
      </c>
    </row>
    <row r="85" spans="3:15" ht="15" customHeight="1" x14ac:dyDescent="0.25">
      <c r="C85" s="17" t="s">
        <v>169</v>
      </c>
      <c r="D85" s="10">
        <v>7746946000</v>
      </c>
      <c r="E85" s="10">
        <v>5140782000</v>
      </c>
      <c r="F85" s="10">
        <v>7978975000</v>
      </c>
      <c r="G85" s="10">
        <v>12483907000</v>
      </c>
      <c r="H85" s="10">
        <v>23962389000</v>
      </c>
      <c r="I85" s="10">
        <v>30471499000</v>
      </c>
      <c r="J85" s="19">
        <f>J382</f>
        <v>31496132530</v>
      </c>
      <c r="K85" s="19">
        <f t="shared" ref="K85:N85" si="92">K382</f>
        <v>32562067832.099998</v>
      </c>
      <c r="L85" s="19">
        <f t="shared" si="92"/>
        <v>33671015370.301003</v>
      </c>
      <c r="M85" s="19">
        <f t="shared" si="92"/>
        <v>34824758223.967056</v>
      </c>
      <c r="N85" s="19">
        <f t="shared" si="92"/>
        <v>36025155240.594337</v>
      </c>
    </row>
    <row r="86" spans="3:15" ht="15" customHeight="1" x14ac:dyDescent="0.25">
      <c r="C86" s="17" t="s">
        <v>170</v>
      </c>
      <c r="D86" s="10">
        <v>3223501000</v>
      </c>
      <c r="E86" s="10">
        <v>3541462000</v>
      </c>
      <c r="F86" s="10">
        <v>7066672000</v>
      </c>
      <c r="G86" s="10">
        <v>11095089000</v>
      </c>
      <c r="H86" s="10">
        <v>18621822000</v>
      </c>
      <c r="I86" s="10">
        <v>15640041000</v>
      </c>
      <c r="J86" s="19">
        <f>I86</f>
        <v>15640041000</v>
      </c>
      <c r="K86" s="19">
        <f t="shared" ref="K86:N86" si="93">J86</f>
        <v>15640041000</v>
      </c>
      <c r="L86" s="19">
        <f t="shared" si="93"/>
        <v>15640041000</v>
      </c>
      <c r="M86" s="19">
        <f t="shared" si="93"/>
        <v>15640041000</v>
      </c>
      <c r="N86" s="19">
        <f t="shared" si="93"/>
        <v>15640041000</v>
      </c>
    </row>
    <row r="87" spans="3:15" ht="15" customHeight="1" x14ac:dyDescent="0.25">
      <c r="C87" s="11" t="s">
        <v>55</v>
      </c>
      <c r="D87" s="12">
        <f>SUM(D78:D86)</f>
        <v>367883356000</v>
      </c>
      <c r="E87" s="12">
        <f t="shared" ref="E87:N87" si="94">SUM(E78:E86)</f>
        <v>428933101000</v>
      </c>
      <c r="F87" s="12">
        <f t="shared" si="94"/>
        <v>567493749000</v>
      </c>
      <c r="G87" s="12">
        <f t="shared" si="94"/>
        <v>744224633000</v>
      </c>
      <c r="H87" s="12">
        <f t="shared" si="94"/>
        <v>1062153940000</v>
      </c>
      <c r="I87" s="12">
        <f t="shared" si="94"/>
        <v>1210979902000</v>
      </c>
      <c r="J87" s="12">
        <f t="shared" si="94"/>
        <v>1369448115533.2307</v>
      </c>
      <c r="K87" s="12">
        <f t="shared" si="94"/>
        <v>1533587007521.7327</v>
      </c>
      <c r="L87" s="12">
        <f t="shared" si="94"/>
        <v>1694944617304.2307</v>
      </c>
      <c r="M87" s="12">
        <f t="shared" si="94"/>
        <v>1860675291107.719</v>
      </c>
      <c r="N87" s="12">
        <f t="shared" si="94"/>
        <v>2029496346104.7803</v>
      </c>
      <c r="O87" s="18"/>
    </row>
    <row r="88" spans="3:15" ht="15" customHeight="1" x14ac:dyDescent="0.25">
      <c r="D88" s="1"/>
      <c r="E88" s="1"/>
      <c r="F88" s="1"/>
      <c r="G88" s="1"/>
      <c r="H88" s="1"/>
      <c r="I88" s="1"/>
      <c r="J88" s="116"/>
      <c r="K88" s="116"/>
      <c r="L88" s="116"/>
      <c r="M88" s="116"/>
      <c r="N88" s="116"/>
    </row>
    <row r="89" spans="3:15" ht="15" customHeight="1" x14ac:dyDescent="0.25">
      <c r="C89" s="13" t="s">
        <v>56</v>
      </c>
      <c r="H89" s="18"/>
      <c r="I89" s="18"/>
      <c r="J89" s="18"/>
      <c r="K89" s="18"/>
      <c r="L89" s="18"/>
      <c r="M89" s="18"/>
      <c r="N89" s="18"/>
    </row>
    <row r="90" spans="3:15" ht="15" customHeight="1" x14ac:dyDescent="0.25">
      <c r="C90" s="17" t="s">
        <v>171</v>
      </c>
      <c r="D90" s="10">
        <v>14776813000</v>
      </c>
      <c r="E90" s="10">
        <v>19702418000</v>
      </c>
      <c r="F90" s="10">
        <v>29825134000</v>
      </c>
      <c r="G90" s="10">
        <v>30195010000</v>
      </c>
      <c r="H90" s="10">
        <v>30431580000</v>
      </c>
      <c r="I90" s="10">
        <v>33779361000</v>
      </c>
      <c r="J90" s="19">
        <f>I90</f>
        <v>33779361000</v>
      </c>
      <c r="K90" s="19">
        <f t="shared" ref="K90:N90" si="95">J90</f>
        <v>33779361000</v>
      </c>
      <c r="L90" s="19">
        <f t="shared" si="95"/>
        <v>33779361000</v>
      </c>
      <c r="M90" s="19">
        <f t="shared" si="95"/>
        <v>33779361000</v>
      </c>
      <c r="N90" s="19">
        <f t="shared" si="95"/>
        <v>33779361000</v>
      </c>
    </row>
    <row r="91" spans="3:15" ht="15" customHeight="1" x14ac:dyDescent="0.25">
      <c r="C91" s="17" t="s">
        <v>87</v>
      </c>
      <c r="D91" s="10">
        <v>33094580000</v>
      </c>
      <c r="E91" s="10">
        <v>33774990000</v>
      </c>
      <c r="F91" s="10">
        <v>19643327000</v>
      </c>
      <c r="G91" s="10">
        <v>28807042000</v>
      </c>
      <c r="H91" s="10">
        <v>63544579000</v>
      </c>
      <c r="I91" s="10">
        <v>105849176000</v>
      </c>
      <c r="J91" s="19">
        <f>I91</f>
        <v>105849176000</v>
      </c>
      <c r="K91" s="19">
        <f t="shared" ref="K91:N91" si="96">J91</f>
        <v>105849176000</v>
      </c>
      <c r="L91" s="19">
        <f t="shared" si="96"/>
        <v>105849176000</v>
      </c>
      <c r="M91" s="19">
        <f t="shared" si="96"/>
        <v>105849176000</v>
      </c>
      <c r="N91" s="19">
        <f t="shared" si="96"/>
        <v>105849176000</v>
      </c>
    </row>
    <row r="92" spans="3:15" ht="15" customHeight="1" x14ac:dyDescent="0.25">
      <c r="C92" s="17" t="s">
        <v>172</v>
      </c>
      <c r="D92" s="10">
        <v>1064648000</v>
      </c>
      <c r="E92" s="10">
        <v>1674392000</v>
      </c>
      <c r="F92" s="10">
        <v>1895435000</v>
      </c>
      <c r="G92" s="10">
        <v>1486010000</v>
      </c>
      <c r="H92" s="10">
        <v>1868235000</v>
      </c>
      <c r="I92" s="10">
        <v>2343532000</v>
      </c>
      <c r="J92" s="19">
        <f>I92</f>
        <v>2343532000</v>
      </c>
      <c r="K92" s="19">
        <f t="shared" ref="K92:N92" si="97">J92</f>
        <v>2343532000</v>
      </c>
      <c r="L92" s="19">
        <f t="shared" si="97"/>
        <v>2343532000</v>
      </c>
      <c r="M92" s="19">
        <f t="shared" si="97"/>
        <v>2343532000</v>
      </c>
      <c r="N92" s="19">
        <f t="shared" si="97"/>
        <v>2343532000</v>
      </c>
    </row>
    <row r="93" spans="3:15" ht="15" customHeight="1" x14ac:dyDescent="0.25">
      <c r="C93" s="17" t="s">
        <v>173</v>
      </c>
      <c r="D93" s="10">
        <v>10539715000</v>
      </c>
      <c r="E93" s="10">
        <v>13696402000</v>
      </c>
      <c r="F93" s="10">
        <v>16393841000</v>
      </c>
      <c r="G93" s="10">
        <v>29993331000</v>
      </c>
      <c r="H93" s="10">
        <v>56791883000</v>
      </c>
      <c r="I93" s="10">
        <v>89514273000</v>
      </c>
      <c r="J93" s="19">
        <f>J215</f>
        <v>139859713092.39499</v>
      </c>
      <c r="K93" s="19">
        <f t="shared" ref="K93:N93" si="98">K215</f>
        <v>188680211793.73917</v>
      </c>
      <c r="L93" s="19">
        <f t="shared" si="98"/>
        <v>235042148115.15839</v>
      </c>
      <c r="M93" s="19">
        <f t="shared" si="98"/>
        <v>279393122402.99731</v>
      </c>
      <c r="N93" s="19">
        <f t="shared" si="98"/>
        <v>321666368725.66888</v>
      </c>
    </row>
    <row r="94" spans="3:15" s="13" customFormat="1" ht="15" customHeight="1" x14ac:dyDescent="0.25">
      <c r="C94" s="135" t="s">
        <v>174</v>
      </c>
      <c r="D94" s="94">
        <f>SUM(D90:D93)</f>
        <v>59475756000</v>
      </c>
      <c r="E94" s="94">
        <f t="shared" ref="E94:I94" si="99">SUM(E90:E93)</f>
        <v>68848202000</v>
      </c>
      <c r="F94" s="94">
        <f t="shared" si="99"/>
        <v>67757737000</v>
      </c>
      <c r="G94" s="94">
        <f t="shared" si="99"/>
        <v>90481393000</v>
      </c>
      <c r="H94" s="94">
        <f t="shared" si="99"/>
        <v>152636277000</v>
      </c>
      <c r="I94" s="94">
        <f t="shared" si="99"/>
        <v>231486342000</v>
      </c>
      <c r="J94" s="94">
        <f>SUM(J90:J93)</f>
        <v>281831782092.39502</v>
      </c>
      <c r="K94" s="94">
        <f t="shared" ref="K94:N94" si="100">SUM(K90:K93)</f>
        <v>330652280793.73914</v>
      </c>
      <c r="L94" s="94">
        <f t="shared" si="100"/>
        <v>377014217115.15839</v>
      </c>
      <c r="M94" s="94">
        <f t="shared" si="100"/>
        <v>421365191402.99731</v>
      </c>
      <c r="N94" s="94">
        <f t="shared" si="100"/>
        <v>463638437725.66888</v>
      </c>
    </row>
    <row r="95" spans="3:15" ht="15" customHeight="1" x14ac:dyDescent="0.25">
      <c r="C95" s="17" t="s">
        <v>175</v>
      </c>
      <c r="D95" s="10">
        <v>483055000</v>
      </c>
      <c r="E95" s="10">
        <v>454535000</v>
      </c>
      <c r="F95" s="10">
        <v>580431000</v>
      </c>
      <c r="G95" s="10">
        <v>160073000</v>
      </c>
      <c r="H95" s="10">
        <v>183044000</v>
      </c>
      <c r="I95" s="10">
        <v>27876000</v>
      </c>
      <c r="J95" s="19">
        <f>J221</f>
        <v>27876000</v>
      </c>
      <c r="K95" s="19">
        <f t="shared" ref="K95:N95" si="101">K221</f>
        <v>27876000</v>
      </c>
      <c r="L95" s="19">
        <f t="shared" si="101"/>
        <v>27876000</v>
      </c>
      <c r="M95" s="19">
        <f t="shared" si="101"/>
        <v>27876000</v>
      </c>
      <c r="N95" s="19">
        <f t="shared" si="101"/>
        <v>27876000</v>
      </c>
    </row>
    <row r="96" spans="3:15" ht="15" customHeight="1" x14ac:dyDescent="0.25">
      <c r="C96" s="24" t="s">
        <v>176</v>
      </c>
      <c r="D96" s="12">
        <f>SUM(D94:D95)</f>
        <v>59958811000</v>
      </c>
      <c r="E96" s="12">
        <f t="shared" ref="E96:N96" si="102">SUM(E94:E95)</f>
        <v>69302737000</v>
      </c>
      <c r="F96" s="12">
        <f t="shared" si="102"/>
        <v>68338168000</v>
      </c>
      <c r="G96" s="12">
        <f t="shared" si="102"/>
        <v>90641466000</v>
      </c>
      <c r="H96" s="12">
        <f t="shared" si="102"/>
        <v>152819321000</v>
      </c>
      <c r="I96" s="12">
        <f t="shared" si="102"/>
        <v>231514218000</v>
      </c>
      <c r="J96" s="12">
        <f t="shared" si="102"/>
        <v>281859658092.39502</v>
      </c>
      <c r="K96" s="12">
        <f t="shared" si="102"/>
        <v>330680156793.73914</v>
      </c>
      <c r="L96" s="12">
        <f t="shared" si="102"/>
        <v>377042093115.15839</v>
      </c>
      <c r="M96" s="12">
        <f t="shared" si="102"/>
        <v>421393067402.99731</v>
      </c>
      <c r="N96" s="12">
        <f t="shared" si="102"/>
        <v>463666313725.66888</v>
      </c>
    </row>
    <row r="97" spans="3:14" ht="15" customHeight="1" x14ac:dyDescent="0.25">
      <c r="H97" s="19"/>
      <c r="I97" s="19"/>
      <c r="J97" s="19"/>
      <c r="K97" s="19"/>
      <c r="L97" s="19"/>
      <c r="M97" s="19"/>
      <c r="N97" s="19"/>
    </row>
    <row r="98" spans="3:14" ht="15" customHeight="1" x14ac:dyDescent="0.25">
      <c r="C98" s="13" t="s">
        <v>57</v>
      </c>
      <c r="D98" s="14">
        <f>D87+D96</f>
        <v>427842167000</v>
      </c>
      <c r="E98" s="14">
        <f t="shared" ref="E98:N98" si="103">E87+E96</f>
        <v>498235838000</v>
      </c>
      <c r="F98" s="14">
        <f t="shared" si="103"/>
        <v>635831917000</v>
      </c>
      <c r="G98" s="14">
        <f t="shared" si="103"/>
        <v>834866099000</v>
      </c>
      <c r="H98" s="14">
        <f t="shared" si="103"/>
        <v>1214973261000</v>
      </c>
      <c r="I98" s="14">
        <f t="shared" si="103"/>
        <v>1442494120000</v>
      </c>
      <c r="J98" s="14">
        <f t="shared" si="103"/>
        <v>1651307773625.6257</v>
      </c>
      <c r="K98" s="14">
        <f t="shared" si="103"/>
        <v>1864267164315.4717</v>
      </c>
      <c r="L98" s="14">
        <f t="shared" si="103"/>
        <v>2071986710419.3892</v>
      </c>
      <c r="M98" s="14">
        <f t="shared" si="103"/>
        <v>2282068358510.7163</v>
      </c>
      <c r="N98" s="14">
        <f t="shared" si="103"/>
        <v>2493162659830.4492</v>
      </c>
    </row>
    <row r="99" spans="3:14" ht="15" customHeight="1" x14ac:dyDescent="0.25">
      <c r="H99" s="18"/>
      <c r="I99" s="18"/>
      <c r="J99" s="18"/>
      <c r="K99" s="18"/>
      <c r="L99" s="18"/>
      <c r="M99" s="18"/>
      <c r="N99" s="18"/>
    </row>
    <row r="100" spans="3:14" ht="15" customHeight="1" x14ac:dyDescent="0.25">
      <c r="C100" s="6" t="s">
        <v>58</v>
      </c>
      <c r="D100" s="136">
        <f>D73-D98</f>
        <v>0</v>
      </c>
      <c r="E100" s="136">
        <f t="shared" ref="E100:N100" si="104">E73-E98</f>
        <v>0</v>
      </c>
      <c r="F100" s="136">
        <f t="shared" si="104"/>
        <v>0</v>
      </c>
      <c r="G100" s="136">
        <f t="shared" si="104"/>
        <v>0</v>
      </c>
      <c r="H100" s="136">
        <f t="shared" si="104"/>
        <v>0</v>
      </c>
      <c r="I100" s="136">
        <f t="shared" si="104"/>
        <v>0</v>
      </c>
      <c r="J100" s="136">
        <f t="shared" si="104"/>
        <v>0</v>
      </c>
      <c r="K100" s="136">
        <f t="shared" si="104"/>
        <v>0</v>
      </c>
      <c r="L100" s="136">
        <f t="shared" si="104"/>
        <v>0</v>
      </c>
      <c r="M100" s="136">
        <f t="shared" si="104"/>
        <v>0</v>
      </c>
      <c r="N100" s="136">
        <f t="shared" si="104"/>
        <v>0</v>
      </c>
    </row>
    <row r="101" spans="3:14" ht="15" customHeight="1" x14ac:dyDescent="0.25"/>
    <row r="102" spans="3:14" x14ac:dyDescent="0.25">
      <c r="C102" s="13" t="s">
        <v>217</v>
      </c>
      <c r="D102" s="7"/>
      <c r="E102" s="7"/>
      <c r="F102" s="7"/>
      <c r="G102" s="7"/>
    </row>
    <row r="103" spans="3:14" x14ac:dyDescent="0.25">
      <c r="C103" s="36" t="s">
        <v>50</v>
      </c>
      <c r="D103" s="37">
        <f t="shared" ref="D103:N103" si="105">D$13</f>
        <v>2020</v>
      </c>
      <c r="E103" s="37">
        <f t="shared" si="105"/>
        <v>2021</v>
      </c>
      <c r="F103" s="37">
        <f t="shared" si="105"/>
        <v>2022</v>
      </c>
      <c r="G103" s="37">
        <f t="shared" si="105"/>
        <v>2023</v>
      </c>
      <c r="H103" s="37">
        <f t="shared" si="105"/>
        <v>2024</v>
      </c>
      <c r="I103" s="37">
        <f t="shared" si="105"/>
        <v>2025</v>
      </c>
      <c r="J103" s="38">
        <f t="shared" si="105"/>
        <v>2026</v>
      </c>
      <c r="K103" s="38">
        <f t="shared" si="105"/>
        <v>2027</v>
      </c>
      <c r="L103" s="38">
        <f t="shared" si="105"/>
        <v>2028</v>
      </c>
      <c r="M103" s="38">
        <f t="shared" si="105"/>
        <v>2029</v>
      </c>
      <c r="N103" s="38">
        <f t="shared" si="105"/>
        <v>2030</v>
      </c>
    </row>
    <row r="104" spans="3:14" x14ac:dyDescent="0.25">
      <c r="C104" s="32" t="s">
        <v>51</v>
      </c>
      <c r="D104" s="124">
        <f t="shared" ref="D104:N104" si="106">D$14</f>
        <v>44196</v>
      </c>
      <c r="E104" s="124">
        <f t="shared" si="106"/>
        <v>44561</v>
      </c>
      <c r="F104" s="124">
        <f t="shared" si="106"/>
        <v>44926</v>
      </c>
      <c r="G104" s="124">
        <f t="shared" si="106"/>
        <v>45291</v>
      </c>
      <c r="H104" s="124">
        <f t="shared" si="106"/>
        <v>45657</v>
      </c>
      <c r="I104" s="124">
        <f t="shared" si="106"/>
        <v>46022</v>
      </c>
      <c r="J104" s="124">
        <f t="shared" si="106"/>
        <v>46387</v>
      </c>
      <c r="K104" s="124">
        <f t="shared" si="106"/>
        <v>46752</v>
      </c>
      <c r="L104" s="124">
        <f t="shared" si="106"/>
        <v>47118</v>
      </c>
      <c r="M104" s="124">
        <f t="shared" si="106"/>
        <v>47483</v>
      </c>
      <c r="N104" s="124">
        <f t="shared" si="106"/>
        <v>47848</v>
      </c>
    </row>
    <row r="105" spans="3:14" ht="15" customHeight="1" x14ac:dyDescent="0.25"/>
    <row r="106" spans="3:14" s="13" customFormat="1" ht="15" customHeight="1" x14ac:dyDescent="0.25">
      <c r="C106" s="135" t="s">
        <v>218</v>
      </c>
      <c r="D106" s="107"/>
      <c r="E106" s="107"/>
      <c r="F106" s="107"/>
      <c r="G106" s="107"/>
      <c r="H106" s="107"/>
      <c r="I106" s="107"/>
      <c r="J106" s="176"/>
      <c r="K106" s="176"/>
      <c r="L106" s="176"/>
      <c r="M106" s="176"/>
      <c r="N106" s="176"/>
    </row>
    <row r="107" spans="3:14" ht="15" customHeight="1" x14ac:dyDescent="0.25">
      <c r="C107" s="17" t="s">
        <v>225</v>
      </c>
      <c r="D107" s="211">
        <v>2204633000</v>
      </c>
      <c r="E107" s="211">
        <v>5231766000</v>
      </c>
      <c r="F107" s="211">
        <v>5345778000</v>
      </c>
      <c r="G107" s="211">
        <v>30018930000</v>
      </c>
      <c r="H107" s="212">
        <v>47716067000</v>
      </c>
      <c r="I107" s="212">
        <v>20066633000</v>
      </c>
      <c r="J107" s="175">
        <f>I107*(1+J115)</f>
        <v>18059969700</v>
      </c>
      <c r="K107" s="175">
        <f t="shared" ref="K107:N107" si="107">J107*(1+K115)</f>
        <v>16253972730</v>
      </c>
      <c r="L107" s="175">
        <f t="shared" si="107"/>
        <v>15441274093.5</v>
      </c>
      <c r="M107" s="175">
        <f t="shared" si="107"/>
        <v>15441274093.5</v>
      </c>
      <c r="N107" s="175">
        <f t="shared" si="107"/>
        <v>15441274093.5</v>
      </c>
    </row>
    <row r="108" spans="3:14" ht="15" customHeight="1" x14ac:dyDescent="0.25">
      <c r="C108" s="17" t="s">
        <v>224</v>
      </c>
      <c r="D108" s="211">
        <v>12696383000</v>
      </c>
      <c r="E108" s="211">
        <v>13173306000</v>
      </c>
      <c r="F108" s="211">
        <v>19936711000</v>
      </c>
      <c r="G108" s="211">
        <v>36650367000</v>
      </c>
      <c r="H108" s="212">
        <v>63529846000</v>
      </c>
      <c r="I108" s="212">
        <v>94424365000</v>
      </c>
      <c r="J108" s="175">
        <f t="shared" ref="J108:N108" si="108">I108*(1+J116)</f>
        <v>105755288800.00002</v>
      </c>
      <c r="K108" s="175">
        <f t="shared" si="108"/>
        <v>114215711904.00003</v>
      </c>
      <c r="L108" s="175">
        <f t="shared" si="108"/>
        <v>119926497499.20004</v>
      </c>
      <c r="M108" s="175">
        <f t="shared" si="108"/>
        <v>127122087349.15205</v>
      </c>
      <c r="N108" s="175">
        <f t="shared" si="108"/>
        <v>136020633463.59271</v>
      </c>
    </row>
    <row r="109" spans="3:14" s="13" customFormat="1" ht="15" customHeight="1" x14ac:dyDescent="0.25">
      <c r="C109" s="135" t="s">
        <v>219</v>
      </c>
      <c r="D109" s="107">
        <f>SUM(D107:D108)</f>
        <v>14901016000</v>
      </c>
      <c r="E109" s="107">
        <f t="shared" ref="E109:N109" si="109">SUM(E107:E108)</f>
        <v>18405072000</v>
      </c>
      <c r="F109" s="107">
        <f t="shared" si="109"/>
        <v>25282489000</v>
      </c>
      <c r="G109" s="107">
        <f t="shared" si="109"/>
        <v>66669297000</v>
      </c>
      <c r="H109" s="107">
        <f t="shared" si="109"/>
        <v>111245913000</v>
      </c>
      <c r="I109" s="107">
        <f t="shared" si="109"/>
        <v>114490998000</v>
      </c>
      <c r="J109" s="107">
        <f t="shared" si="109"/>
        <v>123815258500.00002</v>
      </c>
      <c r="K109" s="107">
        <f t="shared" si="109"/>
        <v>130469684634.00003</v>
      </c>
      <c r="L109" s="107">
        <f t="shared" si="109"/>
        <v>135367771592.70004</v>
      </c>
      <c r="M109" s="107">
        <f t="shared" si="109"/>
        <v>142563361442.65204</v>
      </c>
      <c r="N109" s="107">
        <f t="shared" si="109"/>
        <v>151461907557.09271</v>
      </c>
    </row>
    <row r="110" spans="3:14" ht="15" customHeight="1" x14ac:dyDescent="0.25">
      <c r="C110" s="17" t="s">
        <v>223</v>
      </c>
      <c r="D110" s="211">
        <v>26597741000</v>
      </c>
      <c r="E110" s="211">
        <v>25679847000</v>
      </c>
      <c r="F110" s="211">
        <v>28823013000</v>
      </c>
      <c r="G110" s="211">
        <v>32950513000</v>
      </c>
      <c r="H110" s="212">
        <v>63980900000</v>
      </c>
      <c r="I110" s="212">
        <v>89324621000</v>
      </c>
      <c r="J110" s="175">
        <f>I110*(1+J117)</f>
        <v>96470590680</v>
      </c>
      <c r="K110" s="175">
        <f t="shared" ref="K110:N110" si="110">J110*(1+K117)</f>
        <v>100329414307.2</v>
      </c>
      <c r="L110" s="175">
        <f t="shared" si="110"/>
        <v>102336002593.34399</v>
      </c>
      <c r="M110" s="175">
        <f t="shared" si="110"/>
        <v>106429442697.07776</v>
      </c>
      <c r="N110" s="175">
        <f t="shared" si="110"/>
        <v>111750914831.93166</v>
      </c>
    </row>
    <row r="111" spans="3:14" ht="15" customHeight="1" x14ac:dyDescent="0.25">
      <c r="C111" s="17" t="s">
        <v>220</v>
      </c>
      <c r="D111" s="211">
        <v>4067000</v>
      </c>
      <c r="E111" s="211">
        <v>16413000</v>
      </c>
      <c r="F111" s="211">
        <v>0</v>
      </c>
      <c r="G111" s="211">
        <v>0</v>
      </c>
      <c r="H111" s="212">
        <v>0</v>
      </c>
      <c r="I111" s="212">
        <v>0</v>
      </c>
      <c r="J111" s="138">
        <f t="shared" ref="J111:N111" si="111">I111*(1+J118)</f>
        <v>0</v>
      </c>
      <c r="K111" s="138">
        <f t="shared" si="111"/>
        <v>0</v>
      </c>
      <c r="L111" s="138">
        <f t="shared" si="111"/>
        <v>0</v>
      </c>
      <c r="M111" s="138">
        <f t="shared" si="111"/>
        <v>0</v>
      </c>
      <c r="N111" s="138">
        <f t="shared" si="111"/>
        <v>0</v>
      </c>
    </row>
    <row r="112" spans="3:14" ht="15" customHeight="1" x14ac:dyDescent="0.25">
      <c r="C112" s="17" t="s">
        <v>222</v>
      </c>
      <c r="D112" s="211">
        <v>693411000</v>
      </c>
      <c r="E112" s="211">
        <v>976837000</v>
      </c>
      <c r="F112" s="211">
        <v>1618199000</v>
      </c>
      <c r="G112" s="211">
        <v>4408569000</v>
      </c>
      <c r="H112" s="212">
        <v>7508661000</v>
      </c>
      <c r="I112" s="212">
        <v>7784558000</v>
      </c>
      <c r="J112" s="175">
        <f t="shared" ref="J112:N112" si="112">I112*(1+J119)</f>
        <v>8251631480</v>
      </c>
      <c r="K112" s="175">
        <f t="shared" si="112"/>
        <v>8664213054</v>
      </c>
      <c r="L112" s="175">
        <f t="shared" si="112"/>
        <v>9097423706.7000008</v>
      </c>
      <c r="M112" s="175">
        <f t="shared" si="112"/>
        <v>9461320654.9680004</v>
      </c>
      <c r="N112" s="175">
        <f t="shared" si="112"/>
        <v>9839773481.1667213</v>
      </c>
    </row>
    <row r="113" spans="3:14" s="13" customFormat="1" ht="15" customHeight="1" x14ac:dyDescent="0.25">
      <c r="C113" s="13" t="s">
        <v>221</v>
      </c>
      <c r="D113" s="107">
        <f t="shared" ref="D113:H113" si="113">SUM(D109:D112)</f>
        <v>42196235000</v>
      </c>
      <c r="E113" s="107">
        <f t="shared" si="113"/>
        <v>45078169000</v>
      </c>
      <c r="F113" s="107">
        <f t="shared" si="113"/>
        <v>55723701000</v>
      </c>
      <c r="G113" s="107">
        <f t="shared" si="113"/>
        <v>104028379000</v>
      </c>
      <c r="H113" s="107">
        <f t="shared" si="113"/>
        <v>182735474000</v>
      </c>
      <c r="I113" s="107">
        <f>SUM(I109:I112)</f>
        <v>211600177000</v>
      </c>
      <c r="J113" s="107">
        <f t="shared" ref="J113:N113" si="114">SUM(J109:J112)</f>
        <v>228537480660</v>
      </c>
      <c r="K113" s="107">
        <f t="shared" si="114"/>
        <v>239463311995.20001</v>
      </c>
      <c r="L113" s="107">
        <f t="shared" si="114"/>
        <v>246801197892.74405</v>
      </c>
      <c r="M113" s="107">
        <f t="shared" si="114"/>
        <v>258454124794.69778</v>
      </c>
      <c r="N113" s="107">
        <f t="shared" si="114"/>
        <v>273052595870.19107</v>
      </c>
    </row>
    <row r="114" spans="3:14" ht="15" customHeight="1" x14ac:dyDescent="0.25">
      <c r="D114" s="109"/>
      <c r="E114" s="109"/>
      <c r="F114" s="109"/>
      <c r="G114" s="109"/>
      <c r="H114" s="110"/>
      <c r="I114" s="110"/>
      <c r="J114" s="174"/>
      <c r="K114" s="174"/>
      <c r="L114" s="174"/>
      <c r="M114" s="174"/>
      <c r="N114" s="174"/>
    </row>
    <row r="115" spans="3:14" x14ac:dyDescent="0.25">
      <c r="C115" s="207" t="s">
        <v>226</v>
      </c>
      <c r="D115" s="112"/>
      <c r="E115" s="201">
        <f>IFERROR(E107/D107-1,"N/A")</f>
        <v>1.3730779680790408</v>
      </c>
      <c r="F115" s="201">
        <f t="shared" ref="F115:I115" si="115">IFERROR(F107/E107-1,"N/A")</f>
        <v>2.1792259057457741E-2</v>
      </c>
      <c r="G115" s="201">
        <f t="shared" si="115"/>
        <v>4.6154464326801445</v>
      </c>
      <c r="H115" s="201">
        <f t="shared" si="115"/>
        <v>0.58953257161397832</v>
      </c>
      <c r="I115" s="201">
        <f t="shared" si="115"/>
        <v>-0.57945752318605814</v>
      </c>
      <c r="J115" s="113">
        <v>-0.1</v>
      </c>
      <c r="K115" s="113">
        <v>-0.1</v>
      </c>
      <c r="L115" s="113">
        <v>-0.05</v>
      </c>
      <c r="M115" s="113">
        <v>0</v>
      </c>
      <c r="N115" s="113">
        <v>0</v>
      </c>
    </row>
    <row r="116" spans="3:14" ht="15" customHeight="1" x14ac:dyDescent="0.25">
      <c r="C116" s="17" t="s">
        <v>227</v>
      </c>
      <c r="D116" s="112"/>
      <c r="E116" s="201">
        <f t="shared" ref="E116:I116" si="116">IFERROR(E108/D108-1,"N/A")</f>
        <v>3.7563690383316306E-2</v>
      </c>
      <c r="F116" s="201">
        <f t="shared" si="116"/>
        <v>0.5134174367467057</v>
      </c>
      <c r="G116" s="201">
        <f t="shared" si="116"/>
        <v>0.83833567131509312</v>
      </c>
      <c r="H116" s="201">
        <f t="shared" si="116"/>
        <v>0.73340272418008801</v>
      </c>
      <c r="I116" s="201">
        <f t="shared" si="116"/>
        <v>0.48629928994318661</v>
      </c>
      <c r="J116" s="113">
        <v>0.12</v>
      </c>
      <c r="K116" s="113">
        <v>0.08</v>
      </c>
      <c r="L116" s="113">
        <v>0.05</v>
      </c>
      <c r="M116" s="113">
        <v>0.06</v>
      </c>
      <c r="N116" s="113">
        <v>7.0000000000000007E-2</v>
      </c>
    </row>
    <row r="117" spans="3:14" ht="15" customHeight="1" x14ac:dyDescent="0.25">
      <c r="C117" s="17" t="s">
        <v>228</v>
      </c>
      <c r="D117" s="112"/>
      <c r="E117" s="201">
        <f t="shared" ref="E117:I117" si="117">IFERROR(E110/D110-1,"N/A")</f>
        <v>-3.4510224007369694E-2</v>
      </c>
      <c r="F117" s="201">
        <f t="shared" si="117"/>
        <v>0.12239815914791086</v>
      </c>
      <c r="G117" s="201">
        <f t="shared" si="117"/>
        <v>0.14320154523748085</v>
      </c>
      <c r="H117" s="201">
        <f t="shared" si="117"/>
        <v>0.94172697705798991</v>
      </c>
      <c r="I117" s="201">
        <f t="shared" si="117"/>
        <v>0.39611385585385639</v>
      </c>
      <c r="J117" s="113">
        <v>0.08</v>
      </c>
      <c r="K117" s="113">
        <v>0.04</v>
      </c>
      <c r="L117" s="113">
        <v>0.02</v>
      </c>
      <c r="M117" s="113">
        <v>0.04</v>
      </c>
      <c r="N117" s="113">
        <v>0.05</v>
      </c>
    </row>
    <row r="118" spans="3:14" ht="15" customHeight="1" x14ac:dyDescent="0.25">
      <c r="C118" s="17" t="s">
        <v>229</v>
      </c>
      <c r="D118" s="112"/>
      <c r="E118" s="201">
        <f>IFERROR(E111/D111-1,"N/A")</f>
        <v>3.0356528153430045</v>
      </c>
      <c r="F118" s="201">
        <f t="shared" ref="F118:I118" si="118">IFERROR(F111/E111-1,"N/A")</f>
        <v>-1</v>
      </c>
      <c r="G118" s="201" t="str">
        <f t="shared" si="118"/>
        <v>N/A</v>
      </c>
      <c r="H118" s="201" t="str">
        <f t="shared" si="118"/>
        <v>N/A</v>
      </c>
      <c r="I118" s="201" t="str">
        <f t="shared" si="118"/>
        <v>N/A</v>
      </c>
      <c r="J118" s="113">
        <v>0</v>
      </c>
      <c r="K118" s="113">
        <v>0</v>
      </c>
      <c r="L118" s="113">
        <v>0</v>
      </c>
      <c r="M118" s="113">
        <v>0</v>
      </c>
      <c r="N118" s="113">
        <v>0</v>
      </c>
    </row>
    <row r="119" spans="3:14" ht="15" customHeight="1" x14ac:dyDescent="0.25">
      <c r="C119" s="17" t="s">
        <v>230</v>
      </c>
      <c r="D119" s="112"/>
      <c r="E119" s="201">
        <f t="shared" ref="E119:I119" si="119">IFERROR(E112/D112-1,"N/A")</f>
        <v>0.40874171306771889</v>
      </c>
      <c r="F119" s="201">
        <f t="shared" si="119"/>
        <v>0.6565701340141703</v>
      </c>
      <c r="G119" s="201">
        <f t="shared" si="119"/>
        <v>1.7243676457592669</v>
      </c>
      <c r="H119" s="201">
        <f t="shared" si="119"/>
        <v>0.70319688769757271</v>
      </c>
      <c r="I119" s="201">
        <f t="shared" si="119"/>
        <v>3.6743834886140192E-2</v>
      </c>
      <c r="J119" s="113">
        <v>0.06</v>
      </c>
      <c r="K119" s="113">
        <v>0.05</v>
      </c>
      <c r="L119" s="113">
        <v>0.05</v>
      </c>
      <c r="M119" s="113">
        <v>0.04</v>
      </c>
      <c r="N119" s="113">
        <v>0.04</v>
      </c>
    </row>
    <row r="120" spans="3:14" ht="15" customHeight="1" x14ac:dyDescent="0.25">
      <c r="D120" s="109"/>
      <c r="E120" s="109"/>
      <c r="F120" s="109"/>
      <c r="G120" s="109"/>
      <c r="H120" s="111"/>
      <c r="I120" s="111"/>
      <c r="J120" s="174"/>
      <c r="K120" s="174"/>
      <c r="L120" s="174"/>
      <c r="M120" s="174"/>
      <c r="N120" s="174"/>
    </row>
    <row r="121" spans="3:14" s="27" customFormat="1" ht="15" customHeight="1" x14ac:dyDescent="0.25">
      <c r="C121" s="13" t="s">
        <v>233</v>
      </c>
      <c r="D121" s="7"/>
      <c r="E121" s="7"/>
      <c r="F121" s="7"/>
      <c r="G121" s="7"/>
      <c r="H121" s="6"/>
      <c r="I121" s="6"/>
      <c r="J121" s="6"/>
      <c r="K121" s="6"/>
      <c r="L121" s="6"/>
      <c r="M121" s="6"/>
      <c r="N121" s="6"/>
    </row>
    <row r="122" spans="3:14" ht="15" customHeight="1" x14ac:dyDescent="0.25">
      <c r="C122" s="36" t="s">
        <v>50</v>
      </c>
      <c r="D122" s="37">
        <f t="shared" ref="D122:N122" si="120">D$13</f>
        <v>2020</v>
      </c>
      <c r="E122" s="37">
        <f t="shared" si="120"/>
        <v>2021</v>
      </c>
      <c r="F122" s="37">
        <f t="shared" si="120"/>
        <v>2022</v>
      </c>
      <c r="G122" s="37">
        <f t="shared" si="120"/>
        <v>2023</v>
      </c>
      <c r="H122" s="37">
        <f t="shared" si="120"/>
        <v>2024</v>
      </c>
      <c r="I122" s="37">
        <f t="shared" si="120"/>
        <v>2025</v>
      </c>
      <c r="J122" s="38">
        <f t="shared" si="120"/>
        <v>2026</v>
      </c>
      <c r="K122" s="38">
        <f t="shared" si="120"/>
        <v>2027</v>
      </c>
      <c r="L122" s="38">
        <f t="shared" si="120"/>
        <v>2028</v>
      </c>
      <c r="M122" s="38">
        <f t="shared" si="120"/>
        <v>2029</v>
      </c>
      <c r="N122" s="38">
        <f t="shared" si="120"/>
        <v>2030</v>
      </c>
    </row>
    <row r="123" spans="3:14" ht="15" customHeight="1" x14ac:dyDescent="0.25">
      <c r="C123" s="32" t="s">
        <v>51</v>
      </c>
      <c r="D123" s="124">
        <f t="shared" ref="D123:N123" si="121">D$14</f>
        <v>44196</v>
      </c>
      <c r="E123" s="124">
        <f t="shared" si="121"/>
        <v>44561</v>
      </c>
      <c r="F123" s="124">
        <f t="shared" si="121"/>
        <v>44926</v>
      </c>
      <c r="G123" s="124">
        <f t="shared" si="121"/>
        <v>45291</v>
      </c>
      <c r="H123" s="124">
        <f t="shared" si="121"/>
        <v>45657</v>
      </c>
      <c r="I123" s="124">
        <f t="shared" si="121"/>
        <v>46022</v>
      </c>
      <c r="J123" s="124">
        <f t="shared" si="121"/>
        <v>46387</v>
      </c>
      <c r="K123" s="124">
        <f t="shared" si="121"/>
        <v>46752</v>
      </c>
      <c r="L123" s="124">
        <f t="shared" si="121"/>
        <v>47118</v>
      </c>
      <c r="M123" s="124">
        <f t="shared" si="121"/>
        <v>47483</v>
      </c>
      <c r="N123" s="124">
        <f t="shared" si="121"/>
        <v>47848</v>
      </c>
    </row>
    <row r="124" spans="3:14" ht="15" customHeight="1" x14ac:dyDescent="0.25">
      <c r="C124" s="17"/>
      <c r="D124" s="109"/>
      <c r="E124" s="109"/>
      <c r="F124" s="109"/>
      <c r="G124" s="109"/>
      <c r="H124" s="108"/>
      <c r="I124" s="108"/>
      <c r="J124" s="175"/>
      <c r="K124" s="175"/>
      <c r="L124" s="175"/>
      <c r="M124" s="175"/>
      <c r="N124" s="175"/>
    </row>
    <row r="125" spans="3:14" ht="15" customHeight="1" x14ac:dyDescent="0.25">
      <c r="C125" s="135" t="s">
        <v>218</v>
      </c>
      <c r="D125" s="109"/>
      <c r="E125" s="109"/>
      <c r="F125" s="109"/>
      <c r="G125" s="109"/>
      <c r="H125" s="108"/>
      <c r="I125" s="108"/>
      <c r="J125" s="175"/>
      <c r="K125" s="175"/>
      <c r="L125" s="175"/>
      <c r="M125" s="175"/>
      <c r="N125" s="175"/>
    </row>
    <row r="126" spans="3:14" ht="15" customHeight="1" x14ac:dyDescent="0.25">
      <c r="C126" s="17" t="s">
        <v>225</v>
      </c>
      <c r="D126" s="128">
        <v>-458210000</v>
      </c>
      <c r="E126" s="128">
        <v>-123098000</v>
      </c>
      <c r="F126" s="128">
        <v>-195095000</v>
      </c>
      <c r="G126" s="128">
        <v>-2458316000</v>
      </c>
      <c r="H126" s="128">
        <v>-10195894000</v>
      </c>
      <c r="I126" s="128">
        <v>-9112525000</v>
      </c>
      <c r="J126" s="175">
        <f>I126*(1+J136)</f>
        <v>-8019022000</v>
      </c>
      <c r="K126" s="175">
        <f t="shared" ref="K126:N126" si="122">J126*(1+K136)</f>
        <v>-7217119800</v>
      </c>
      <c r="L126" s="175">
        <f t="shared" si="122"/>
        <v>-6856263810</v>
      </c>
      <c r="M126" s="175">
        <f t="shared" si="122"/>
        <v>-6856263810</v>
      </c>
      <c r="N126" s="175">
        <f t="shared" si="122"/>
        <v>-6856263810</v>
      </c>
    </row>
    <row r="127" spans="3:14" ht="15" customHeight="1" x14ac:dyDescent="0.25">
      <c r="C127" s="17" t="s">
        <v>224</v>
      </c>
      <c r="D127" s="128">
        <v>-16070642000</v>
      </c>
      <c r="E127" s="128">
        <v>-19481389000</v>
      </c>
      <c r="F127" s="128">
        <v>-23807888000</v>
      </c>
      <c r="G127" s="128">
        <v>-47249312000</v>
      </c>
      <c r="H127" s="128">
        <v>-79141208000</v>
      </c>
      <c r="I127" s="128">
        <v>-91747074000</v>
      </c>
      <c r="J127" s="175">
        <f t="shared" ref="J127:N127" si="123">I127*(1+J137)</f>
        <v>-100921781400.00002</v>
      </c>
      <c r="K127" s="175">
        <f t="shared" si="123"/>
        <v>-107986306098.00002</v>
      </c>
      <c r="L127" s="175">
        <f t="shared" si="123"/>
        <v>-112305758341.92001</v>
      </c>
      <c r="M127" s="175">
        <f t="shared" si="123"/>
        <v>-117921046259.01602</v>
      </c>
      <c r="N127" s="175">
        <f t="shared" si="123"/>
        <v>-124996309034.55699</v>
      </c>
    </row>
    <row r="128" spans="3:14" ht="15" customHeight="1" x14ac:dyDescent="0.25">
      <c r="C128" s="135" t="s">
        <v>219</v>
      </c>
      <c r="D128" s="14">
        <f>SUM(D126:D127)</f>
        <v>-16528852000</v>
      </c>
      <c r="E128" s="14">
        <f t="shared" ref="E128:I128" si="124">SUM(E126:E127)</f>
        <v>-19604487000</v>
      </c>
      <c r="F128" s="14">
        <f t="shared" si="124"/>
        <v>-24002983000</v>
      </c>
      <c r="G128" s="14">
        <f t="shared" si="124"/>
        <v>-49707628000</v>
      </c>
      <c r="H128" s="14">
        <f t="shared" si="124"/>
        <v>-89337102000</v>
      </c>
      <c r="I128" s="14">
        <f t="shared" si="124"/>
        <v>-100859599000</v>
      </c>
      <c r="J128" s="14">
        <f t="shared" ref="J128" si="125">SUM(J126:J127)</f>
        <v>-108940803400.00002</v>
      </c>
      <c r="K128" s="14">
        <f t="shared" ref="K128" si="126">SUM(K126:K127)</f>
        <v>-115203425898.00002</v>
      </c>
      <c r="L128" s="14">
        <f t="shared" ref="L128" si="127">SUM(L126:L127)</f>
        <v>-119162022151.92001</v>
      </c>
      <c r="M128" s="14">
        <f t="shared" ref="M128" si="128">SUM(M126:M127)</f>
        <v>-124777310069.01602</v>
      </c>
      <c r="N128" s="14">
        <f t="shared" ref="N128" si="129">SUM(N126:N127)</f>
        <v>-131852572844.55699</v>
      </c>
    </row>
    <row r="129" spans="3:14" ht="15" customHeight="1" x14ac:dyDescent="0.25">
      <c r="C129" s="17" t="s">
        <v>232</v>
      </c>
      <c r="D129" s="128">
        <v>-209975000</v>
      </c>
      <c r="E129" s="128">
        <v>-160143000</v>
      </c>
      <c r="F129" s="128">
        <v>-165895000</v>
      </c>
      <c r="G129" s="128">
        <v>-156017000</v>
      </c>
      <c r="H129" s="128">
        <v>-19188000</v>
      </c>
      <c r="I129" s="128">
        <v>-14908000</v>
      </c>
      <c r="J129" s="102">
        <f>I129*(1+J138)</f>
        <v>-14908000</v>
      </c>
      <c r="K129" s="102">
        <f t="shared" ref="K129:N129" si="130">J129*(1+K138)</f>
        <v>-14908000</v>
      </c>
      <c r="L129" s="102">
        <f t="shared" si="130"/>
        <v>-14908000</v>
      </c>
      <c r="M129" s="102">
        <f t="shared" si="130"/>
        <v>-14908000</v>
      </c>
      <c r="N129" s="102">
        <f t="shared" si="130"/>
        <v>-14908000</v>
      </c>
    </row>
    <row r="130" spans="3:14" ht="15" customHeight="1" x14ac:dyDescent="0.25">
      <c r="C130" s="17" t="s">
        <v>169</v>
      </c>
      <c r="D130" s="128">
        <v>-284988000</v>
      </c>
      <c r="E130" s="128">
        <v>-319008000</v>
      </c>
      <c r="F130" s="128">
        <v>-473246000</v>
      </c>
      <c r="G130" s="128">
        <v>-1115442000</v>
      </c>
      <c r="H130" s="128">
        <v>-2137347000</v>
      </c>
      <c r="I130" s="128">
        <v>-2835376000</v>
      </c>
      <c r="J130" s="102">
        <f t="shared" ref="J130:N130" si="131">I130*(1+J139)</f>
        <v>-3118913600.0000005</v>
      </c>
      <c r="K130" s="102">
        <f t="shared" si="131"/>
        <v>-3368426688.000001</v>
      </c>
      <c r="L130" s="102">
        <f t="shared" si="131"/>
        <v>-3536848022.400001</v>
      </c>
      <c r="M130" s="102">
        <f t="shared" si="131"/>
        <v>-3713690423.5200014</v>
      </c>
      <c r="N130" s="102">
        <f t="shared" si="131"/>
        <v>-3862238040.4608016</v>
      </c>
    </row>
    <row r="131" spans="3:14" ht="15" customHeight="1" x14ac:dyDescent="0.25">
      <c r="C131" s="17" t="s">
        <v>168</v>
      </c>
      <c r="D131" s="128">
        <v>0</v>
      </c>
      <c r="E131" s="128">
        <v>-28740000</v>
      </c>
      <c r="F131" s="128">
        <v>-76679000</v>
      </c>
      <c r="G131" s="128">
        <v>-119630000</v>
      </c>
      <c r="H131" s="128">
        <v>-177615000</v>
      </c>
      <c r="I131" s="128">
        <v>-190663000</v>
      </c>
      <c r="J131" s="102">
        <f t="shared" ref="J131:N131" si="132">I131*(1+J140)</f>
        <v>-200196150</v>
      </c>
      <c r="K131" s="102">
        <f t="shared" si="132"/>
        <v>-200196150</v>
      </c>
      <c r="L131" s="102">
        <f t="shared" si="132"/>
        <v>-200196150</v>
      </c>
      <c r="M131" s="102">
        <f t="shared" si="132"/>
        <v>-200196150</v>
      </c>
      <c r="N131" s="102">
        <f t="shared" si="132"/>
        <v>-200196150</v>
      </c>
    </row>
    <row r="132" spans="3:14" ht="15" customHeight="1" x14ac:dyDescent="0.25">
      <c r="C132" s="13" t="s">
        <v>231</v>
      </c>
      <c r="D132" s="14">
        <f>SUM(D128:D131)</f>
        <v>-17023815000</v>
      </c>
      <c r="E132" s="14">
        <f t="shared" ref="E132:I132" si="133">SUM(E128:E131)</f>
        <v>-20112378000</v>
      </c>
      <c r="F132" s="14">
        <f t="shared" si="133"/>
        <v>-24718803000</v>
      </c>
      <c r="G132" s="14">
        <f t="shared" si="133"/>
        <v>-51098717000</v>
      </c>
      <c r="H132" s="14">
        <f t="shared" si="133"/>
        <v>-91671252000</v>
      </c>
      <c r="I132" s="14">
        <f t="shared" si="133"/>
        <v>-103900546000</v>
      </c>
      <c r="J132" s="14">
        <f t="shared" ref="J132" si="134">SUM(J128:J131)</f>
        <v>-112274821150.00002</v>
      </c>
      <c r="K132" s="14">
        <f t="shared" ref="K132" si="135">SUM(K128:K131)</f>
        <v>-118786956736.00002</v>
      </c>
      <c r="L132" s="14">
        <f t="shared" ref="L132" si="136">SUM(L128:L131)</f>
        <v>-122913974324.32001</v>
      </c>
      <c r="M132" s="14">
        <f t="shared" ref="M132" si="137">SUM(M128:M131)</f>
        <v>-128706104642.53603</v>
      </c>
      <c r="N132" s="14">
        <f t="shared" ref="N132" si="138">SUM(N128:N131)</f>
        <v>-135929915035.01779</v>
      </c>
    </row>
    <row r="133" spans="3:14" ht="15" customHeight="1" x14ac:dyDescent="0.25">
      <c r="C133" s="13"/>
      <c r="D133" s="127"/>
      <c r="E133" s="127"/>
      <c r="F133" s="127"/>
      <c r="G133" s="127"/>
      <c r="H133" s="127"/>
      <c r="I133" s="108"/>
      <c r="J133" s="102"/>
      <c r="K133" s="102"/>
      <c r="L133" s="102"/>
      <c r="M133" s="102"/>
      <c r="N133" s="102"/>
    </row>
    <row r="134" spans="3:14" ht="15" customHeight="1" x14ac:dyDescent="0.25">
      <c r="C134" s="13" t="s">
        <v>126</v>
      </c>
      <c r="D134" s="14">
        <f>D113+D132</f>
        <v>25172420000</v>
      </c>
      <c r="E134" s="14">
        <f t="shared" ref="E134:N134" si="139">E113+E132</f>
        <v>24965791000</v>
      </c>
      <c r="F134" s="14">
        <f t="shared" si="139"/>
        <v>31004898000</v>
      </c>
      <c r="G134" s="14">
        <f t="shared" si="139"/>
        <v>52929662000</v>
      </c>
      <c r="H134" s="14">
        <f t="shared" si="139"/>
        <v>91064222000</v>
      </c>
      <c r="I134" s="14">
        <f t="shared" si="139"/>
        <v>107699631000</v>
      </c>
      <c r="J134" s="14">
        <f t="shared" si="139"/>
        <v>116262659509.99998</v>
      </c>
      <c r="K134" s="14">
        <f t="shared" si="139"/>
        <v>120676355259.2</v>
      </c>
      <c r="L134" s="14">
        <f t="shared" si="139"/>
        <v>123887223568.42404</v>
      </c>
      <c r="M134" s="14">
        <f t="shared" si="139"/>
        <v>129748020152.16176</v>
      </c>
      <c r="N134" s="14">
        <f t="shared" si="139"/>
        <v>137122680835.17328</v>
      </c>
    </row>
    <row r="135" spans="3:14" ht="15" customHeight="1" x14ac:dyDescent="0.25">
      <c r="C135" s="13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</row>
    <row r="136" spans="3:14" ht="15" customHeight="1" x14ac:dyDescent="0.25">
      <c r="C136" s="207" t="s">
        <v>226</v>
      </c>
      <c r="D136" s="127"/>
      <c r="E136" s="201">
        <f>IFERROR(E126/D126-1,"N/A")</f>
        <v>-0.73135025425023459</v>
      </c>
      <c r="F136" s="201">
        <f t="shared" ref="F136:I136" si="140">IFERROR(F126/E126-1,"N/A")</f>
        <v>0.58487546507660571</v>
      </c>
      <c r="G136" s="201">
        <f t="shared" si="140"/>
        <v>11.600609959250621</v>
      </c>
      <c r="H136" s="201">
        <f t="shared" si="140"/>
        <v>3.147511548556003</v>
      </c>
      <c r="I136" s="201">
        <f t="shared" si="140"/>
        <v>-0.10625542007400235</v>
      </c>
      <c r="J136" s="113">
        <v>-0.12</v>
      </c>
      <c r="K136" s="113">
        <v>-0.1</v>
      </c>
      <c r="L136" s="113">
        <v>-0.05</v>
      </c>
      <c r="M136" s="113">
        <v>0</v>
      </c>
      <c r="N136" s="113">
        <v>0</v>
      </c>
    </row>
    <row r="137" spans="3:14" ht="15" customHeight="1" x14ac:dyDescent="0.25">
      <c r="C137" s="17" t="s">
        <v>227</v>
      </c>
      <c r="D137" s="127"/>
      <c r="E137" s="201">
        <f t="shared" ref="E137:I137" si="141">IFERROR(E127/D127-1,"N/A")</f>
        <v>0.21223464501293732</v>
      </c>
      <c r="F137" s="201">
        <f t="shared" si="141"/>
        <v>0.22208370255324206</v>
      </c>
      <c r="G137" s="201">
        <f t="shared" si="141"/>
        <v>0.98460745447055187</v>
      </c>
      <c r="H137" s="201">
        <f t="shared" si="141"/>
        <v>0.67497059004795679</v>
      </c>
      <c r="I137" s="201">
        <f t="shared" si="141"/>
        <v>0.15928321437802673</v>
      </c>
      <c r="J137" s="113">
        <v>0.1</v>
      </c>
      <c r="K137" s="113">
        <v>7.0000000000000007E-2</v>
      </c>
      <c r="L137" s="113">
        <v>0.04</v>
      </c>
      <c r="M137" s="113">
        <v>0.05</v>
      </c>
      <c r="N137" s="113">
        <v>0.06</v>
      </c>
    </row>
    <row r="138" spans="3:14" ht="15" customHeight="1" x14ac:dyDescent="0.25">
      <c r="C138" s="17" t="s">
        <v>234</v>
      </c>
      <c r="D138" s="127"/>
      <c r="E138" s="201">
        <f>IFERROR(E129/D129-1,"N/A")</f>
        <v>-0.23732349089177285</v>
      </c>
      <c r="F138" s="201">
        <f t="shared" ref="F138:I138" si="142">IFERROR(F129/E129-1,"N/A")</f>
        <v>3.5917898378324375E-2</v>
      </c>
      <c r="G138" s="201">
        <f t="shared" si="142"/>
        <v>-5.9543687272069712E-2</v>
      </c>
      <c r="H138" s="201">
        <f t="shared" si="142"/>
        <v>-0.87701340238563752</v>
      </c>
      <c r="I138" s="201">
        <f t="shared" si="142"/>
        <v>-0.22305607671461325</v>
      </c>
      <c r="J138" s="113">
        <v>0</v>
      </c>
      <c r="K138" s="113">
        <v>0</v>
      </c>
      <c r="L138" s="113">
        <v>0</v>
      </c>
      <c r="M138" s="113">
        <v>0</v>
      </c>
      <c r="N138" s="113">
        <v>0</v>
      </c>
    </row>
    <row r="139" spans="3:14" ht="15" customHeight="1" x14ac:dyDescent="0.25">
      <c r="C139" s="17" t="s">
        <v>178</v>
      </c>
      <c r="D139" s="127"/>
      <c r="E139" s="201">
        <f t="shared" ref="E139:I139" si="143">IFERROR(E130/D130-1,"N/A")</f>
        <v>0.11937344730304433</v>
      </c>
      <c r="F139" s="201">
        <f t="shared" si="143"/>
        <v>0.48349257698866488</v>
      </c>
      <c r="G139" s="201">
        <f t="shared" si="143"/>
        <v>1.3570024891916677</v>
      </c>
      <c r="H139" s="201">
        <f t="shared" si="143"/>
        <v>0.91614355564879224</v>
      </c>
      <c r="I139" s="201">
        <f t="shared" si="143"/>
        <v>0.32658665158254596</v>
      </c>
      <c r="J139" s="113">
        <v>0.1</v>
      </c>
      <c r="K139" s="113">
        <v>0.08</v>
      </c>
      <c r="L139" s="113">
        <v>0.05</v>
      </c>
      <c r="M139" s="113">
        <v>0.05</v>
      </c>
      <c r="N139" s="113">
        <v>0.04</v>
      </c>
    </row>
    <row r="140" spans="3:14" ht="15" customHeight="1" x14ac:dyDescent="0.25">
      <c r="C140" s="17" t="s">
        <v>235</v>
      </c>
      <c r="D140" s="127"/>
      <c r="E140" s="201" t="str">
        <f t="shared" ref="E140:I140" si="144">IFERROR(E131/D131-1,"N/A")</f>
        <v>N/A</v>
      </c>
      <c r="F140" s="201">
        <f t="shared" si="144"/>
        <v>1.6680236604036187</v>
      </c>
      <c r="G140" s="201">
        <f t="shared" si="144"/>
        <v>0.56014032525202473</v>
      </c>
      <c r="H140" s="201">
        <f t="shared" si="144"/>
        <v>0.4847028337373569</v>
      </c>
      <c r="I140" s="201">
        <f t="shared" si="144"/>
        <v>7.3462263885370138E-2</v>
      </c>
      <c r="J140" s="113">
        <v>0.05</v>
      </c>
      <c r="K140" s="113">
        <v>0</v>
      </c>
      <c r="L140" s="113">
        <v>0</v>
      </c>
      <c r="M140" s="113">
        <v>0</v>
      </c>
      <c r="N140" s="113">
        <v>0</v>
      </c>
    </row>
    <row r="141" spans="3:14" ht="15" customHeight="1" x14ac:dyDescent="0.25">
      <c r="C141" s="13"/>
      <c r="D141" s="127"/>
      <c r="E141" s="127"/>
      <c r="F141" s="127"/>
      <c r="G141" s="127"/>
      <c r="H141" s="127"/>
      <c r="I141" s="108"/>
      <c r="J141" s="102"/>
      <c r="K141" s="102"/>
      <c r="L141" s="102"/>
      <c r="M141" s="102"/>
      <c r="N141" s="102"/>
    </row>
    <row r="142" spans="3:14" ht="15" customHeight="1" x14ac:dyDescent="0.25">
      <c r="C142" s="13" t="s">
        <v>236</v>
      </c>
      <c r="D142" s="7"/>
      <c r="E142" s="7"/>
      <c r="F142" s="7"/>
      <c r="G142" s="7"/>
    </row>
    <row r="143" spans="3:14" ht="15" customHeight="1" x14ac:dyDescent="0.25">
      <c r="C143" s="36" t="s">
        <v>50</v>
      </c>
      <c r="D143" s="37">
        <f t="shared" ref="D143:N143" si="145">D$13</f>
        <v>2020</v>
      </c>
      <c r="E143" s="37">
        <f t="shared" si="145"/>
        <v>2021</v>
      </c>
      <c r="F143" s="37">
        <f t="shared" si="145"/>
        <v>2022</v>
      </c>
      <c r="G143" s="37">
        <f t="shared" si="145"/>
        <v>2023</v>
      </c>
      <c r="H143" s="37">
        <f t="shared" si="145"/>
        <v>2024</v>
      </c>
      <c r="I143" s="37">
        <f t="shared" si="145"/>
        <v>2025</v>
      </c>
      <c r="J143" s="38">
        <f t="shared" si="145"/>
        <v>2026</v>
      </c>
      <c r="K143" s="38">
        <f t="shared" si="145"/>
        <v>2027</v>
      </c>
      <c r="L143" s="38">
        <f t="shared" si="145"/>
        <v>2028</v>
      </c>
      <c r="M143" s="38">
        <f t="shared" si="145"/>
        <v>2029</v>
      </c>
      <c r="N143" s="38">
        <f t="shared" si="145"/>
        <v>2030</v>
      </c>
    </row>
    <row r="144" spans="3:14" ht="15" customHeight="1" x14ac:dyDescent="0.25">
      <c r="C144" s="32" t="s">
        <v>51</v>
      </c>
      <c r="D144" s="124">
        <f t="shared" ref="D144:N144" si="146">D$14</f>
        <v>44196</v>
      </c>
      <c r="E144" s="124">
        <f t="shared" si="146"/>
        <v>44561</v>
      </c>
      <c r="F144" s="124">
        <f t="shared" si="146"/>
        <v>44926</v>
      </c>
      <c r="G144" s="124">
        <f t="shared" si="146"/>
        <v>45291</v>
      </c>
      <c r="H144" s="124">
        <f t="shared" si="146"/>
        <v>45657</v>
      </c>
      <c r="I144" s="124">
        <f t="shared" si="146"/>
        <v>46022</v>
      </c>
      <c r="J144" s="124">
        <f t="shared" si="146"/>
        <v>46387</v>
      </c>
      <c r="K144" s="124">
        <f t="shared" si="146"/>
        <v>46752</v>
      </c>
      <c r="L144" s="124">
        <f t="shared" si="146"/>
        <v>47118</v>
      </c>
      <c r="M144" s="124">
        <f t="shared" si="146"/>
        <v>47483</v>
      </c>
      <c r="N144" s="124">
        <f t="shared" si="146"/>
        <v>47848</v>
      </c>
    </row>
    <row r="145" spans="3:14" ht="15" customHeight="1" x14ac:dyDescent="0.25">
      <c r="C145" s="13"/>
      <c r="D145" s="127"/>
      <c r="E145" s="127"/>
      <c r="F145" s="127"/>
      <c r="G145" s="127"/>
      <c r="H145" s="127"/>
      <c r="I145" s="108"/>
      <c r="J145" s="102"/>
      <c r="K145" s="102"/>
      <c r="L145" s="102"/>
      <c r="M145" s="102"/>
      <c r="N145" s="102"/>
    </row>
    <row r="146" spans="3:14" s="102" customFormat="1" ht="15" customHeight="1" x14ac:dyDescent="0.25">
      <c r="C146" s="208" t="s">
        <v>237</v>
      </c>
      <c r="D146" s="103">
        <v>107514953000</v>
      </c>
      <c r="E146" s="103">
        <v>134443380000</v>
      </c>
      <c r="F146" s="103">
        <v>197948359000</v>
      </c>
      <c r="G146" s="103">
        <v>255597422000</v>
      </c>
      <c r="H146" s="103">
        <v>368893515000</v>
      </c>
      <c r="I146" s="103">
        <v>461967523000</v>
      </c>
      <c r="J146" s="102">
        <f>I146*(1+J157)</f>
        <v>535882326679.99994</v>
      </c>
      <c r="K146" s="102">
        <f t="shared" ref="K146:N146" si="147">J146*(1+K157)</f>
        <v>610905852415.19995</v>
      </c>
      <c r="L146" s="102">
        <f t="shared" si="147"/>
        <v>684214554705.02405</v>
      </c>
      <c r="M146" s="102">
        <f t="shared" si="147"/>
        <v>759478155722.57678</v>
      </c>
      <c r="N146" s="102">
        <f t="shared" si="147"/>
        <v>835425971294.83447</v>
      </c>
    </row>
    <row r="147" spans="3:14" s="102" customFormat="1" ht="15" customHeight="1" x14ac:dyDescent="0.25">
      <c r="C147" s="208" t="s">
        <v>238</v>
      </c>
      <c r="D147" s="103">
        <v>58877291000</v>
      </c>
      <c r="E147" s="103">
        <v>80220124000</v>
      </c>
      <c r="F147" s="103">
        <v>106969176000</v>
      </c>
      <c r="G147" s="103">
        <v>117608870000</v>
      </c>
      <c r="H147" s="103">
        <v>195085589000</v>
      </c>
      <c r="I147" s="103">
        <v>180471867000</v>
      </c>
      <c r="J147" s="102">
        <f t="shared" ref="J147:N147" si="148">I147*(1+J158)</f>
        <v>198519053700.00003</v>
      </c>
      <c r="K147" s="102">
        <f t="shared" si="148"/>
        <v>216385768533.00006</v>
      </c>
      <c r="L147" s="102">
        <f t="shared" si="148"/>
        <v>233696630015.64008</v>
      </c>
      <c r="M147" s="102">
        <f t="shared" si="148"/>
        <v>252392360416.8913</v>
      </c>
      <c r="N147" s="102">
        <f t="shared" si="148"/>
        <v>270059825646.0737</v>
      </c>
    </row>
    <row r="148" spans="3:14" s="102" customFormat="1" ht="15" customHeight="1" x14ac:dyDescent="0.25">
      <c r="C148" s="208" t="s">
        <v>239</v>
      </c>
      <c r="D148" s="103">
        <v>100027684000</v>
      </c>
      <c r="E148" s="103">
        <v>102119393000</v>
      </c>
      <c r="F148" s="103">
        <v>128342125000</v>
      </c>
      <c r="G148" s="103">
        <v>188832842000</v>
      </c>
      <c r="H148" s="103">
        <v>234726375000</v>
      </c>
      <c r="I148" s="103">
        <v>248483791000</v>
      </c>
      <c r="J148" s="102">
        <f t="shared" ref="J148:N148" si="149">I148*(1+J159)</f>
        <v>278301845920</v>
      </c>
      <c r="K148" s="102">
        <f t="shared" si="149"/>
        <v>306132030512</v>
      </c>
      <c r="L148" s="102">
        <f t="shared" si="149"/>
        <v>333683913258.08002</v>
      </c>
      <c r="M148" s="102">
        <f t="shared" si="149"/>
        <v>360378626318.72644</v>
      </c>
      <c r="N148" s="102">
        <f t="shared" si="149"/>
        <v>389208916424.22461</v>
      </c>
    </row>
    <row r="149" spans="3:14" s="102" customFormat="1" ht="15" customHeight="1" x14ac:dyDescent="0.25">
      <c r="C149" s="208" t="s">
        <v>240</v>
      </c>
      <c r="D149" s="103">
        <v>70806502000</v>
      </c>
      <c r="E149" s="103">
        <v>86467822000</v>
      </c>
      <c r="F149" s="103">
        <v>91986230000</v>
      </c>
      <c r="G149" s="103">
        <v>107598758000</v>
      </c>
      <c r="H149" s="103">
        <v>164587739000</v>
      </c>
      <c r="I149" s="103">
        <v>211270156000</v>
      </c>
      <c r="J149" s="102">
        <f t="shared" ref="J149:N149" si="150">I149*(1+J160)</f>
        <v>249298784080</v>
      </c>
      <c r="K149" s="102">
        <f t="shared" si="150"/>
        <v>286693601692</v>
      </c>
      <c r="L149" s="102">
        <f t="shared" si="150"/>
        <v>323963769911.95996</v>
      </c>
      <c r="M149" s="102">
        <f t="shared" si="150"/>
        <v>362839422301.3952</v>
      </c>
      <c r="N149" s="102">
        <f t="shared" si="150"/>
        <v>402751758754.54871</v>
      </c>
    </row>
    <row r="150" spans="3:14" s="102" customFormat="1" ht="15" customHeight="1" x14ac:dyDescent="0.25">
      <c r="C150" s="208" t="s">
        <v>241</v>
      </c>
      <c r="D150" s="103">
        <v>3943020000</v>
      </c>
      <c r="E150" s="103">
        <v>3990819000</v>
      </c>
      <c r="F150" s="103">
        <v>6370660000</v>
      </c>
      <c r="G150" s="103">
        <v>7599587000</v>
      </c>
      <c r="H150" s="103">
        <v>9302740000</v>
      </c>
      <c r="I150" s="103">
        <v>8202356000</v>
      </c>
      <c r="J150" s="102">
        <f t="shared" ref="J150:N150" si="151">I150*(1+J161)</f>
        <v>8612473800</v>
      </c>
      <c r="K150" s="102">
        <f t="shared" si="151"/>
        <v>9043097490</v>
      </c>
      <c r="L150" s="102">
        <f t="shared" si="151"/>
        <v>9495252364.5</v>
      </c>
      <c r="M150" s="102">
        <f t="shared" si="151"/>
        <v>9970014982.7250004</v>
      </c>
      <c r="N150" s="102">
        <f t="shared" si="151"/>
        <v>10468515731.86125</v>
      </c>
    </row>
    <row r="151" spans="3:14" s="14" customFormat="1" ht="15" customHeight="1" x14ac:dyDescent="0.25">
      <c r="C151" s="210" t="s">
        <v>242</v>
      </c>
      <c r="D151" s="14">
        <f>SUM(D146:D150)</f>
        <v>341169450000</v>
      </c>
      <c r="E151" s="14">
        <f t="shared" ref="E151:N151" si="152">SUM(E146:E150)</f>
        <v>407241538000</v>
      </c>
      <c r="F151" s="14">
        <f t="shared" si="152"/>
        <v>531616550000</v>
      </c>
      <c r="G151" s="14">
        <f t="shared" si="152"/>
        <v>677237479000</v>
      </c>
      <c r="H151" s="14">
        <f t="shared" si="152"/>
        <v>972595958000</v>
      </c>
      <c r="I151" s="14">
        <f t="shared" si="152"/>
        <v>1110395693000</v>
      </c>
      <c r="J151" s="14">
        <f t="shared" si="152"/>
        <v>1270614484180</v>
      </c>
      <c r="K151" s="14">
        <f t="shared" si="152"/>
        <v>1429160350642.2</v>
      </c>
      <c r="L151" s="14">
        <f t="shared" si="152"/>
        <v>1585054120255.2041</v>
      </c>
      <c r="M151" s="14">
        <f t="shared" si="152"/>
        <v>1745058579742.3147</v>
      </c>
      <c r="N151" s="14">
        <f t="shared" si="152"/>
        <v>1907914987851.543</v>
      </c>
    </row>
    <row r="152" spans="3:14" s="215" customFormat="1" ht="15" customHeight="1" x14ac:dyDescent="0.25">
      <c r="C152" s="213" t="s">
        <v>248</v>
      </c>
      <c r="E152" s="214">
        <f>E151/D151-1</f>
        <v>0.19366355340432739</v>
      </c>
      <c r="F152" s="214">
        <f t="shared" ref="F152:N152" si="153">F151/E151-1</f>
        <v>0.30540846253262122</v>
      </c>
      <c r="G152" s="214">
        <f t="shared" si="153"/>
        <v>0.27392098496557349</v>
      </c>
      <c r="H152" s="214">
        <f t="shared" si="153"/>
        <v>0.43612246539592348</v>
      </c>
      <c r="I152" s="214">
        <f t="shared" si="153"/>
        <v>0.14168240559354661</v>
      </c>
      <c r="J152" s="214">
        <f t="shared" si="153"/>
        <v>0.14428981685540454</v>
      </c>
      <c r="K152" s="214">
        <f t="shared" si="153"/>
        <v>0.12477889118706109</v>
      </c>
      <c r="L152" s="214">
        <f t="shared" si="153"/>
        <v>0.10908067071896621</v>
      </c>
      <c r="M152" s="214">
        <f t="shared" si="153"/>
        <v>0.10094573897662795</v>
      </c>
      <c r="N152" s="214">
        <f t="shared" si="153"/>
        <v>9.332432160144255E-2</v>
      </c>
    </row>
    <row r="153" spans="3:14" s="14" customFormat="1" ht="15" customHeight="1" x14ac:dyDescent="0.25">
      <c r="C153" s="213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</row>
    <row r="154" spans="3:14" s="14" customFormat="1" ht="15" customHeight="1" x14ac:dyDescent="0.25">
      <c r="C154" s="210" t="s">
        <v>249</v>
      </c>
      <c r="D154" s="14">
        <f>D146+D149</f>
        <v>178321455000</v>
      </c>
      <c r="E154" s="14">
        <f t="shared" ref="E154:N154" si="154">E146+E149</f>
        <v>220911202000</v>
      </c>
      <c r="F154" s="14">
        <f t="shared" si="154"/>
        <v>289934589000</v>
      </c>
      <c r="G154" s="14">
        <f t="shared" si="154"/>
        <v>363196180000</v>
      </c>
      <c r="H154" s="14">
        <f t="shared" si="154"/>
        <v>533481254000</v>
      </c>
      <c r="I154" s="14">
        <f t="shared" si="154"/>
        <v>673237679000</v>
      </c>
      <c r="J154" s="14">
        <f t="shared" si="154"/>
        <v>785181110760</v>
      </c>
      <c r="K154" s="14">
        <f t="shared" si="154"/>
        <v>897599454107.19995</v>
      </c>
      <c r="L154" s="14">
        <f t="shared" si="154"/>
        <v>1008178324616.984</v>
      </c>
      <c r="M154" s="14">
        <f t="shared" si="154"/>
        <v>1122317578023.9719</v>
      </c>
      <c r="N154" s="14">
        <f t="shared" si="154"/>
        <v>1238177730049.3833</v>
      </c>
    </row>
    <row r="155" spans="3:14" s="215" customFormat="1" ht="15" customHeight="1" x14ac:dyDescent="0.25">
      <c r="C155" s="213" t="s">
        <v>248</v>
      </c>
      <c r="D155" s="214">
        <f>D154/D151</f>
        <v>0.52267708905354804</v>
      </c>
      <c r="E155" s="214">
        <f t="shared" ref="E155:N155" si="155">E154/E151</f>
        <v>0.54245743959448456</v>
      </c>
      <c r="F155" s="214">
        <f t="shared" si="155"/>
        <v>0.54538292496725316</v>
      </c>
      <c r="G155" s="214">
        <f t="shared" si="155"/>
        <v>0.53629072705233427</v>
      </c>
      <c r="H155" s="214">
        <f t="shared" si="155"/>
        <v>0.54851271960560621</v>
      </c>
      <c r="I155" s="214">
        <f t="shared" si="155"/>
        <v>0.60630429606682557</v>
      </c>
      <c r="J155" s="214">
        <f t="shared" si="155"/>
        <v>0.61795384873699288</v>
      </c>
      <c r="K155" s="214">
        <f t="shared" si="155"/>
        <v>0.6280607027083136</v>
      </c>
      <c r="L155" s="214">
        <f t="shared" si="155"/>
        <v>0.6360529345551057</v>
      </c>
      <c r="M155" s="214">
        <f t="shared" si="155"/>
        <v>0.64314034557493183</v>
      </c>
      <c r="N155" s="214">
        <f t="shared" si="155"/>
        <v>0.64896902531473133</v>
      </c>
    </row>
    <row r="156" spans="3:14" ht="15" customHeight="1" x14ac:dyDescent="0.25">
      <c r="C156" s="13"/>
      <c r="D156" s="127"/>
      <c r="E156" s="127"/>
      <c r="F156" s="127"/>
      <c r="G156" s="127"/>
      <c r="H156" s="127"/>
      <c r="I156" s="108"/>
      <c r="J156" s="102"/>
      <c r="K156" s="102"/>
      <c r="L156" s="102"/>
      <c r="M156" s="102"/>
      <c r="N156" s="102"/>
    </row>
    <row r="157" spans="3:14" ht="15" customHeight="1" x14ac:dyDescent="0.25">
      <c r="C157" s="6" t="s">
        <v>243</v>
      </c>
      <c r="D157" s="201" t="str">
        <f>IFERROR(D146/C146-1,"N/A")</f>
        <v>N/A</v>
      </c>
      <c r="E157" s="201">
        <f t="shared" ref="E157:H157" si="156">IFERROR(E146/D146-1,"N/A")</f>
        <v>0.25046215664531801</v>
      </c>
      <c r="F157" s="201">
        <f t="shared" si="156"/>
        <v>0.47235482327207179</v>
      </c>
      <c r="G157" s="201">
        <f t="shared" si="156"/>
        <v>0.29123284118763526</v>
      </c>
      <c r="H157" s="201">
        <f t="shared" si="156"/>
        <v>0.44325992067322173</v>
      </c>
      <c r="I157" s="201">
        <f t="shared" ref="I157" si="157">IFERROR(I146/H146-1,"N/A")</f>
        <v>0.25230589374822698</v>
      </c>
      <c r="J157" s="113">
        <v>0.16</v>
      </c>
      <c r="K157" s="113">
        <v>0.14000000000000001</v>
      </c>
      <c r="L157" s="113">
        <v>0.12</v>
      </c>
      <c r="M157" s="113">
        <v>0.11</v>
      </c>
      <c r="N157" s="113">
        <v>0.1</v>
      </c>
    </row>
    <row r="158" spans="3:14" ht="15" customHeight="1" x14ac:dyDescent="0.25">
      <c r="C158" s="6" t="s">
        <v>244</v>
      </c>
      <c r="D158" s="201" t="str">
        <f t="shared" ref="D158:I158" si="158">IFERROR(D147/C147-1,"N/A")</f>
        <v>N/A</v>
      </c>
      <c r="E158" s="201">
        <f t="shared" si="158"/>
        <v>0.36249685808404464</v>
      </c>
      <c r="F158" s="201">
        <f t="shared" si="158"/>
        <v>0.33344565760082845</v>
      </c>
      <c r="G158" s="201">
        <f t="shared" si="158"/>
        <v>9.9465045893220694E-2</v>
      </c>
      <c r="H158" s="201">
        <f t="shared" si="158"/>
        <v>0.65876595022127149</v>
      </c>
      <c r="I158" s="201">
        <f t="shared" si="158"/>
        <v>-7.490928507282002E-2</v>
      </c>
      <c r="J158" s="113">
        <v>0.1</v>
      </c>
      <c r="K158" s="113">
        <v>0.09</v>
      </c>
      <c r="L158" s="113">
        <v>0.08</v>
      </c>
      <c r="M158" s="113">
        <v>0.08</v>
      </c>
      <c r="N158" s="113">
        <v>7.0000000000000007E-2</v>
      </c>
    </row>
    <row r="159" spans="3:14" ht="15" customHeight="1" x14ac:dyDescent="0.25">
      <c r="C159" s="6" t="s">
        <v>245</v>
      </c>
      <c r="D159" s="201" t="str">
        <f t="shared" ref="D159:I159" si="159">IFERROR(D148/C148-1,"N/A")</f>
        <v>N/A</v>
      </c>
      <c r="E159" s="201">
        <f t="shared" si="159"/>
        <v>2.0911300915454456E-2</v>
      </c>
      <c r="F159" s="201">
        <f t="shared" si="159"/>
        <v>0.25678503592358792</v>
      </c>
      <c r="G159" s="201">
        <f t="shared" si="159"/>
        <v>0.47132394761267982</v>
      </c>
      <c r="H159" s="201">
        <f t="shared" si="159"/>
        <v>0.24303787685406975</v>
      </c>
      <c r="I159" s="201">
        <f t="shared" si="159"/>
        <v>5.8610439495774491E-2</v>
      </c>
      <c r="J159" s="113">
        <v>0.12</v>
      </c>
      <c r="K159" s="113">
        <v>0.1</v>
      </c>
      <c r="L159" s="113">
        <v>0.09</v>
      </c>
      <c r="M159" s="113">
        <v>0.08</v>
      </c>
      <c r="N159" s="113">
        <v>0.08</v>
      </c>
    </row>
    <row r="160" spans="3:14" ht="15" customHeight="1" x14ac:dyDescent="0.25">
      <c r="C160" s="6" t="s">
        <v>246</v>
      </c>
      <c r="D160" s="201" t="str">
        <f t="shared" ref="D160:I160" si="160">IFERROR(D149/C149-1,"N/A")</f>
        <v>N/A</v>
      </c>
      <c r="E160" s="201">
        <f t="shared" si="160"/>
        <v>0.22118477198605291</v>
      </c>
      <c r="F160" s="201">
        <f t="shared" si="160"/>
        <v>6.3820365453405303E-2</v>
      </c>
      <c r="G160" s="201">
        <f t="shared" si="160"/>
        <v>0.16972679497790044</v>
      </c>
      <c r="H160" s="201">
        <f t="shared" si="160"/>
        <v>0.52964348343128642</v>
      </c>
      <c r="I160" s="201">
        <f t="shared" si="160"/>
        <v>0.28363240958064329</v>
      </c>
      <c r="J160" s="113">
        <v>0.18</v>
      </c>
      <c r="K160" s="113">
        <v>0.15</v>
      </c>
      <c r="L160" s="113">
        <v>0.13</v>
      </c>
      <c r="M160" s="113">
        <v>0.12</v>
      </c>
      <c r="N160" s="113">
        <v>0.11</v>
      </c>
    </row>
    <row r="161" spans="3:14" ht="15" customHeight="1" x14ac:dyDescent="0.25">
      <c r="C161" s="6" t="s">
        <v>247</v>
      </c>
      <c r="D161" s="201" t="str">
        <f t="shared" ref="D161:I161" si="161">IFERROR(D150/C150-1,"N/A")</f>
        <v>N/A</v>
      </c>
      <c r="E161" s="201">
        <f t="shared" si="161"/>
        <v>1.212243407337521E-2</v>
      </c>
      <c r="F161" s="201">
        <f t="shared" si="161"/>
        <v>0.59632897407775198</v>
      </c>
      <c r="G161" s="201">
        <f t="shared" si="161"/>
        <v>0.19290418889094685</v>
      </c>
      <c r="H161" s="201">
        <f t="shared" si="161"/>
        <v>0.2241112576249209</v>
      </c>
      <c r="I161" s="201">
        <f t="shared" si="161"/>
        <v>-0.11828601035823849</v>
      </c>
      <c r="J161" s="113">
        <v>0.05</v>
      </c>
      <c r="K161" s="113">
        <v>0.05</v>
      </c>
      <c r="L161" s="113">
        <v>0.05</v>
      </c>
      <c r="M161" s="113">
        <v>0.05</v>
      </c>
      <c r="N161" s="113">
        <v>0.05</v>
      </c>
    </row>
    <row r="162" spans="3:14" ht="15" customHeight="1" x14ac:dyDescent="0.25">
      <c r="C162" s="13"/>
      <c r="D162" s="127"/>
      <c r="E162" s="127"/>
      <c r="F162" s="127"/>
      <c r="G162" s="127"/>
      <c r="H162" s="127"/>
      <c r="I162" s="108"/>
      <c r="J162" s="102"/>
      <c r="K162" s="102"/>
      <c r="L162" s="102"/>
      <c r="M162" s="102"/>
      <c r="N162" s="102"/>
    </row>
    <row r="163" spans="3:14" ht="15" customHeight="1" x14ac:dyDescent="0.25">
      <c r="C163" s="13" t="s">
        <v>250</v>
      </c>
      <c r="D163" s="7"/>
      <c r="E163" s="7"/>
      <c r="F163" s="7"/>
      <c r="G163" s="7"/>
    </row>
    <row r="164" spans="3:14" ht="15" customHeight="1" x14ac:dyDescent="0.25">
      <c r="C164" s="36" t="s">
        <v>50</v>
      </c>
      <c r="D164" s="37">
        <f t="shared" ref="D164:N164" si="162">D$13</f>
        <v>2020</v>
      </c>
      <c r="E164" s="37">
        <f t="shared" si="162"/>
        <v>2021</v>
      </c>
      <c r="F164" s="37">
        <f t="shared" si="162"/>
        <v>2022</v>
      </c>
      <c r="G164" s="37">
        <f t="shared" si="162"/>
        <v>2023</v>
      </c>
      <c r="H164" s="37">
        <f t="shared" si="162"/>
        <v>2024</v>
      </c>
      <c r="I164" s="37">
        <f t="shared" si="162"/>
        <v>2025</v>
      </c>
      <c r="J164" s="38">
        <f t="shared" si="162"/>
        <v>2026</v>
      </c>
      <c r="K164" s="38">
        <f t="shared" si="162"/>
        <v>2027</v>
      </c>
      <c r="L164" s="38">
        <f t="shared" si="162"/>
        <v>2028</v>
      </c>
      <c r="M164" s="38">
        <f t="shared" si="162"/>
        <v>2029</v>
      </c>
      <c r="N164" s="38">
        <f t="shared" si="162"/>
        <v>2030</v>
      </c>
    </row>
    <row r="165" spans="3:14" ht="15" customHeight="1" x14ac:dyDescent="0.25">
      <c r="C165" s="32" t="s">
        <v>51</v>
      </c>
      <c r="D165" s="124">
        <f t="shared" ref="D165:N165" si="163">D$14</f>
        <v>44196</v>
      </c>
      <c r="E165" s="124">
        <f t="shared" si="163"/>
        <v>44561</v>
      </c>
      <c r="F165" s="124">
        <f t="shared" si="163"/>
        <v>44926</v>
      </c>
      <c r="G165" s="124">
        <f t="shared" si="163"/>
        <v>45291</v>
      </c>
      <c r="H165" s="124">
        <f t="shared" si="163"/>
        <v>45657</v>
      </c>
      <c r="I165" s="124">
        <f t="shared" si="163"/>
        <v>46022</v>
      </c>
      <c r="J165" s="124">
        <f t="shared" si="163"/>
        <v>46387</v>
      </c>
      <c r="K165" s="124">
        <f t="shared" si="163"/>
        <v>46752</v>
      </c>
      <c r="L165" s="124">
        <f t="shared" si="163"/>
        <v>47118</v>
      </c>
      <c r="M165" s="124">
        <f t="shared" si="163"/>
        <v>47483</v>
      </c>
      <c r="N165" s="124">
        <f t="shared" si="163"/>
        <v>47848</v>
      </c>
    </row>
    <row r="166" spans="3:14" ht="15" customHeight="1" x14ac:dyDescent="0.25">
      <c r="C166" s="13"/>
      <c r="D166" s="127"/>
      <c r="E166" s="127"/>
      <c r="F166" s="127"/>
      <c r="G166" s="127"/>
      <c r="H166" s="127"/>
      <c r="I166" s="108"/>
      <c r="J166" s="102"/>
      <c r="K166" s="102"/>
      <c r="L166" s="102"/>
      <c r="M166" s="102"/>
      <c r="N166" s="102"/>
    </row>
    <row r="167" spans="3:14" ht="15" customHeight="1" x14ac:dyDescent="0.25">
      <c r="C167" s="6" t="s">
        <v>251</v>
      </c>
      <c r="D167" s="103"/>
      <c r="E167" s="103">
        <f>D173</f>
        <v>148118372000</v>
      </c>
      <c r="F167" s="103">
        <f t="shared" ref="F167:N167" si="164">E173</f>
        <v>193198894000</v>
      </c>
      <c r="G167" s="103">
        <f t="shared" si="164"/>
        <v>204020733000</v>
      </c>
      <c r="H167" s="103">
        <f t="shared" si="164"/>
        <v>233125234000</v>
      </c>
      <c r="I167" s="103">
        <f t="shared" si="164"/>
        <v>234512167000</v>
      </c>
      <c r="J167" s="202">
        <f t="shared" si="164"/>
        <v>376397929000</v>
      </c>
      <c r="K167" s="202">
        <f t="shared" si="164"/>
        <v>429093639060</v>
      </c>
      <c r="L167" s="202">
        <f t="shared" si="164"/>
        <v>480584875747.19995</v>
      </c>
      <c r="M167" s="202">
        <f t="shared" si="164"/>
        <v>528643363321.91998</v>
      </c>
      <c r="N167" s="202">
        <f t="shared" si="164"/>
        <v>581507699654.11194</v>
      </c>
    </row>
    <row r="168" spans="3:14" ht="15" customHeight="1" x14ac:dyDescent="0.25">
      <c r="C168" s="6" t="s">
        <v>260</v>
      </c>
      <c r="D168" s="103">
        <v>74353000</v>
      </c>
      <c r="E168" s="103">
        <v>0</v>
      </c>
      <c r="F168" s="103">
        <v>0</v>
      </c>
      <c r="G168" s="103">
        <v>0</v>
      </c>
      <c r="H168" s="103">
        <v>0</v>
      </c>
      <c r="I168" s="103">
        <v>0</v>
      </c>
      <c r="J168" s="202"/>
      <c r="K168" s="202"/>
      <c r="L168" s="202"/>
      <c r="M168" s="202"/>
      <c r="N168" s="202"/>
    </row>
    <row r="169" spans="3:14" ht="15" customHeight="1" x14ac:dyDescent="0.25">
      <c r="C169" s="6" t="s">
        <v>252</v>
      </c>
      <c r="D169" s="103">
        <v>112791966000</v>
      </c>
      <c r="E169" s="103">
        <v>250679698000</v>
      </c>
      <c r="F169" s="103">
        <v>45665232000</v>
      </c>
      <c r="G169" s="103">
        <v>129073519000</v>
      </c>
      <c r="H169" s="103">
        <v>113445585000</v>
      </c>
      <c r="I169" s="103">
        <v>263771830000</v>
      </c>
      <c r="J169" s="19">
        <f>J$167*J175</f>
        <v>184434985210</v>
      </c>
      <c r="K169" s="19">
        <f t="shared" ref="K169:N169" si="165">K$167*K175</f>
        <v>201674010358.19998</v>
      </c>
      <c r="L169" s="19">
        <f t="shared" si="165"/>
        <v>216263194086.23999</v>
      </c>
      <c r="M169" s="19">
        <f t="shared" si="165"/>
        <v>237889513494.86398</v>
      </c>
      <c r="N169" s="19">
        <f t="shared" si="165"/>
        <v>255863387847.80927</v>
      </c>
    </row>
    <row r="170" spans="3:14" ht="15" customHeight="1" x14ac:dyDescent="0.25">
      <c r="C170" s="6" t="s">
        <v>253</v>
      </c>
      <c r="D170" s="103">
        <v>-54137187000</v>
      </c>
      <c r="E170" s="103">
        <v>-202612601000</v>
      </c>
      <c r="F170" s="103">
        <v>-26130169000</v>
      </c>
      <c r="G170" s="103">
        <v>-98945138000</v>
      </c>
      <c r="H170" s="103">
        <v>-140259022000</v>
      </c>
      <c r="I170" s="103">
        <v>-127826924000</v>
      </c>
      <c r="J170" s="19">
        <f>J$167*-J176</f>
        <v>-131739275149.99998</v>
      </c>
      <c r="K170" s="19">
        <f t="shared" ref="K170:N170" si="166">K$167*-K176</f>
        <v>-150182773671</v>
      </c>
      <c r="L170" s="19">
        <f t="shared" si="166"/>
        <v>-168204706511.51996</v>
      </c>
      <c r="M170" s="19">
        <f t="shared" si="166"/>
        <v>-185025177162.672</v>
      </c>
      <c r="N170" s="19">
        <f t="shared" si="166"/>
        <v>-203527694878.93918</v>
      </c>
    </row>
    <row r="171" spans="3:14" ht="15" customHeight="1" x14ac:dyDescent="0.25">
      <c r="C171" s="6" t="s">
        <v>254</v>
      </c>
      <c r="D171" s="103">
        <v>-259602000</v>
      </c>
      <c r="E171" s="103">
        <v>-2969459000</v>
      </c>
      <c r="F171" s="103">
        <v>-15383080000</v>
      </c>
      <c r="G171" s="103">
        <v>-5814834000</v>
      </c>
      <c r="H171" s="103">
        <v>9826570000</v>
      </c>
      <c r="I171" s="103">
        <v>10833698000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</row>
    <row r="172" spans="3:14" ht="15" customHeight="1" x14ac:dyDescent="0.25">
      <c r="C172" s="6" t="s">
        <v>255</v>
      </c>
      <c r="D172" s="103">
        <v>-248415000</v>
      </c>
      <c r="E172" s="103">
        <v>-17116000</v>
      </c>
      <c r="F172" s="103">
        <v>6669856000</v>
      </c>
      <c r="G172" s="103">
        <v>4790954000</v>
      </c>
      <c r="H172" s="103">
        <v>18373800000</v>
      </c>
      <c r="I172" s="103">
        <v>-4892842000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</row>
    <row r="173" spans="3:14" s="27" customFormat="1" ht="15" customHeight="1" x14ac:dyDescent="0.25">
      <c r="C173" s="33" t="s">
        <v>259</v>
      </c>
      <c r="D173" s="203">
        <f t="shared" ref="D173:I173" si="167">D64</f>
        <v>148118372000</v>
      </c>
      <c r="E173" s="203">
        <f t="shared" si="167"/>
        <v>193198894000</v>
      </c>
      <c r="F173" s="203">
        <f t="shared" si="167"/>
        <v>204020733000</v>
      </c>
      <c r="G173" s="203">
        <f t="shared" si="167"/>
        <v>233125234000</v>
      </c>
      <c r="H173" s="203">
        <f t="shared" si="167"/>
        <v>234512167000</v>
      </c>
      <c r="I173" s="203">
        <f t="shared" si="167"/>
        <v>376397929000</v>
      </c>
      <c r="J173" s="121">
        <f>SUM(J167:J172)</f>
        <v>429093639060</v>
      </c>
      <c r="K173" s="121">
        <f t="shared" ref="K173:N173" si="168">SUM(K167:K172)</f>
        <v>480584875747.19995</v>
      </c>
      <c r="L173" s="121">
        <f t="shared" si="168"/>
        <v>528643363321.91998</v>
      </c>
      <c r="M173" s="121">
        <f t="shared" si="168"/>
        <v>581507699654.11194</v>
      </c>
      <c r="N173" s="121">
        <f t="shared" si="168"/>
        <v>633843392622.98193</v>
      </c>
    </row>
    <row r="174" spans="3:14" ht="15" customHeight="1" x14ac:dyDescent="0.25">
      <c r="C174" s="13"/>
      <c r="D174" s="127"/>
      <c r="E174" s="127"/>
      <c r="F174" s="127"/>
      <c r="G174" s="127"/>
      <c r="H174" s="127"/>
      <c r="I174" s="108"/>
      <c r="J174" s="102"/>
      <c r="K174" s="102"/>
      <c r="L174" s="102"/>
      <c r="M174" s="102"/>
      <c r="N174" s="102"/>
    </row>
    <row r="175" spans="3:14" ht="15" customHeight="1" x14ac:dyDescent="0.25">
      <c r="C175" s="17" t="s">
        <v>256</v>
      </c>
      <c r="D175" s="112"/>
      <c r="E175" s="112">
        <f>E169/E$167</f>
        <v>1.6924281209355987</v>
      </c>
      <c r="F175" s="112">
        <f t="shared" ref="F175:I175" si="169">F169/F$167</f>
        <v>0.2363638375693807</v>
      </c>
      <c r="G175" s="112">
        <f t="shared" si="169"/>
        <v>0.63264903082178414</v>
      </c>
      <c r="H175" s="112">
        <f t="shared" si="169"/>
        <v>0.48662936677202434</v>
      </c>
      <c r="I175" s="112">
        <f t="shared" si="169"/>
        <v>1.1247682087215543</v>
      </c>
      <c r="J175" s="113">
        <v>0.49</v>
      </c>
      <c r="K175" s="113">
        <v>0.47</v>
      </c>
      <c r="L175" s="113">
        <v>0.45</v>
      </c>
      <c r="M175" s="113">
        <v>0.45</v>
      </c>
      <c r="N175" s="113">
        <v>0.44</v>
      </c>
    </row>
    <row r="176" spans="3:14" ht="15" customHeight="1" x14ac:dyDescent="0.25">
      <c r="C176" s="17" t="s">
        <v>257</v>
      </c>
      <c r="D176" s="112"/>
      <c r="E176" s="112">
        <f>-E170/E$167</f>
        <v>1.367909991611304</v>
      </c>
      <c r="F176" s="112">
        <f t="shared" ref="F176:I176" si="170">-F170/F$167</f>
        <v>0.13525009620396689</v>
      </c>
      <c r="G176" s="112">
        <f t="shared" si="170"/>
        <v>0.48497589703297461</v>
      </c>
      <c r="H176" s="112">
        <f t="shared" si="170"/>
        <v>0.60164667545170158</v>
      </c>
      <c r="I176" s="112">
        <f t="shared" si="170"/>
        <v>0.54507587233203125</v>
      </c>
      <c r="J176" s="113">
        <v>0.35</v>
      </c>
      <c r="K176" s="113">
        <f>J176</f>
        <v>0.35</v>
      </c>
      <c r="L176" s="113">
        <f t="shared" ref="L176:N176" si="171">K176</f>
        <v>0.35</v>
      </c>
      <c r="M176" s="113">
        <f t="shared" si="171"/>
        <v>0.35</v>
      </c>
      <c r="N176" s="113">
        <f t="shared" si="171"/>
        <v>0.35</v>
      </c>
    </row>
    <row r="177" spans="3:14" ht="15" customHeight="1" x14ac:dyDescent="0.25">
      <c r="C177" s="13"/>
      <c r="D177" s="127"/>
      <c r="E177" s="127"/>
      <c r="F177" s="127"/>
      <c r="G177" s="127"/>
      <c r="H177" s="127"/>
      <c r="I177" s="108"/>
      <c r="J177" s="102"/>
      <c r="K177" s="102"/>
      <c r="L177" s="102"/>
      <c r="M177" s="102"/>
      <c r="N177" s="102"/>
    </row>
    <row r="178" spans="3:14" ht="15" customHeight="1" x14ac:dyDescent="0.25">
      <c r="C178" s="13" t="s">
        <v>258</v>
      </c>
      <c r="D178" s="7"/>
      <c r="E178" s="7"/>
      <c r="F178" s="7"/>
      <c r="G178" s="7"/>
    </row>
    <row r="179" spans="3:14" ht="15" customHeight="1" x14ac:dyDescent="0.25">
      <c r="C179" s="36" t="s">
        <v>50</v>
      </c>
      <c r="D179" s="37">
        <f t="shared" ref="D179:N179" si="172">D$13</f>
        <v>2020</v>
      </c>
      <c r="E179" s="37">
        <f t="shared" si="172"/>
        <v>2021</v>
      </c>
      <c r="F179" s="37">
        <f t="shared" si="172"/>
        <v>2022</v>
      </c>
      <c r="G179" s="37">
        <f t="shared" si="172"/>
        <v>2023</v>
      </c>
      <c r="H179" s="37">
        <f t="shared" si="172"/>
        <v>2024</v>
      </c>
      <c r="I179" s="37">
        <f t="shared" si="172"/>
        <v>2025</v>
      </c>
      <c r="J179" s="38">
        <f t="shared" si="172"/>
        <v>2026</v>
      </c>
      <c r="K179" s="38">
        <f t="shared" si="172"/>
        <v>2027</v>
      </c>
      <c r="L179" s="38">
        <f t="shared" si="172"/>
        <v>2028</v>
      </c>
      <c r="M179" s="38">
        <f t="shared" si="172"/>
        <v>2029</v>
      </c>
      <c r="N179" s="38">
        <f t="shared" si="172"/>
        <v>2030</v>
      </c>
    </row>
    <row r="180" spans="3:14" ht="15" customHeight="1" x14ac:dyDescent="0.25">
      <c r="C180" s="32" t="s">
        <v>51</v>
      </c>
      <c r="D180" s="124">
        <f t="shared" ref="D180:N180" si="173">D$14</f>
        <v>44196</v>
      </c>
      <c r="E180" s="124">
        <f t="shared" si="173"/>
        <v>44561</v>
      </c>
      <c r="F180" s="124">
        <f t="shared" si="173"/>
        <v>44926</v>
      </c>
      <c r="G180" s="124">
        <f t="shared" si="173"/>
        <v>45291</v>
      </c>
      <c r="H180" s="124">
        <f t="shared" si="173"/>
        <v>45657</v>
      </c>
      <c r="I180" s="124">
        <f t="shared" si="173"/>
        <v>46022</v>
      </c>
      <c r="J180" s="124">
        <f t="shared" si="173"/>
        <v>46387</v>
      </c>
      <c r="K180" s="124">
        <f t="shared" si="173"/>
        <v>46752</v>
      </c>
      <c r="L180" s="124">
        <f t="shared" si="173"/>
        <v>47118</v>
      </c>
      <c r="M180" s="124">
        <f t="shared" si="173"/>
        <v>47483</v>
      </c>
      <c r="N180" s="124">
        <f t="shared" si="173"/>
        <v>47848</v>
      </c>
    </row>
    <row r="181" spans="3:14" ht="15" customHeight="1" x14ac:dyDescent="0.25">
      <c r="C181" s="13"/>
      <c r="D181" s="127"/>
      <c r="E181" s="127"/>
      <c r="F181" s="127"/>
      <c r="G181" s="127"/>
      <c r="H181" s="127"/>
      <c r="I181" s="108"/>
      <c r="J181" s="102"/>
      <c r="K181" s="102"/>
      <c r="L181" s="102"/>
      <c r="M181" s="102"/>
      <c r="N181" s="102"/>
    </row>
    <row r="182" spans="3:14" ht="15" customHeight="1" x14ac:dyDescent="0.25">
      <c r="C182" s="6" t="s">
        <v>251</v>
      </c>
      <c r="D182" s="127"/>
      <c r="E182" s="102">
        <f>D187</f>
        <v>25285225000</v>
      </c>
      <c r="F182" s="102">
        <f t="shared" ref="F182:N182" si="174">E187</f>
        <v>20547465000</v>
      </c>
      <c r="G182" s="102">
        <f t="shared" si="174"/>
        <v>34524760000</v>
      </c>
      <c r="H182" s="102">
        <f t="shared" si="174"/>
        <v>38341019000</v>
      </c>
      <c r="I182" s="102">
        <f t="shared" si="174"/>
        <v>168118219000</v>
      </c>
      <c r="J182" s="102">
        <f t="shared" si="174"/>
        <v>236672175000</v>
      </c>
      <c r="K182" s="102">
        <f t="shared" si="174"/>
        <v>272068283315.22144</v>
      </c>
      <c r="L182" s="102">
        <f t="shared" si="174"/>
        <v>302227136123.75098</v>
      </c>
      <c r="M182" s="102">
        <f t="shared" si="174"/>
        <v>331689050010.78418</v>
      </c>
      <c r="N182" s="102">
        <f t="shared" si="174"/>
        <v>358048152788.52417</v>
      </c>
    </row>
    <row r="183" spans="3:14" ht="15" customHeight="1" x14ac:dyDescent="0.25">
      <c r="C183" s="6" t="s">
        <v>260</v>
      </c>
      <c r="D183" s="103">
        <v>136555000</v>
      </c>
      <c r="E183" s="103">
        <v>0</v>
      </c>
      <c r="F183" s="103">
        <v>0</v>
      </c>
      <c r="G183" s="103">
        <v>0</v>
      </c>
      <c r="H183" s="103">
        <v>0</v>
      </c>
      <c r="I183" s="103">
        <v>0</v>
      </c>
      <c r="J183" s="102"/>
      <c r="K183" s="102"/>
      <c r="L183" s="102"/>
      <c r="M183" s="102"/>
      <c r="N183" s="102"/>
    </row>
    <row r="184" spans="3:14" ht="15" customHeight="1" x14ac:dyDescent="0.25">
      <c r="C184" s="6" t="s">
        <v>252</v>
      </c>
      <c r="D184" s="103">
        <v>233765000</v>
      </c>
      <c r="E184" s="103">
        <v>3844000</v>
      </c>
      <c r="F184" s="103">
        <v>19908223000</v>
      </c>
      <c r="G184" s="103">
        <v>9290232000</v>
      </c>
      <c r="H184" s="103">
        <v>129153136000</v>
      </c>
      <c r="I184" s="103">
        <v>90488312000</v>
      </c>
      <c r="J184" s="19">
        <f>J$182*J189</f>
        <v>47334435000</v>
      </c>
      <c r="K184" s="19">
        <f t="shared" ref="K184:N184" si="175">K$182*K189</f>
        <v>54413656663.044289</v>
      </c>
      <c r="L184" s="19">
        <f t="shared" si="175"/>
        <v>60445427224.750198</v>
      </c>
      <c r="M184" s="19">
        <f t="shared" si="175"/>
        <v>66337810002.156837</v>
      </c>
      <c r="N184" s="19">
        <f t="shared" si="175"/>
        <v>71609630557.704834</v>
      </c>
    </row>
    <row r="185" spans="3:14" ht="15" customHeight="1" x14ac:dyDescent="0.25">
      <c r="C185" s="6" t="s">
        <v>253</v>
      </c>
      <c r="D185" s="103">
        <v>-82309481000</v>
      </c>
      <c r="E185" s="103">
        <v>-4741459000</v>
      </c>
      <c r="F185" s="103">
        <v>-6738937000</v>
      </c>
      <c r="G185" s="103">
        <v>-6125452000</v>
      </c>
      <c r="H185" s="103">
        <v>-2028180000</v>
      </c>
      <c r="I185" s="103">
        <v>-21689390000</v>
      </c>
      <c r="J185" s="19">
        <f>J$182*-J190</f>
        <v>-23667217500</v>
      </c>
      <c r="K185" s="19">
        <f t="shared" ref="K185:N185" si="176">K$182*-K190</f>
        <v>-27206828331.522144</v>
      </c>
      <c r="L185" s="19">
        <f t="shared" si="176"/>
        <v>-30222713612.375099</v>
      </c>
      <c r="M185" s="19">
        <f t="shared" si="176"/>
        <v>-33168905001.078419</v>
      </c>
      <c r="N185" s="19">
        <f t="shared" si="176"/>
        <v>-35804815278.852417</v>
      </c>
    </row>
    <row r="186" spans="3:14" ht="15" customHeight="1" x14ac:dyDescent="0.25">
      <c r="C186" s="6" t="s">
        <v>255</v>
      </c>
      <c r="D186" s="103">
        <v>-1227000</v>
      </c>
      <c r="E186" s="103">
        <v>-145000</v>
      </c>
      <c r="F186" s="103">
        <v>808009000</v>
      </c>
      <c r="G186" s="103">
        <v>651479000</v>
      </c>
      <c r="H186" s="103">
        <v>2652244000</v>
      </c>
      <c r="I186" s="103">
        <v>-244966000</v>
      </c>
      <c r="J186" s="102"/>
      <c r="K186" s="102"/>
      <c r="L186" s="102"/>
      <c r="M186" s="102"/>
      <c r="N186" s="102"/>
    </row>
    <row r="187" spans="3:14" ht="15" customHeight="1" x14ac:dyDescent="0.25">
      <c r="C187" s="33" t="s">
        <v>259</v>
      </c>
      <c r="D187" s="14">
        <f t="shared" ref="D187:I187" si="177">D65</f>
        <v>25285225000</v>
      </c>
      <c r="E187" s="14">
        <f t="shared" si="177"/>
        <v>20547465000</v>
      </c>
      <c r="F187" s="14">
        <f t="shared" si="177"/>
        <v>34524760000</v>
      </c>
      <c r="G187" s="14">
        <f t="shared" si="177"/>
        <v>38341019000</v>
      </c>
      <c r="H187" s="14">
        <f t="shared" si="177"/>
        <v>168118219000</v>
      </c>
      <c r="I187" s="14">
        <f t="shared" si="177"/>
        <v>236672175000</v>
      </c>
      <c r="J187" s="14">
        <f>J98-(J58+J59+J60+J61+J62+J63+J64+J66+J67+J68+J69+J70+J71+J72)</f>
        <v>272068283315.22144</v>
      </c>
      <c r="K187" s="14">
        <f t="shared" ref="K187:N187" si="178">K98-(K58+K59+K60+K61+K62+K63+K64+K66+K67+K68+K69+K70+K71+K72)</f>
        <v>302227136123.75098</v>
      </c>
      <c r="L187" s="14">
        <f t="shared" si="178"/>
        <v>331689050010.78418</v>
      </c>
      <c r="M187" s="14">
        <f t="shared" si="178"/>
        <v>358048152788.52417</v>
      </c>
      <c r="N187" s="14">
        <f t="shared" si="178"/>
        <v>385286812648.4375</v>
      </c>
    </row>
    <row r="188" spans="3:14" ht="15" customHeight="1" x14ac:dyDescent="0.25">
      <c r="C188" s="13"/>
      <c r="D188" s="127"/>
      <c r="E188" s="127"/>
      <c r="F188" s="127"/>
      <c r="G188" s="127"/>
      <c r="H188" s="127"/>
      <c r="I188" s="108"/>
      <c r="J188" s="102"/>
      <c r="K188" s="102"/>
      <c r="L188" s="102"/>
      <c r="M188" s="102"/>
      <c r="N188" s="102"/>
    </row>
    <row r="189" spans="3:14" ht="15" customHeight="1" x14ac:dyDescent="0.25">
      <c r="C189" s="17" t="s">
        <v>256</v>
      </c>
      <c r="D189" s="127"/>
      <c r="E189" s="112">
        <f>E184/E$182</f>
        <v>1.5202554060721231E-4</v>
      </c>
      <c r="F189" s="112">
        <f t="shared" ref="F189:I189" si="179">F184/F$182</f>
        <v>0.96888949561417914</v>
      </c>
      <c r="G189" s="112">
        <f t="shared" si="179"/>
        <v>0.26908896687478784</v>
      </c>
      <c r="H189" s="112">
        <f t="shared" si="179"/>
        <v>3.3685368664823434</v>
      </c>
      <c r="I189" s="112">
        <f t="shared" si="179"/>
        <v>0.5382421520894175</v>
      </c>
      <c r="J189" s="113">
        <v>0.2</v>
      </c>
      <c r="K189" s="216">
        <f>J189</f>
        <v>0.2</v>
      </c>
      <c r="L189" s="216">
        <f t="shared" ref="L189:N189" si="180">K189</f>
        <v>0.2</v>
      </c>
      <c r="M189" s="216">
        <f t="shared" si="180"/>
        <v>0.2</v>
      </c>
      <c r="N189" s="216">
        <f t="shared" si="180"/>
        <v>0.2</v>
      </c>
    </row>
    <row r="190" spans="3:14" ht="15" customHeight="1" x14ac:dyDescent="0.25">
      <c r="C190" s="17" t="s">
        <v>257</v>
      </c>
      <c r="D190" s="127"/>
      <c r="E190" s="112">
        <f>-E185/E$182</f>
        <v>0.18751895622839029</v>
      </c>
      <c r="F190" s="112">
        <f t="shared" ref="F190:I190" si="181">-F185/F$182</f>
        <v>0.32796926530839693</v>
      </c>
      <c r="G190" s="112">
        <f t="shared" si="181"/>
        <v>0.17742200090601642</v>
      </c>
      <c r="H190" s="112">
        <f t="shared" si="181"/>
        <v>5.289843757152099E-2</v>
      </c>
      <c r="I190" s="112">
        <f t="shared" si="181"/>
        <v>0.1290127276449437</v>
      </c>
      <c r="J190" s="113">
        <v>0.1</v>
      </c>
      <c r="K190" s="113">
        <f>J190</f>
        <v>0.1</v>
      </c>
      <c r="L190" s="113">
        <f t="shared" ref="L190:N190" si="182">K190</f>
        <v>0.1</v>
      </c>
      <c r="M190" s="113">
        <f t="shared" si="182"/>
        <v>0.1</v>
      </c>
      <c r="N190" s="113">
        <f t="shared" si="182"/>
        <v>0.1</v>
      </c>
    </row>
    <row r="191" spans="3:14" ht="15" customHeight="1" x14ac:dyDescent="0.25"/>
    <row r="192" spans="3:14" x14ac:dyDescent="0.25">
      <c r="C192" s="28" t="s">
        <v>60</v>
      </c>
      <c r="D192" s="132"/>
      <c r="E192" s="132"/>
      <c r="F192" s="132"/>
      <c r="G192" s="132"/>
      <c r="H192" s="29"/>
      <c r="I192" s="29"/>
      <c r="J192" s="29"/>
      <c r="K192" s="29"/>
      <c r="L192" s="29"/>
      <c r="M192" s="29"/>
      <c r="N192" s="29"/>
    </row>
    <row r="193" spans="3:14" x14ac:dyDescent="0.25">
      <c r="C193" t="s">
        <v>50</v>
      </c>
      <c r="D193" s="30">
        <f t="shared" ref="D193:N193" si="183">D$13</f>
        <v>2020</v>
      </c>
      <c r="E193" s="30">
        <f t="shared" si="183"/>
        <v>2021</v>
      </c>
      <c r="F193" s="30">
        <f t="shared" si="183"/>
        <v>2022</v>
      </c>
      <c r="G193" s="30">
        <f t="shared" si="183"/>
        <v>2023</v>
      </c>
      <c r="H193" s="30">
        <f t="shared" si="183"/>
        <v>2024</v>
      </c>
      <c r="I193" s="30">
        <f t="shared" si="183"/>
        <v>2025</v>
      </c>
      <c r="J193" s="31">
        <f t="shared" si="183"/>
        <v>2026</v>
      </c>
      <c r="K193" s="31">
        <f t="shared" si="183"/>
        <v>2027</v>
      </c>
      <c r="L193" s="31">
        <f t="shared" si="183"/>
        <v>2028</v>
      </c>
      <c r="M193" s="31">
        <f t="shared" si="183"/>
        <v>2029</v>
      </c>
      <c r="N193" s="31">
        <f t="shared" si="183"/>
        <v>2030</v>
      </c>
    </row>
    <row r="194" spans="3:14" x14ac:dyDescent="0.25">
      <c r="C194" s="32" t="s">
        <v>51</v>
      </c>
      <c r="D194" s="124">
        <f t="shared" ref="D194:N194" si="184">D$14</f>
        <v>44196</v>
      </c>
      <c r="E194" s="124">
        <f t="shared" si="184"/>
        <v>44561</v>
      </c>
      <c r="F194" s="124">
        <f t="shared" si="184"/>
        <v>44926</v>
      </c>
      <c r="G194" s="124">
        <f t="shared" si="184"/>
        <v>45291</v>
      </c>
      <c r="H194" s="124">
        <f t="shared" si="184"/>
        <v>45657</v>
      </c>
      <c r="I194" s="124">
        <f t="shared" si="184"/>
        <v>46022</v>
      </c>
      <c r="J194" s="124">
        <f t="shared" si="184"/>
        <v>46387</v>
      </c>
      <c r="K194" s="124">
        <f t="shared" si="184"/>
        <v>46752</v>
      </c>
      <c r="L194" s="124">
        <f t="shared" si="184"/>
        <v>47118</v>
      </c>
      <c r="M194" s="124">
        <f t="shared" si="184"/>
        <v>47483</v>
      </c>
      <c r="N194" s="124">
        <f t="shared" si="184"/>
        <v>47848</v>
      </c>
    </row>
    <row r="195" spans="3:14" ht="15" customHeight="1" x14ac:dyDescent="0.25"/>
    <row r="196" spans="3:14" ht="15" customHeight="1" x14ac:dyDescent="0.25">
      <c r="C196" s="17" t="s">
        <v>61</v>
      </c>
      <c r="D196" s="167">
        <v>2204464000</v>
      </c>
      <c r="E196" s="102">
        <f>D199</f>
        <v>2311147000</v>
      </c>
      <c r="F196" s="102">
        <f t="shared" ref="F196:N196" si="185">E199</f>
        <v>2461116000</v>
      </c>
      <c r="G196" s="102">
        <f t="shared" si="185"/>
        <v>2405434000</v>
      </c>
      <c r="H196" s="102">
        <f t="shared" si="185"/>
        <v>2739092000</v>
      </c>
      <c r="I196" s="102">
        <f t="shared" si="185"/>
        <v>3997929000</v>
      </c>
      <c r="J196" s="102">
        <f t="shared" si="185"/>
        <v>5481682000</v>
      </c>
      <c r="K196" s="102">
        <f t="shared" si="185"/>
        <v>6881441955.7290268</v>
      </c>
      <c r="L196" s="102">
        <f t="shared" si="185"/>
        <v>7935593874.2006407</v>
      </c>
      <c r="M196" s="102">
        <f t="shared" si="185"/>
        <v>8727162965.9206886</v>
      </c>
      <c r="N196" s="102">
        <f t="shared" si="185"/>
        <v>9412318906.1038666</v>
      </c>
    </row>
    <row r="197" spans="3:14" ht="15" customHeight="1" x14ac:dyDescent="0.25">
      <c r="C197" s="26" t="s">
        <v>62</v>
      </c>
      <c r="D197" s="167">
        <v>839715000</v>
      </c>
      <c r="E197" s="167">
        <v>1035029000</v>
      </c>
      <c r="F197" s="167">
        <v>830119000</v>
      </c>
      <c r="G197" s="167">
        <v>1121867000</v>
      </c>
      <c r="H197" s="167">
        <v>2337250000</v>
      </c>
      <c r="I197" s="167">
        <v>3686693000</v>
      </c>
      <c r="J197" s="102">
        <f>J201*J41</f>
        <v>3369638711.7286868</v>
      </c>
      <c r="K197" s="102">
        <f t="shared" ref="K197:N197" si="186">K201*K41</f>
        <v>3527043691.3317261</v>
      </c>
      <c r="L197" s="102">
        <f t="shared" si="186"/>
        <v>3643277342.7694316</v>
      </c>
      <c r="M197" s="102">
        <f t="shared" si="186"/>
        <v>3821319790.3872132</v>
      </c>
      <c r="N197" s="102">
        <f t="shared" si="186"/>
        <v>4031495817.5181694</v>
      </c>
    </row>
    <row r="198" spans="3:14" ht="15" customHeight="1" x14ac:dyDescent="0.25">
      <c r="C198" s="26" t="s">
        <v>63</v>
      </c>
      <c r="D198" s="167">
        <v>733032000</v>
      </c>
      <c r="E198" s="167">
        <v>885060000</v>
      </c>
      <c r="F198" s="167">
        <v>885801000</v>
      </c>
      <c r="G198" s="167">
        <v>788209000</v>
      </c>
      <c r="H198" s="167">
        <v>1078413000</v>
      </c>
      <c r="I198" s="167">
        <v>2202940000</v>
      </c>
      <c r="J198" s="102">
        <f>J202*J196</f>
        <v>1969878755.9996605</v>
      </c>
      <c r="K198" s="102">
        <f t="shared" ref="K198:N198" si="187">K202*K196</f>
        <v>2472891772.8601122</v>
      </c>
      <c r="L198" s="102">
        <f t="shared" si="187"/>
        <v>2851708251.0493832</v>
      </c>
      <c r="M198" s="102">
        <f t="shared" si="187"/>
        <v>3136163850.2040348</v>
      </c>
      <c r="N198" s="102">
        <f t="shared" si="187"/>
        <v>3382379178.1113844</v>
      </c>
    </row>
    <row r="199" spans="3:14" ht="15" customHeight="1" x14ac:dyDescent="0.25">
      <c r="C199" s="16" t="s">
        <v>64</v>
      </c>
      <c r="D199" s="126">
        <f>D72</f>
        <v>2311147000</v>
      </c>
      <c r="E199" s="126">
        <f t="shared" ref="E199:I199" si="188">E72</f>
        <v>2461116000</v>
      </c>
      <c r="F199" s="126">
        <f t="shared" si="188"/>
        <v>2405434000</v>
      </c>
      <c r="G199" s="126">
        <f t="shared" si="188"/>
        <v>2739092000</v>
      </c>
      <c r="H199" s="126">
        <f t="shared" si="188"/>
        <v>3997929000</v>
      </c>
      <c r="I199" s="126">
        <f t="shared" si="188"/>
        <v>5481682000</v>
      </c>
      <c r="J199" s="126">
        <f>J196+J197-J198</f>
        <v>6881441955.7290268</v>
      </c>
      <c r="K199" s="126">
        <f t="shared" ref="K199:N199" si="189">K196+K197-K198</f>
        <v>7935593874.2006407</v>
      </c>
      <c r="L199" s="126">
        <f t="shared" si="189"/>
        <v>8727162965.9206886</v>
      </c>
      <c r="M199" s="126">
        <f t="shared" si="189"/>
        <v>9412318906.1038666</v>
      </c>
      <c r="N199" s="126">
        <f t="shared" si="189"/>
        <v>10061435545.510651</v>
      </c>
    </row>
    <row r="200" spans="3:14" ht="15" customHeight="1" x14ac:dyDescent="0.25">
      <c r="C200" s="13"/>
      <c r="D200" s="219"/>
      <c r="E200" s="219"/>
      <c r="F200" s="219"/>
      <c r="G200" s="219"/>
      <c r="H200" s="219"/>
      <c r="I200" s="219"/>
      <c r="J200" s="219"/>
      <c r="K200" s="219"/>
      <c r="L200" s="219"/>
      <c r="M200" s="219"/>
      <c r="N200" s="219"/>
    </row>
    <row r="201" spans="3:14" ht="15" customHeight="1" x14ac:dyDescent="0.25">
      <c r="C201" s="6" t="s">
        <v>287</v>
      </c>
      <c r="D201" s="1">
        <f>D197/D41</f>
        <v>2.9332078891508247E-2</v>
      </c>
      <c r="E201" s="1">
        <f t="shared" ref="E201:I201" si="190">E197/E41</f>
        <v>3.6039677075434644E-2</v>
      </c>
      <c r="F201" s="1">
        <f t="shared" si="190"/>
        <v>2.1818080222148758E-2</v>
      </c>
      <c r="G201" s="1">
        <f t="shared" si="190"/>
        <v>1.7873617143729488E-2</v>
      </c>
      <c r="H201" s="1">
        <f t="shared" si="190"/>
        <v>1.9595325938997581E-2</v>
      </c>
      <c r="I201" s="1">
        <f t="shared" si="190"/>
        <v>3.0796493632067101E-2</v>
      </c>
      <c r="J201" s="116">
        <f>AVERAGE(D201:I201)</f>
        <v>2.5909212150647638E-2</v>
      </c>
      <c r="K201" s="116">
        <f>J201</f>
        <v>2.5909212150647638E-2</v>
      </c>
      <c r="L201" s="116">
        <f t="shared" ref="L201:N201" si="191">K201</f>
        <v>2.5909212150647638E-2</v>
      </c>
      <c r="M201" s="116">
        <f t="shared" si="191"/>
        <v>2.5909212150647638E-2</v>
      </c>
      <c r="N201" s="116">
        <f t="shared" si="191"/>
        <v>2.5909212150647638E-2</v>
      </c>
    </row>
    <row r="202" spans="3:14" ht="15" customHeight="1" x14ac:dyDescent="0.25">
      <c r="C202" s="6" t="s">
        <v>288</v>
      </c>
      <c r="D202" s="1">
        <f>D198/D196</f>
        <v>0.33252164698538966</v>
      </c>
      <c r="E202" s="1">
        <f t="shared" ref="E202:I202" si="192">E198/E196</f>
        <v>0.38295270703248213</v>
      </c>
      <c r="F202" s="1">
        <f t="shared" si="192"/>
        <v>0.35991842725007678</v>
      </c>
      <c r="G202" s="1">
        <f t="shared" si="192"/>
        <v>0.32767849793426052</v>
      </c>
      <c r="H202" s="1">
        <f t="shared" si="192"/>
        <v>0.39371185779813167</v>
      </c>
      <c r="I202" s="1">
        <f t="shared" si="192"/>
        <v>0.55102029075553871</v>
      </c>
      <c r="J202" s="116">
        <f>AVERAGE(D202:H202)</f>
        <v>0.35935662740006818</v>
      </c>
      <c r="K202" s="116">
        <f t="shared" ref="K202:N202" si="193">J202</f>
        <v>0.35935662740006818</v>
      </c>
      <c r="L202" s="116">
        <f t="shared" si="193"/>
        <v>0.35935662740006818</v>
      </c>
      <c r="M202" s="116">
        <f t="shared" si="193"/>
        <v>0.35935662740006818</v>
      </c>
      <c r="N202" s="116">
        <f t="shared" si="193"/>
        <v>0.35935662740006818</v>
      </c>
    </row>
    <row r="203" spans="3:14" x14ac:dyDescent="0.25">
      <c r="C203" s="123"/>
      <c r="D203" s="7"/>
      <c r="E203" s="7"/>
      <c r="F203" s="7"/>
      <c r="G203" s="7"/>
      <c r="H203" s="1"/>
      <c r="I203" s="1"/>
      <c r="J203" s="1"/>
      <c r="K203" s="1"/>
      <c r="L203" s="1"/>
      <c r="M203" s="1"/>
      <c r="N203" s="1"/>
    </row>
    <row r="204" spans="3:14" x14ac:dyDescent="0.25">
      <c r="C204" s="13" t="s">
        <v>65</v>
      </c>
    </row>
    <row r="205" spans="3:14" x14ac:dyDescent="0.25">
      <c r="C205" s="36" t="s">
        <v>50</v>
      </c>
      <c r="D205" s="37">
        <f t="shared" ref="D205:N205" si="194">D$13</f>
        <v>2020</v>
      </c>
      <c r="E205" s="37">
        <f t="shared" si="194"/>
        <v>2021</v>
      </c>
      <c r="F205" s="37">
        <f t="shared" si="194"/>
        <v>2022</v>
      </c>
      <c r="G205" s="37">
        <f t="shared" si="194"/>
        <v>2023</v>
      </c>
      <c r="H205" s="37">
        <f t="shared" si="194"/>
        <v>2024</v>
      </c>
      <c r="I205" s="37">
        <f t="shared" si="194"/>
        <v>2025</v>
      </c>
      <c r="J205" s="38">
        <f t="shared" si="194"/>
        <v>2026</v>
      </c>
      <c r="K205" s="38">
        <f t="shared" si="194"/>
        <v>2027</v>
      </c>
      <c r="L205" s="38">
        <f t="shared" si="194"/>
        <v>2028</v>
      </c>
      <c r="M205" s="38">
        <f t="shared" si="194"/>
        <v>2029</v>
      </c>
      <c r="N205" s="38">
        <f t="shared" si="194"/>
        <v>2030</v>
      </c>
    </row>
    <row r="206" spans="3:14" x14ac:dyDescent="0.25">
      <c r="C206" s="32" t="s">
        <v>51</v>
      </c>
      <c r="D206" s="124">
        <f t="shared" ref="D206:N206" si="195">D$14</f>
        <v>44196</v>
      </c>
      <c r="E206" s="124">
        <f t="shared" si="195"/>
        <v>44561</v>
      </c>
      <c r="F206" s="124">
        <f t="shared" si="195"/>
        <v>44926</v>
      </c>
      <c r="G206" s="124">
        <f t="shared" si="195"/>
        <v>45291</v>
      </c>
      <c r="H206" s="124">
        <f t="shared" si="195"/>
        <v>45657</v>
      </c>
      <c r="I206" s="124">
        <f t="shared" si="195"/>
        <v>46022</v>
      </c>
      <c r="J206" s="124">
        <f t="shared" si="195"/>
        <v>46387</v>
      </c>
      <c r="K206" s="124">
        <f t="shared" si="195"/>
        <v>46752</v>
      </c>
      <c r="L206" s="124">
        <f t="shared" si="195"/>
        <v>47118</v>
      </c>
      <c r="M206" s="124">
        <f t="shared" si="195"/>
        <v>47483</v>
      </c>
      <c r="N206" s="124">
        <f t="shared" si="195"/>
        <v>47848</v>
      </c>
    </row>
    <row r="208" spans="3:14" x14ac:dyDescent="0.25">
      <c r="C208" s="13" t="s">
        <v>66</v>
      </c>
    </row>
    <row r="209" spans="3:14" x14ac:dyDescent="0.25">
      <c r="C209" s="17" t="s">
        <v>61</v>
      </c>
      <c r="D209" s="19"/>
      <c r="E209" s="19">
        <f>D215</f>
        <v>10539715000</v>
      </c>
      <c r="F209" s="19">
        <f t="shared" ref="F209:N209" si="196">E215</f>
        <v>13696402000</v>
      </c>
      <c r="G209" s="19">
        <f t="shared" si="196"/>
        <v>16393841000</v>
      </c>
      <c r="H209" s="19">
        <f t="shared" si="196"/>
        <v>29993331000</v>
      </c>
      <c r="I209" s="19">
        <f t="shared" si="196"/>
        <v>56791883000</v>
      </c>
      <c r="J209" s="19">
        <f t="shared" si="196"/>
        <v>89514273000</v>
      </c>
      <c r="K209" s="19">
        <f t="shared" si="196"/>
        <v>139859713092.39499</v>
      </c>
      <c r="L209" s="19">
        <f t="shared" si="196"/>
        <v>188680211793.73917</v>
      </c>
      <c r="M209" s="19">
        <f t="shared" si="196"/>
        <v>235042148115.15839</v>
      </c>
      <c r="N209" s="19">
        <f t="shared" si="196"/>
        <v>279393122402.99731</v>
      </c>
    </row>
    <row r="210" spans="3:14" x14ac:dyDescent="0.25">
      <c r="C210" s="17" t="s">
        <v>89</v>
      </c>
      <c r="D210" s="137">
        <f t="shared" ref="D210:N210" si="197">D38</f>
        <v>10238157000</v>
      </c>
      <c r="E210" s="137">
        <f t="shared" si="197"/>
        <v>13272209000</v>
      </c>
      <c r="F210" s="137">
        <f t="shared" si="197"/>
        <v>16114388000</v>
      </c>
      <c r="G210" s="137">
        <f t="shared" si="197"/>
        <v>29634542000</v>
      </c>
      <c r="H210" s="137">
        <f t="shared" si="197"/>
        <v>55196394000</v>
      </c>
      <c r="I210" s="137">
        <f t="shared" si="197"/>
        <v>82238852000</v>
      </c>
      <c r="J210" s="137">
        <f t="shared" si="197"/>
        <v>73606872684.043564</v>
      </c>
      <c r="K210" s="137">
        <f t="shared" si="197"/>
        <v>77006681760.548523</v>
      </c>
      <c r="L210" s="137">
        <f t="shared" si="197"/>
        <v>79389944573.365662</v>
      </c>
      <c r="M210" s="137">
        <f t="shared" si="197"/>
        <v>83057768456.837708</v>
      </c>
      <c r="N210" s="137">
        <f t="shared" si="197"/>
        <v>87345489951.417603</v>
      </c>
    </row>
    <row r="211" spans="3:14" x14ac:dyDescent="0.25">
      <c r="C211" s="17" t="s">
        <v>67</v>
      </c>
      <c r="D211" s="128">
        <v>-3370464000</v>
      </c>
      <c r="E211" s="128">
        <v>-1360652000</v>
      </c>
      <c r="F211" s="128">
        <v>-4410322000</v>
      </c>
      <c r="G211" s="128">
        <v>-3738888000</v>
      </c>
      <c r="H211" s="103">
        <v>-5366429000</v>
      </c>
      <c r="I211" s="128">
        <v>-14714434000</v>
      </c>
      <c r="J211" s="102">
        <f>J223*J210</f>
        <v>18401718171.010891</v>
      </c>
      <c r="K211" s="102">
        <f t="shared" ref="K211:N211" si="198">K223*K210</f>
        <v>23102004528.164555</v>
      </c>
      <c r="L211" s="102">
        <f t="shared" si="198"/>
        <v>27786480600.677979</v>
      </c>
      <c r="M211" s="102">
        <f t="shared" si="198"/>
        <v>33223107382.735081</v>
      </c>
      <c r="N211" s="102">
        <f t="shared" si="198"/>
        <v>39305470478.137917</v>
      </c>
    </row>
    <row r="212" spans="3:14" x14ac:dyDescent="0.25">
      <c r="C212" s="17" t="s">
        <v>289</v>
      </c>
      <c r="D212" s="128">
        <v>-1103250000</v>
      </c>
      <c r="E212" s="128">
        <v>-1390880000</v>
      </c>
      <c r="F212" s="128">
        <v>-1722729000</v>
      </c>
      <c r="G212" s="128">
        <v>-2986610000</v>
      </c>
      <c r="H212" s="103">
        <v>-5720832000</v>
      </c>
      <c r="I212" s="128">
        <v>-7026144000</v>
      </c>
      <c r="J212" s="102">
        <f>J210*J224</f>
        <v>7360687268.404357</v>
      </c>
      <c r="K212" s="102">
        <f t="shared" ref="K212:N212" si="199">K210*K224</f>
        <v>7700668176.0548525</v>
      </c>
      <c r="L212" s="102">
        <f t="shared" si="199"/>
        <v>7938994457.3365669</v>
      </c>
      <c r="M212" s="102">
        <f t="shared" si="199"/>
        <v>8305776845.6837711</v>
      </c>
      <c r="N212" s="102">
        <f t="shared" si="199"/>
        <v>8734548995.1417599</v>
      </c>
    </row>
    <row r="213" spans="3:14" x14ac:dyDescent="0.25">
      <c r="C213" s="17" t="s">
        <v>290</v>
      </c>
      <c r="D213" s="128">
        <v>552438000</v>
      </c>
      <c r="E213" s="128">
        <v>609744000</v>
      </c>
      <c r="F213" s="128">
        <v>723965000</v>
      </c>
      <c r="G213" s="128">
        <v>754817000</v>
      </c>
      <c r="H213" s="103">
        <v>1005350000</v>
      </c>
      <c r="I213" s="128">
        <v>1262609000</v>
      </c>
      <c r="J213" s="102">
        <f>J210*J225</f>
        <v>2500972847.7666698</v>
      </c>
      <c r="K213" s="102">
        <f t="shared" ref="K213:N213" si="200">K210*K225</f>
        <v>2616489645.0150442</v>
      </c>
      <c r="L213" s="102">
        <f t="shared" si="200"/>
        <v>2697466806.0681019</v>
      </c>
      <c r="M213" s="102">
        <f t="shared" si="200"/>
        <v>2822090059.420125</v>
      </c>
      <c r="N213" s="102">
        <f t="shared" si="200"/>
        <v>2967775844.5337</v>
      </c>
    </row>
    <row r="214" spans="3:14" x14ac:dyDescent="0.25">
      <c r="C214" s="17" t="s">
        <v>291</v>
      </c>
      <c r="D214" s="128">
        <v>1278430000</v>
      </c>
      <c r="E214" s="128">
        <v>-1757975000</v>
      </c>
      <c r="F214" s="128">
        <v>-11795767000</v>
      </c>
      <c r="G214" s="128">
        <v>-940205000</v>
      </c>
      <c r="H214" s="103">
        <v>17040401000</v>
      </c>
      <c r="I214" s="128">
        <v>17089182000</v>
      </c>
      <c r="J214" s="102">
        <v>0</v>
      </c>
      <c r="K214" s="102">
        <f>J214</f>
        <v>0</v>
      </c>
      <c r="L214" s="102">
        <f t="shared" ref="L214:N214" si="201">K214</f>
        <v>0</v>
      </c>
      <c r="M214" s="102">
        <f t="shared" si="201"/>
        <v>0</v>
      </c>
      <c r="N214" s="102">
        <f t="shared" si="201"/>
        <v>0</v>
      </c>
    </row>
    <row r="215" spans="3:14" x14ac:dyDescent="0.25">
      <c r="C215" s="17" t="s">
        <v>68</v>
      </c>
      <c r="D215" s="19">
        <f t="shared" ref="D215:I215" si="202">D93</f>
        <v>10539715000</v>
      </c>
      <c r="E215" s="19">
        <f t="shared" si="202"/>
        <v>13696402000</v>
      </c>
      <c r="F215" s="19">
        <f t="shared" si="202"/>
        <v>16393841000</v>
      </c>
      <c r="G215" s="19">
        <f t="shared" si="202"/>
        <v>29993331000</v>
      </c>
      <c r="H215" s="19">
        <f t="shared" si="202"/>
        <v>56791883000</v>
      </c>
      <c r="I215" s="19">
        <f t="shared" si="202"/>
        <v>89514273000</v>
      </c>
      <c r="J215" s="19">
        <f>J209+J210-J211-J212+J213+J214</f>
        <v>139859713092.39499</v>
      </c>
      <c r="K215" s="19">
        <f t="shared" ref="K215:N215" si="203">K209+K210-K211-K212+K213+K214</f>
        <v>188680211793.73917</v>
      </c>
      <c r="L215" s="19">
        <f t="shared" si="203"/>
        <v>235042148115.15839</v>
      </c>
      <c r="M215" s="19">
        <f t="shared" si="203"/>
        <v>279393122402.99731</v>
      </c>
      <c r="N215" s="19">
        <f t="shared" si="203"/>
        <v>321666368725.66888</v>
      </c>
    </row>
    <row r="216" spans="3:14" x14ac:dyDescent="0.25">
      <c r="C216" s="17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</row>
    <row r="217" spans="3:14" x14ac:dyDescent="0.25">
      <c r="C217" s="13" t="s">
        <v>91</v>
      </c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</row>
    <row r="218" spans="3:14" x14ac:dyDescent="0.25">
      <c r="C218" s="17" t="s">
        <v>61</v>
      </c>
      <c r="D218" s="102"/>
      <c r="E218" s="102">
        <f>D221</f>
        <v>483055000</v>
      </c>
      <c r="F218" s="102">
        <f t="shared" ref="F218:N218" si="204">E221</f>
        <v>454535000</v>
      </c>
      <c r="G218" s="102">
        <f t="shared" si="204"/>
        <v>580431000</v>
      </c>
      <c r="H218" s="102">
        <f t="shared" si="204"/>
        <v>160073000</v>
      </c>
      <c r="I218" s="102">
        <f t="shared" si="204"/>
        <v>183044000</v>
      </c>
      <c r="J218" s="102">
        <f t="shared" si="204"/>
        <v>27876000</v>
      </c>
      <c r="K218" s="102">
        <f t="shared" si="204"/>
        <v>27876000</v>
      </c>
      <c r="L218" s="102">
        <f t="shared" si="204"/>
        <v>27876000</v>
      </c>
      <c r="M218" s="102">
        <f t="shared" si="204"/>
        <v>27876000</v>
      </c>
      <c r="N218" s="102">
        <f t="shared" si="204"/>
        <v>27876000</v>
      </c>
    </row>
    <row r="219" spans="3:14" x14ac:dyDescent="0.25">
      <c r="C219" s="17" t="s">
        <v>92</v>
      </c>
      <c r="D219" s="102">
        <f t="shared" ref="D219:I219" si="205">D39</f>
        <v>-1834000</v>
      </c>
      <c r="E219" s="102">
        <f t="shared" si="205"/>
        <v>-4451000</v>
      </c>
      <c r="F219" s="102">
        <f t="shared" si="205"/>
        <v>57762000</v>
      </c>
      <c r="G219" s="102">
        <f t="shared" si="205"/>
        <v>34323000</v>
      </c>
      <c r="H219" s="102">
        <f t="shared" si="205"/>
        <v>60338000</v>
      </c>
      <c r="I219" s="102">
        <f t="shared" si="205"/>
        <v>19963000</v>
      </c>
      <c r="J219" s="102">
        <f>J226*J37</f>
        <v>0</v>
      </c>
      <c r="K219" s="102">
        <f>K226*K37</f>
        <v>0</v>
      </c>
      <c r="L219" s="102">
        <f>L226*L37</f>
        <v>0</v>
      </c>
      <c r="M219" s="102">
        <f>M226*M37</f>
        <v>0</v>
      </c>
      <c r="N219" s="102">
        <f>N226*N37</f>
        <v>0</v>
      </c>
    </row>
    <row r="220" spans="3:14" x14ac:dyDescent="0.25">
      <c r="C220" s="17" t="s">
        <v>93</v>
      </c>
      <c r="D220" s="103">
        <v>0</v>
      </c>
      <c r="E220" s="103">
        <v>-24069000</v>
      </c>
      <c r="F220" s="103">
        <v>-10247000</v>
      </c>
      <c r="G220" s="103">
        <v>-17108000</v>
      </c>
      <c r="H220" s="103">
        <v>-37367000</v>
      </c>
      <c r="I220" s="103">
        <v>-289028000</v>
      </c>
      <c r="J220" s="102">
        <f>J227*J37</f>
        <v>0</v>
      </c>
      <c r="K220" s="102">
        <f>K227*K37</f>
        <v>0</v>
      </c>
      <c r="L220" s="102">
        <f>L227*L37</f>
        <v>0</v>
      </c>
      <c r="M220" s="102">
        <f>M227*M37</f>
        <v>0</v>
      </c>
      <c r="N220" s="102">
        <f>N227*N37</f>
        <v>0</v>
      </c>
    </row>
    <row r="221" spans="3:14" x14ac:dyDescent="0.25">
      <c r="C221" s="17" t="s">
        <v>68</v>
      </c>
      <c r="D221" s="102">
        <f t="shared" ref="D221:I221" si="206">D95</f>
        <v>483055000</v>
      </c>
      <c r="E221" s="102">
        <f t="shared" si="206"/>
        <v>454535000</v>
      </c>
      <c r="F221" s="102">
        <f t="shared" si="206"/>
        <v>580431000</v>
      </c>
      <c r="G221" s="102">
        <f t="shared" si="206"/>
        <v>160073000</v>
      </c>
      <c r="H221" s="102">
        <f t="shared" si="206"/>
        <v>183044000</v>
      </c>
      <c r="I221" s="102">
        <f t="shared" si="206"/>
        <v>27876000</v>
      </c>
      <c r="J221" s="102">
        <f>J218+J219-J220</f>
        <v>27876000</v>
      </c>
      <c r="K221" s="102">
        <f t="shared" ref="K221:N221" si="207">K218+K219-K220</f>
        <v>27876000</v>
      </c>
      <c r="L221" s="102">
        <f t="shared" si="207"/>
        <v>27876000</v>
      </c>
      <c r="M221" s="102">
        <f t="shared" si="207"/>
        <v>27876000</v>
      </c>
      <c r="N221" s="102">
        <f t="shared" si="207"/>
        <v>27876000</v>
      </c>
    </row>
    <row r="222" spans="3:14" x14ac:dyDescent="0.25"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</row>
    <row r="223" spans="3:14" x14ac:dyDescent="0.25">
      <c r="C223" s="6" t="s">
        <v>90</v>
      </c>
      <c r="D223" s="1">
        <f>-D211/D210</f>
        <v>0.32920612567281399</v>
      </c>
      <c r="E223" s="1">
        <f t="shared" ref="E223:I223" si="208">-E211/E210</f>
        <v>0.10251887986393222</v>
      </c>
      <c r="F223" s="1">
        <f t="shared" si="208"/>
        <v>0.27368845779312251</v>
      </c>
      <c r="G223" s="1">
        <f t="shared" si="208"/>
        <v>0.12616655253183937</v>
      </c>
      <c r="H223" s="1">
        <f t="shared" si="208"/>
        <v>9.7224267947648893E-2</v>
      </c>
      <c r="I223" s="1">
        <f t="shared" si="208"/>
        <v>0.17892314450109298</v>
      </c>
      <c r="J223" s="116">
        <v>0.25</v>
      </c>
      <c r="K223" s="116">
        <f>J223+5%</f>
        <v>0.3</v>
      </c>
      <c r="L223" s="116">
        <f t="shared" ref="L223:N223" si="209">K223+5%</f>
        <v>0.35</v>
      </c>
      <c r="M223" s="116">
        <f t="shared" si="209"/>
        <v>0.39999999999999997</v>
      </c>
      <c r="N223" s="116">
        <f t="shared" si="209"/>
        <v>0.44999999999999996</v>
      </c>
    </row>
    <row r="224" spans="3:14" x14ac:dyDescent="0.25">
      <c r="C224" s="6" t="s">
        <v>292</v>
      </c>
      <c r="D224" s="116">
        <v>0.1</v>
      </c>
      <c r="E224" s="116">
        <f>D224</f>
        <v>0.1</v>
      </c>
      <c r="F224" s="116">
        <f t="shared" ref="F224:K224" si="210">E224</f>
        <v>0.1</v>
      </c>
      <c r="G224" s="116">
        <f t="shared" si="210"/>
        <v>0.1</v>
      </c>
      <c r="H224" s="116">
        <f t="shared" si="210"/>
        <v>0.1</v>
      </c>
      <c r="I224" s="116">
        <f t="shared" si="210"/>
        <v>0.1</v>
      </c>
      <c r="J224" s="116">
        <f t="shared" si="210"/>
        <v>0.1</v>
      </c>
      <c r="K224" s="116">
        <f t="shared" si="210"/>
        <v>0.1</v>
      </c>
      <c r="L224" s="116">
        <f t="shared" ref="L224:N225" si="211">K224</f>
        <v>0.1</v>
      </c>
      <c r="M224" s="116">
        <f t="shared" si="211"/>
        <v>0.1</v>
      </c>
      <c r="N224" s="116">
        <f t="shared" si="211"/>
        <v>0.1</v>
      </c>
    </row>
    <row r="225" spans="3:14" x14ac:dyDescent="0.25">
      <c r="C225" s="6" t="s">
        <v>293</v>
      </c>
      <c r="D225" s="22">
        <f>D213/D210</f>
        <v>5.3958734955910519E-2</v>
      </c>
      <c r="E225" s="22">
        <f t="shared" ref="E225:I225" si="212">E213/E210</f>
        <v>4.5941410356030409E-2</v>
      </c>
      <c r="F225" s="22">
        <f t="shared" si="212"/>
        <v>4.4926620855846339E-2</v>
      </c>
      <c r="G225" s="22">
        <f t="shared" si="212"/>
        <v>2.547085087395648E-2</v>
      </c>
      <c r="H225" s="22">
        <f t="shared" si="212"/>
        <v>1.8214052171596572E-2</v>
      </c>
      <c r="I225" s="22">
        <f t="shared" si="212"/>
        <v>1.5352950208983949E-2</v>
      </c>
      <c r="J225" s="116">
        <f>AVERAGE(D225:I225)</f>
        <v>3.3977436570387383E-2</v>
      </c>
      <c r="K225" s="116">
        <f t="shared" ref="K225" si="213">J225</f>
        <v>3.3977436570387383E-2</v>
      </c>
      <c r="L225" s="116">
        <f t="shared" si="211"/>
        <v>3.3977436570387383E-2</v>
      </c>
      <c r="M225" s="116">
        <f t="shared" si="211"/>
        <v>3.3977436570387383E-2</v>
      </c>
      <c r="N225" s="116">
        <f t="shared" si="211"/>
        <v>3.3977436570387383E-2</v>
      </c>
    </row>
    <row r="226" spans="3:14" x14ac:dyDescent="0.25">
      <c r="C226" s="6" t="s">
        <v>95</v>
      </c>
      <c r="D226" s="22">
        <f t="shared" ref="D226:I226" si="214">D219/D37</f>
        <v>-1.791658977544964E-4</v>
      </c>
      <c r="E226" s="22">
        <f t="shared" si="214"/>
        <v>-3.3547491595791845E-4</v>
      </c>
      <c r="F226" s="22">
        <f t="shared" si="214"/>
        <v>3.5716957856562052E-3</v>
      </c>
      <c r="G226" s="22">
        <f t="shared" si="214"/>
        <v>1.1568693308625052E-3</v>
      </c>
      <c r="H226" s="22">
        <f t="shared" si="214"/>
        <v>1.0919574469224853E-3</v>
      </c>
      <c r="I226" s="22">
        <f t="shared" si="214"/>
        <v>2.426852368344961E-4</v>
      </c>
      <c r="J226" s="116">
        <v>0</v>
      </c>
      <c r="K226" s="116">
        <f>J226</f>
        <v>0</v>
      </c>
      <c r="L226" s="116">
        <f t="shared" ref="L226:N226" si="215">K226</f>
        <v>0</v>
      </c>
      <c r="M226" s="116">
        <f t="shared" si="215"/>
        <v>0</v>
      </c>
      <c r="N226" s="116">
        <f t="shared" si="215"/>
        <v>0</v>
      </c>
    </row>
    <row r="227" spans="3:14" x14ac:dyDescent="0.25">
      <c r="C227" s="6" t="s">
        <v>94</v>
      </c>
      <c r="D227" s="22">
        <f t="shared" ref="D227:I227" si="216">D220/D37</f>
        <v>0</v>
      </c>
      <c r="E227" s="22">
        <f t="shared" si="216"/>
        <v>-1.814097001166286E-3</v>
      </c>
      <c r="F227" s="22">
        <f t="shared" si="216"/>
        <v>-6.336201432709937E-4</v>
      </c>
      <c r="G227" s="22">
        <f t="shared" si="216"/>
        <v>-5.7663142826663578E-4</v>
      </c>
      <c r="H227" s="22">
        <f t="shared" si="216"/>
        <v>-6.762433941985567E-4</v>
      </c>
      <c r="I227" s="22">
        <f t="shared" si="216"/>
        <v>-3.5136416686770895E-3</v>
      </c>
      <c r="J227" s="116">
        <v>0</v>
      </c>
      <c r="K227" s="116">
        <f>J227</f>
        <v>0</v>
      </c>
      <c r="L227" s="116">
        <f t="shared" ref="L227:N227" si="217">K227</f>
        <v>0</v>
      </c>
      <c r="M227" s="116">
        <f t="shared" si="217"/>
        <v>0</v>
      </c>
      <c r="N227" s="116">
        <f t="shared" si="217"/>
        <v>0</v>
      </c>
    </row>
    <row r="229" spans="3:14" x14ac:dyDescent="0.25">
      <c r="C229" s="13" t="s">
        <v>196</v>
      </c>
      <c r="D229" s="7"/>
      <c r="E229" s="7"/>
      <c r="F229" s="7"/>
      <c r="G229" s="7"/>
    </row>
    <row r="230" spans="3:14" x14ac:dyDescent="0.25">
      <c r="C230" s="36" t="s">
        <v>50</v>
      </c>
      <c r="D230" s="37">
        <f t="shared" ref="D230:N230" si="218">D$13</f>
        <v>2020</v>
      </c>
      <c r="E230" s="37">
        <f t="shared" si="218"/>
        <v>2021</v>
      </c>
      <c r="F230" s="37">
        <f t="shared" si="218"/>
        <v>2022</v>
      </c>
      <c r="G230" s="37">
        <f t="shared" si="218"/>
        <v>2023</v>
      </c>
      <c r="H230" s="37">
        <f t="shared" si="218"/>
        <v>2024</v>
      </c>
      <c r="I230" s="37">
        <f t="shared" si="218"/>
        <v>2025</v>
      </c>
      <c r="J230" s="38">
        <f t="shared" si="218"/>
        <v>2026</v>
      </c>
      <c r="K230" s="38">
        <f t="shared" si="218"/>
        <v>2027</v>
      </c>
      <c r="L230" s="38">
        <f t="shared" si="218"/>
        <v>2028</v>
      </c>
      <c r="M230" s="38">
        <f t="shared" si="218"/>
        <v>2029</v>
      </c>
      <c r="N230" s="38">
        <f t="shared" si="218"/>
        <v>2030</v>
      </c>
    </row>
    <row r="231" spans="3:14" x14ac:dyDescent="0.25">
      <c r="C231" s="32" t="s">
        <v>51</v>
      </c>
      <c r="D231" s="124">
        <f t="shared" ref="D231:N231" si="219">D$14</f>
        <v>44196</v>
      </c>
      <c r="E231" s="124">
        <f t="shared" si="219"/>
        <v>44561</v>
      </c>
      <c r="F231" s="124">
        <f t="shared" si="219"/>
        <v>44926</v>
      </c>
      <c r="G231" s="124">
        <f t="shared" si="219"/>
        <v>45291</v>
      </c>
      <c r="H231" s="124">
        <f t="shared" si="219"/>
        <v>45657</v>
      </c>
      <c r="I231" s="124">
        <f t="shared" si="219"/>
        <v>46022</v>
      </c>
      <c r="J231" s="124">
        <f t="shared" si="219"/>
        <v>46387</v>
      </c>
      <c r="K231" s="124">
        <f t="shared" si="219"/>
        <v>46752</v>
      </c>
      <c r="L231" s="124">
        <f t="shared" si="219"/>
        <v>47118</v>
      </c>
      <c r="M231" s="124">
        <f t="shared" si="219"/>
        <v>47483</v>
      </c>
      <c r="N231" s="124">
        <f t="shared" si="219"/>
        <v>47848</v>
      </c>
    </row>
    <row r="232" spans="3:14" x14ac:dyDescent="0.25">
      <c r="D232" s="7"/>
      <c r="E232" s="7"/>
      <c r="F232" s="7"/>
      <c r="G232" s="7"/>
    </row>
    <row r="233" spans="3:14" s="13" customFormat="1" x14ac:dyDescent="0.25">
      <c r="C233" s="13" t="s">
        <v>193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3:14" s="102" customFormat="1" x14ac:dyDescent="0.25">
      <c r="C234" s="208" t="s">
        <v>179</v>
      </c>
      <c r="D234" s="128">
        <v>1519369000</v>
      </c>
      <c r="E234" s="128">
        <v>1268376000</v>
      </c>
      <c r="F234" s="128">
        <v>2132876000</v>
      </c>
      <c r="G234" s="128">
        <v>2927620000</v>
      </c>
      <c r="H234" s="128">
        <v>3731857000</v>
      </c>
      <c r="I234" s="128">
        <v>3174190000</v>
      </c>
      <c r="J234" s="102">
        <f>I234*(1+J240)</f>
        <v>3491609000.0000005</v>
      </c>
      <c r="K234" s="102">
        <f t="shared" ref="K234:N234" si="220">J234*(1+K240)</f>
        <v>3840769900.000001</v>
      </c>
      <c r="L234" s="102">
        <f t="shared" si="220"/>
        <v>4186439191.0000014</v>
      </c>
      <c r="M234" s="102">
        <f t="shared" si="220"/>
        <v>4521354326.2800016</v>
      </c>
      <c r="N234" s="102">
        <f t="shared" si="220"/>
        <v>4883062672.3824024</v>
      </c>
    </row>
    <row r="235" spans="3:14" s="102" customFormat="1" x14ac:dyDescent="0.25">
      <c r="C235" s="208" t="s">
        <v>180</v>
      </c>
      <c r="D235" s="128">
        <v>4864404000</v>
      </c>
      <c r="E235" s="128">
        <v>5716197000</v>
      </c>
      <c r="F235" s="128">
        <v>7636331000</v>
      </c>
      <c r="G235" s="128">
        <v>10297598000</v>
      </c>
      <c r="H235" s="128">
        <v>15027813000</v>
      </c>
      <c r="I235" s="128">
        <v>18234061000</v>
      </c>
      <c r="J235" s="102">
        <f t="shared" ref="J235:N235" si="221">I235*(1+J241)</f>
        <v>22245554420</v>
      </c>
      <c r="K235" s="102">
        <f t="shared" si="221"/>
        <v>26472209759.799999</v>
      </c>
      <c r="L235" s="102">
        <f t="shared" si="221"/>
        <v>30707763321.367996</v>
      </c>
      <c r="M235" s="102">
        <f t="shared" si="221"/>
        <v>35006850186.35952</v>
      </c>
      <c r="N235" s="102">
        <f t="shared" si="221"/>
        <v>39207672208.722664</v>
      </c>
    </row>
    <row r="236" spans="3:14" s="102" customFormat="1" x14ac:dyDescent="0.25">
      <c r="C236" s="208" t="s">
        <v>181</v>
      </c>
      <c r="D236" s="128">
        <v>27882072000</v>
      </c>
      <c r="E236" s="128">
        <v>31683161000</v>
      </c>
      <c r="F236" s="128">
        <v>40374834000</v>
      </c>
      <c r="G236" s="128">
        <v>42552132000</v>
      </c>
      <c r="H236" s="128">
        <v>54941264000</v>
      </c>
      <c r="I236" s="128">
        <v>63053375000</v>
      </c>
      <c r="J236" s="102">
        <f t="shared" ref="J236:N236" si="222">I236*(1+J242)</f>
        <v>73141915000</v>
      </c>
      <c r="K236" s="102">
        <f t="shared" si="222"/>
        <v>84113202250</v>
      </c>
      <c r="L236" s="102">
        <f t="shared" si="222"/>
        <v>95047918542.499985</v>
      </c>
      <c r="M236" s="102">
        <f t="shared" si="222"/>
        <v>106453668767.59999</v>
      </c>
      <c r="N236" s="102">
        <f t="shared" si="222"/>
        <v>118163572332.036</v>
      </c>
    </row>
    <row r="237" spans="3:14" s="102" customFormat="1" x14ac:dyDescent="0.25">
      <c r="C237" s="208" t="s">
        <v>182</v>
      </c>
      <c r="D237" s="128">
        <v>2033349000</v>
      </c>
      <c r="E237" s="128">
        <v>2484598000</v>
      </c>
      <c r="F237" s="128">
        <v>3399858000</v>
      </c>
      <c r="G237" s="128">
        <v>4348982000</v>
      </c>
      <c r="H237" s="128">
        <v>5794632000</v>
      </c>
      <c r="I237" s="128">
        <v>7997385000</v>
      </c>
      <c r="J237" s="102">
        <f t="shared" ref="J237:N237" si="223">I237*(1+J243)</f>
        <v>10396600500</v>
      </c>
      <c r="K237" s="102">
        <f t="shared" si="223"/>
        <v>12995750625</v>
      </c>
      <c r="L237" s="102">
        <f t="shared" si="223"/>
        <v>15854815762.5</v>
      </c>
      <c r="M237" s="102">
        <f t="shared" si="223"/>
        <v>18708682599.75</v>
      </c>
      <c r="N237" s="102">
        <f t="shared" si="223"/>
        <v>21514984989.712498</v>
      </c>
    </row>
    <row r="238" spans="3:14" s="13" customFormat="1" x14ac:dyDescent="0.25">
      <c r="C238" s="13" t="s">
        <v>183</v>
      </c>
      <c r="D238" s="119">
        <f>SUM(D234:D237)</f>
        <v>36299194000</v>
      </c>
      <c r="E238" s="119">
        <f t="shared" ref="E238:N238" si="224">SUM(E234:E237)</f>
        <v>41152332000</v>
      </c>
      <c r="F238" s="119">
        <f t="shared" si="224"/>
        <v>53543899000</v>
      </c>
      <c r="G238" s="119">
        <f t="shared" si="224"/>
        <v>60126332000</v>
      </c>
      <c r="H238" s="119">
        <f t="shared" si="224"/>
        <v>79495566000</v>
      </c>
      <c r="I238" s="119">
        <f t="shared" si="224"/>
        <v>92459011000</v>
      </c>
      <c r="J238" s="119">
        <f t="shared" si="224"/>
        <v>109275678920</v>
      </c>
      <c r="K238" s="119">
        <f t="shared" si="224"/>
        <v>127421932534.8</v>
      </c>
      <c r="L238" s="119">
        <f t="shared" si="224"/>
        <v>145796936817.36798</v>
      </c>
      <c r="M238" s="119">
        <f t="shared" si="224"/>
        <v>164690555879.9895</v>
      </c>
      <c r="N238" s="119">
        <f t="shared" si="224"/>
        <v>183769292202.85355</v>
      </c>
    </row>
    <row r="239" spans="3:14" s="13" customFormat="1" x14ac:dyDescent="0.25"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</row>
    <row r="240" spans="3:14" x14ac:dyDescent="0.25">
      <c r="C240" s="6" t="s">
        <v>197</v>
      </c>
      <c r="D240" s="112"/>
      <c r="E240" s="112">
        <f>E234/D234-1</f>
        <v>-0.16519555157437071</v>
      </c>
      <c r="F240" s="112">
        <f t="shared" ref="F240:I240" si="225">F234/E234-1</f>
        <v>0.68158022542211461</v>
      </c>
      <c r="G240" s="112">
        <f t="shared" si="225"/>
        <v>0.37261612958277923</v>
      </c>
      <c r="H240" s="112">
        <f t="shared" si="225"/>
        <v>0.27470675839077474</v>
      </c>
      <c r="I240" s="112">
        <f t="shared" si="225"/>
        <v>-0.14943418249949025</v>
      </c>
      <c r="J240" s="113">
        <v>0.1</v>
      </c>
      <c r="K240" s="113">
        <v>0.1</v>
      </c>
      <c r="L240" s="113">
        <v>0.09</v>
      </c>
      <c r="M240" s="113">
        <v>0.08</v>
      </c>
      <c r="N240" s="113">
        <v>0.08</v>
      </c>
    </row>
    <row r="241" spans="3:14" x14ac:dyDescent="0.25">
      <c r="C241" s="6" t="s">
        <v>198</v>
      </c>
      <c r="D241" s="112"/>
      <c r="E241" s="112">
        <f t="shared" ref="E241:I241" si="226">E235/D235-1</f>
        <v>0.17510737183835889</v>
      </c>
      <c r="F241" s="112">
        <f t="shared" si="226"/>
        <v>0.3359110961361198</v>
      </c>
      <c r="G241" s="112">
        <f t="shared" si="226"/>
        <v>0.3485007394257793</v>
      </c>
      <c r="H241" s="112">
        <f t="shared" si="226"/>
        <v>0.45935129726369195</v>
      </c>
      <c r="I241" s="112">
        <f t="shared" si="226"/>
        <v>0.21335426518815481</v>
      </c>
      <c r="J241" s="113">
        <v>0.22</v>
      </c>
      <c r="K241" s="113">
        <v>0.19</v>
      </c>
      <c r="L241" s="113">
        <v>0.16</v>
      </c>
      <c r="M241" s="113">
        <v>0.14000000000000001</v>
      </c>
      <c r="N241" s="113">
        <v>0.12</v>
      </c>
    </row>
    <row r="242" spans="3:14" x14ac:dyDescent="0.25">
      <c r="C242" s="6" t="s">
        <v>199</v>
      </c>
      <c r="D242" s="112"/>
      <c r="E242" s="112">
        <f t="shared" ref="E242:I242" si="227">E236/D236-1</f>
        <v>0.13632735042072919</v>
      </c>
      <c r="F242" s="112">
        <f t="shared" si="227"/>
        <v>0.27433099241581349</v>
      </c>
      <c r="G242" s="112">
        <f t="shared" si="227"/>
        <v>5.3927107167796695E-2</v>
      </c>
      <c r="H242" s="112">
        <f t="shared" si="227"/>
        <v>0.29115185109878872</v>
      </c>
      <c r="I242" s="112">
        <f t="shared" si="227"/>
        <v>0.14765060738318647</v>
      </c>
      <c r="J242" s="113">
        <v>0.16</v>
      </c>
      <c r="K242" s="113">
        <v>0.15</v>
      </c>
      <c r="L242" s="113">
        <v>0.13</v>
      </c>
      <c r="M242" s="113">
        <v>0.12</v>
      </c>
      <c r="N242" s="113">
        <v>0.11</v>
      </c>
    </row>
    <row r="243" spans="3:14" x14ac:dyDescent="0.25">
      <c r="C243" s="6" t="s">
        <v>200</v>
      </c>
      <c r="D243" s="112"/>
      <c r="E243" s="112">
        <f t="shared" ref="E243:I243" si="228">E237/D237-1</f>
        <v>0.22192402779847442</v>
      </c>
      <c r="F243" s="112">
        <f t="shared" si="228"/>
        <v>0.36837347530666942</v>
      </c>
      <c r="G243" s="112">
        <f t="shared" si="228"/>
        <v>0.27916577692362443</v>
      </c>
      <c r="H243" s="112">
        <f t="shared" si="228"/>
        <v>0.33241112517826021</v>
      </c>
      <c r="I243" s="112">
        <f t="shared" si="228"/>
        <v>0.38013682318393993</v>
      </c>
      <c r="J243" s="113">
        <v>0.3</v>
      </c>
      <c r="K243" s="113">
        <v>0.25</v>
      </c>
      <c r="L243" s="113">
        <v>0.22</v>
      </c>
      <c r="M243" s="113">
        <v>0.18</v>
      </c>
      <c r="N243" s="113">
        <v>0.15</v>
      </c>
    </row>
    <row r="244" spans="3:14" x14ac:dyDescent="0.25">
      <c r="D244" s="196"/>
      <c r="E244" s="196"/>
      <c r="F244" s="196"/>
      <c r="G244" s="196"/>
      <c r="H244" s="197"/>
      <c r="I244" s="197"/>
    </row>
    <row r="245" spans="3:14" s="13" customFormat="1" x14ac:dyDescent="0.25">
      <c r="C245" s="13" t="s">
        <v>192</v>
      </c>
      <c r="D245" s="200"/>
      <c r="E245" s="200"/>
      <c r="F245" s="200"/>
      <c r="G245" s="200"/>
      <c r="H245" s="200"/>
      <c r="I245" s="200"/>
      <c r="J245" s="14"/>
      <c r="K245" s="14"/>
      <c r="L245" s="14"/>
      <c r="M245" s="14"/>
      <c r="N245" s="14"/>
    </row>
    <row r="246" spans="3:14" s="102" customFormat="1" x14ac:dyDescent="0.25">
      <c r="C246" s="208" t="s">
        <v>179</v>
      </c>
      <c r="D246" s="128">
        <v>23698784000</v>
      </c>
      <c r="E246" s="128">
        <v>29333541000</v>
      </c>
      <c r="F246" s="128">
        <v>42595303000</v>
      </c>
      <c r="G246" s="128">
        <v>55047153000</v>
      </c>
      <c r="H246" s="128">
        <v>87461400000</v>
      </c>
      <c r="I246" s="128">
        <v>113965193000</v>
      </c>
      <c r="J246" s="102">
        <f>I246*(1+J252)</f>
        <v>134478927740</v>
      </c>
      <c r="K246" s="102">
        <f t="shared" ref="K246:N246" si="229">J246*(1+K252)</f>
        <v>154650766901</v>
      </c>
      <c r="L246" s="102">
        <f t="shared" si="229"/>
        <v>174755366598.12997</v>
      </c>
      <c r="M246" s="102">
        <f t="shared" si="229"/>
        <v>193978456923.92429</v>
      </c>
      <c r="N246" s="102">
        <f t="shared" si="229"/>
        <v>213376302616.31674</v>
      </c>
    </row>
    <row r="247" spans="3:14" s="102" customFormat="1" x14ac:dyDescent="0.25">
      <c r="C247" s="208" t="s">
        <v>184</v>
      </c>
      <c r="D247" s="128">
        <v>45228009000</v>
      </c>
      <c r="E247" s="128">
        <v>50357437000</v>
      </c>
      <c r="F247" s="128">
        <v>78759856000</v>
      </c>
      <c r="G247" s="128">
        <v>99455837000</v>
      </c>
      <c r="H247" s="128">
        <v>144428805000</v>
      </c>
      <c r="I247" s="128">
        <v>259575740000</v>
      </c>
      <c r="J247" s="102">
        <f t="shared" ref="J247:N247" si="230">I247*(1+J253)</f>
        <v>301107858400</v>
      </c>
      <c r="K247" s="102">
        <f t="shared" si="230"/>
        <v>343262958576.00006</v>
      </c>
      <c r="L247" s="102">
        <f t="shared" si="230"/>
        <v>384454513605.12012</v>
      </c>
      <c r="M247" s="102">
        <f t="shared" si="230"/>
        <v>426744510101.68335</v>
      </c>
      <c r="N247" s="102">
        <f t="shared" si="230"/>
        <v>469418961111.85175</v>
      </c>
    </row>
    <row r="248" spans="3:14" s="102" customFormat="1" x14ac:dyDescent="0.25">
      <c r="C248" s="208" t="s">
        <v>185</v>
      </c>
      <c r="D248" s="128">
        <v>31110813000</v>
      </c>
      <c r="E248" s="128">
        <v>43062028000</v>
      </c>
      <c r="F248" s="128">
        <v>44722871000</v>
      </c>
      <c r="G248" s="128">
        <v>51311552000</v>
      </c>
      <c r="H248" s="128">
        <v>79963890000</v>
      </c>
      <c r="I248" s="128">
        <v>78572993000</v>
      </c>
      <c r="J248" s="102">
        <f t="shared" ref="J248:N248" si="231">I248*(1+J254)</f>
        <v>84858832440</v>
      </c>
      <c r="K248" s="102">
        <f t="shared" si="231"/>
        <v>93344715684</v>
      </c>
      <c r="L248" s="102">
        <f t="shared" si="231"/>
        <v>102679187252.40001</v>
      </c>
      <c r="M248" s="102">
        <f t="shared" si="231"/>
        <v>111920314105.11601</v>
      </c>
      <c r="N248" s="102">
        <f t="shared" si="231"/>
        <v>120873939233.5253</v>
      </c>
    </row>
    <row r="249" spans="3:14" s="102" customFormat="1" x14ac:dyDescent="0.25">
      <c r="C249" s="208" t="s">
        <v>169</v>
      </c>
      <c r="D249" s="128">
        <v>21391000</v>
      </c>
      <c r="E249" s="128">
        <v>33489000</v>
      </c>
      <c r="F249" s="128">
        <v>124453000</v>
      </c>
      <c r="G249" s="128">
        <v>434524000</v>
      </c>
      <c r="H249" s="128">
        <v>1033383000</v>
      </c>
      <c r="I249" s="128">
        <v>1687298000</v>
      </c>
      <c r="J249" s="102">
        <f t="shared" ref="J249:N249" si="232">I249*(1+J255)</f>
        <v>2109122500</v>
      </c>
      <c r="K249" s="102">
        <f t="shared" si="232"/>
        <v>2530947000</v>
      </c>
      <c r="L249" s="102">
        <f t="shared" si="232"/>
        <v>2910589050</v>
      </c>
      <c r="M249" s="102">
        <f t="shared" si="232"/>
        <v>3201647955.0000005</v>
      </c>
      <c r="N249" s="102">
        <f t="shared" si="232"/>
        <v>3521812750.500001</v>
      </c>
    </row>
    <row r="250" spans="3:14" s="13" customFormat="1" x14ac:dyDescent="0.25">
      <c r="C250" s="13" t="s">
        <v>195</v>
      </c>
      <c r="D250" s="119">
        <f>SUM(D246:D249)</f>
        <v>100058997000</v>
      </c>
      <c r="E250" s="119">
        <f t="shared" ref="E250:N250" si="233">SUM(E246:E249)</f>
        <v>122786495000</v>
      </c>
      <c r="F250" s="119">
        <f t="shared" si="233"/>
        <v>166202483000</v>
      </c>
      <c r="G250" s="119">
        <f t="shared" si="233"/>
        <v>206249066000</v>
      </c>
      <c r="H250" s="119">
        <f t="shared" si="233"/>
        <v>312887478000</v>
      </c>
      <c r="I250" s="119">
        <f t="shared" si="233"/>
        <v>453801224000</v>
      </c>
      <c r="J250" s="119">
        <f t="shared" si="233"/>
        <v>522554741080</v>
      </c>
      <c r="K250" s="119">
        <f t="shared" si="233"/>
        <v>593789388161</v>
      </c>
      <c r="L250" s="119">
        <f t="shared" si="233"/>
        <v>664799656505.65015</v>
      </c>
      <c r="M250" s="119">
        <f t="shared" si="233"/>
        <v>735844929085.72363</v>
      </c>
      <c r="N250" s="119">
        <f t="shared" si="233"/>
        <v>807191015712.19373</v>
      </c>
    </row>
    <row r="251" spans="3:14" s="13" customFormat="1" x14ac:dyDescent="0.25">
      <c r="D251" s="195"/>
      <c r="E251" s="195"/>
      <c r="F251" s="195"/>
      <c r="G251" s="195"/>
    </row>
    <row r="252" spans="3:14" s="112" customFormat="1" x14ac:dyDescent="0.25">
      <c r="C252" s="209" t="s">
        <v>197</v>
      </c>
      <c r="E252" s="112">
        <f>E246/D246-1</f>
        <v>0.23776565920006698</v>
      </c>
      <c r="F252" s="112">
        <f t="shared" ref="F252:I252" si="234">F246/E246-1</f>
        <v>0.45210232204833378</v>
      </c>
      <c r="G252" s="112">
        <f t="shared" si="234"/>
        <v>0.29232918005067376</v>
      </c>
      <c r="H252" s="112">
        <f t="shared" si="234"/>
        <v>0.5888451124802041</v>
      </c>
      <c r="I252" s="112">
        <f t="shared" si="234"/>
        <v>0.30303417278936773</v>
      </c>
      <c r="J252" s="113">
        <v>0.18</v>
      </c>
      <c r="K252" s="113">
        <v>0.15</v>
      </c>
      <c r="L252" s="113">
        <v>0.13</v>
      </c>
      <c r="M252" s="113">
        <v>0.11</v>
      </c>
      <c r="N252" s="113">
        <v>0.1</v>
      </c>
    </row>
    <row r="253" spans="3:14" s="112" customFormat="1" x14ac:dyDescent="0.25">
      <c r="C253" s="209" t="s">
        <v>205</v>
      </c>
      <c r="E253" s="112">
        <f t="shared" ref="E253:I253" si="235">E247/D247-1</f>
        <v>0.11341264215278635</v>
      </c>
      <c r="F253" s="112">
        <f t="shared" si="235"/>
        <v>0.5640163735894661</v>
      </c>
      <c r="G253" s="112">
        <f t="shared" si="235"/>
        <v>0.26277322040812257</v>
      </c>
      <c r="H253" s="112">
        <f t="shared" si="235"/>
        <v>0.45219033247892737</v>
      </c>
      <c r="I253" s="112">
        <f t="shared" si="235"/>
        <v>0.79725740997441608</v>
      </c>
      <c r="J253" s="113">
        <v>0.16</v>
      </c>
      <c r="K253" s="113">
        <v>0.14000000000000001</v>
      </c>
      <c r="L253" s="113">
        <v>0.12</v>
      </c>
      <c r="M253" s="113">
        <v>0.11</v>
      </c>
      <c r="N253" s="113">
        <v>0.1</v>
      </c>
    </row>
    <row r="254" spans="3:14" s="112" customFormat="1" x14ac:dyDescent="0.25">
      <c r="C254" s="209" t="s">
        <v>206</v>
      </c>
      <c r="E254" s="112">
        <f t="shared" ref="E254:I254" si="236">E248/D248-1</f>
        <v>0.38414987740757534</v>
      </c>
      <c r="F254" s="112">
        <f t="shared" si="236"/>
        <v>3.856862013094231E-2</v>
      </c>
      <c r="G254" s="112">
        <f t="shared" si="236"/>
        <v>0.14732240691792797</v>
      </c>
      <c r="H254" s="112">
        <f t="shared" si="236"/>
        <v>0.55839936394829759</v>
      </c>
      <c r="I254" s="112">
        <f t="shared" si="236"/>
        <v>-1.7394063745523103E-2</v>
      </c>
      <c r="J254" s="113">
        <v>0.08</v>
      </c>
      <c r="K254" s="113">
        <v>0.1</v>
      </c>
      <c r="L254" s="113">
        <v>0.1</v>
      </c>
      <c r="M254" s="113">
        <v>0.09</v>
      </c>
      <c r="N254" s="113">
        <v>0.08</v>
      </c>
    </row>
    <row r="255" spans="3:14" s="112" customFormat="1" x14ac:dyDescent="0.25">
      <c r="C255" s="209" t="s">
        <v>178</v>
      </c>
      <c r="E255" s="112">
        <f t="shared" ref="E255:I255" si="237">E249/D249-1</f>
        <v>0.56556495722500122</v>
      </c>
      <c r="F255" s="112">
        <f t="shared" si="237"/>
        <v>2.7162351817014541</v>
      </c>
      <c r="G255" s="112">
        <f t="shared" si="237"/>
        <v>2.4914706756767617</v>
      </c>
      <c r="H255" s="112">
        <f t="shared" si="237"/>
        <v>1.378195450654049</v>
      </c>
      <c r="I255" s="112">
        <f t="shared" si="237"/>
        <v>0.63279055297019604</v>
      </c>
      <c r="J255" s="113">
        <v>0.25</v>
      </c>
      <c r="K255" s="113">
        <v>0.2</v>
      </c>
      <c r="L255" s="113">
        <v>0.15</v>
      </c>
      <c r="M255" s="113">
        <v>0.1</v>
      </c>
      <c r="N255" s="113">
        <v>0.1</v>
      </c>
    </row>
    <row r="256" spans="3:14" s="13" customFormat="1" x14ac:dyDescent="0.25">
      <c r="D256" s="195"/>
      <c r="E256" s="195"/>
      <c r="F256" s="195"/>
      <c r="G256" s="195"/>
    </row>
    <row r="257" spans="3:14" s="13" customFormat="1" x14ac:dyDescent="0.25">
      <c r="C257" s="13" t="s">
        <v>186</v>
      </c>
      <c r="D257" s="119">
        <f>D238+D250</f>
        <v>136358191000</v>
      </c>
      <c r="E257" s="119">
        <f t="shared" ref="E257:N257" si="238">E238+E250</f>
        <v>163938827000</v>
      </c>
      <c r="F257" s="119">
        <f t="shared" si="238"/>
        <v>219746382000</v>
      </c>
      <c r="G257" s="119">
        <f t="shared" si="238"/>
        <v>266375398000</v>
      </c>
      <c r="H257" s="119">
        <f t="shared" si="238"/>
        <v>392383044000</v>
      </c>
      <c r="I257" s="119">
        <f t="shared" si="238"/>
        <v>546260235000</v>
      </c>
      <c r="J257" s="119">
        <f t="shared" si="238"/>
        <v>631830420000</v>
      </c>
      <c r="K257" s="119">
        <f t="shared" si="238"/>
        <v>721211320695.80005</v>
      </c>
      <c r="L257" s="119">
        <f t="shared" si="238"/>
        <v>810596593323.01807</v>
      </c>
      <c r="M257" s="119">
        <f t="shared" si="238"/>
        <v>900535484965.71313</v>
      </c>
      <c r="N257" s="119">
        <f t="shared" si="238"/>
        <v>990960307915.04724</v>
      </c>
    </row>
    <row r="258" spans="3:14" x14ac:dyDescent="0.25">
      <c r="D258" s="196"/>
      <c r="E258" s="196"/>
      <c r="F258" s="196"/>
      <c r="G258" s="196"/>
      <c r="H258" s="197"/>
      <c r="I258" s="197"/>
    </row>
    <row r="259" spans="3:14" s="13" customFormat="1" x14ac:dyDescent="0.25">
      <c r="C259" s="13" t="s">
        <v>191</v>
      </c>
      <c r="D259" s="198"/>
      <c r="E259" s="198"/>
      <c r="F259" s="198"/>
      <c r="G259" s="198"/>
      <c r="H259" s="199"/>
      <c r="I259" s="199"/>
    </row>
    <row r="260" spans="3:14" s="102" customFormat="1" x14ac:dyDescent="0.25">
      <c r="C260" s="208" t="s">
        <v>187</v>
      </c>
      <c r="D260" s="128">
        <v>-104176000</v>
      </c>
      <c r="E260" s="128">
        <v>-68410000</v>
      </c>
      <c r="F260" s="128">
        <v>-678795000</v>
      </c>
      <c r="G260" s="128">
        <v>-509523000</v>
      </c>
      <c r="H260" s="128">
        <v>-238286000</v>
      </c>
      <c r="I260" s="128">
        <v>-82363000</v>
      </c>
      <c r="J260" s="102">
        <f>I260*(1+J266)</f>
        <v>-82198274</v>
      </c>
      <c r="K260" s="102">
        <f t="shared" ref="K260:N260" si="239">J260*(1+K266)</f>
        <v>-82033877.452000007</v>
      </c>
      <c r="L260" s="102">
        <f t="shared" si="239"/>
        <v>-81869809.697096005</v>
      </c>
      <c r="M260" s="102">
        <f t="shared" si="239"/>
        <v>-81706070.077701807</v>
      </c>
      <c r="N260" s="102">
        <f t="shared" si="239"/>
        <v>-81542657.937546402</v>
      </c>
    </row>
    <row r="261" spans="3:14" s="102" customFormat="1" x14ac:dyDescent="0.25">
      <c r="C261" s="208" t="s">
        <v>188</v>
      </c>
      <c r="D261" s="128">
        <v>-210680000</v>
      </c>
      <c r="E261" s="128">
        <v>-312682000</v>
      </c>
      <c r="F261" s="128">
        <v>-221018000</v>
      </c>
      <c r="G261" s="128">
        <v>-145003000</v>
      </c>
      <c r="H261" s="128">
        <v>-84093000</v>
      </c>
      <c r="I261" s="128">
        <v>-40820000</v>
      </c>
      <c r="J261" s="102">
        <f t="shared" ref="J261:N261" si="240">I261*(1+J267)</f>
        <v>-40615900</v>
      </c>
      <c r="K261" s="102">
        <f t="shared" si="240"/>
        <v>-40412820.5</v>
      </c>
      <c r="L261" s="102">
        <f t="shared" si="240"/>
        <v>-40210756.397500001</v>
      </c>
      <c r="M261" s="102">
        <f t="shared" si="240"/>
        <v>-40009702.615512498</v>
      </c>
      <c r="N261" s="102">
        <f t="shared" si="240"/>
        <v>-39809654.102434933</v>
      </c>
    </row>
    <row r="262" spans="3:14" s="102" customFormat="1" x14ac:dyDescent="0.25">
      <c r="C262" s="208" t="s">
        <v>189</v>
      </c>
      <c r="D262" s="128">
        <v>-38517000</v>
      </c>
      <c r="E262" s="128">
        <v>-65129000</v>
      </c>
      <c r="F262" s="128">
        <v>-709985000</v>
      </c>
      <c r="G262" s="128">
        <v>-1497199000</v>
      </c>
      <c r="H262" s="128">
        <v>-3036429000</v>
      </c>
      <c r="I262" s="128">
        <v>-3495530000</v>
      </c>
      <c r="J262" s="102">
        <f t="shared" ref="J262:N262" si="241">I262*(1+J268)</f>
        <v>-3473162034.7006402</v>
      </c>
      <c r="K262" s="102">
        <f t="shared" si="241"/>
        <v>-3450937202.4516716</v>
      </c>
      <c r="L262" s="102">
        <f t="shared" si="241"/>
        <v>-3428854587.341886</v>
      </c>
      <c r="M262" s="102">
        <f t="shared" si="241"/>
        <v>-3406913279.3210096</v>
      </c>
      <c r="N262" s="102">
        <f t="shared" si="241"/>
        <v>-3385112374.1621981</v>
      </c>
    </row>
    <row r="263" spans="3:14" s="102" customFormat="1" x14ac:dyDescent="0.25">
      <c r="C263" s="208" t="s">
        <v>190</v>
      </c>
      <c r="D263" s="128">
        <v>-16434813000</v>
      </c>
      <c r="E263" s="128">
        <v>-17917363000</v>
      </c>
      <c r="F263" s="128">
        <v>-24536712000</v>
      </c>
      <c r="G263" s="128">
        <v>-29237737000</v>
      </c>
      <c r="H263" s="128">
        <v>-45481562000</v>
      </c>
      <c r="I263" s="128">
        <v>-34687756000</v>
      </c>
      <c r="J263" s="102">
        <f>-J281</f>
        <v>-38388147099.706604</v>
      </c>
      <c r="K263" s="102">
        <f t="shared" ref="K263:N263" si="242">-K281</f>
        <v>-42483285391.788162</v>
      </c>
      <c r="L263" s="102">
        <f t="shared" si="242"/>
        <v>-47015281383.401695</v>
      </c>
      <c r="M263" s="102">
        <f t="shared" si="242"/>
        <v>-52030737810.774536</v>
      </c>
      <c r="N263" s="102">
        <f t="shared" si="242"/>
        <v>-57581228857.418121</v>
      </c>
    </row>
    <row r="264" spans="3:14" s="13" customFormat="1" x14ac:dyDescent="0.25">
      <c r="C264" s="13" t="s">
        <v>194</v>
      </c>
      <c r="D264" s="14">
        <f>D257+SUM(D260:D263)</f>
        <v>119570005000</v>
      </c>
      <c r="E264" s="14">
        <f t="shared" ref="E264:N264" si="243">E257+SUM(E260:E263)</f>
        <v>145575243000</v>
      </c>
      <c r="F264" s="14">
        <f t="shared" si="243"/>
        <v>193599872000</v>
      </c>
      <c r="G264" s="14">
        <f t="shared" si="243"/>
        <v>234985936000</v>
      </c>
      <c r="H264" s="14">
        <f t="shared" si="243"/>
        <v>343542674000</v>
      </c>
      <c r="I264" s="14">
        <f t="shared" si="243"/>
        <v>507953766000</v>
      </c>
      <c r="J264" s="14">
        <f t="shared" si="243"/>
        <v>589846296691.59277</v>
      </c>
      <c r="K264" s="14">
        <f t="shared" si="243"/>
        <v>675154651403.60815</v>
      </c>
      <c r="L264" s="14">
        <f t="shared" si="243"/>
        <v>760030376786.17993</v>
      </c>
      <c r="M264" s="14">
        <f t="shared" si="243"/>
        <v>844976118102.92432</v>
      </c>
      <c r="N264" s="14">
        <f t="shared" si="243"/>
        <v>929872614371.427</v>
      </c>
    </row>
    <row r="266" spans="3:14" x14ac:dyDescent="0.25">
      <c r="C266" s="6" t="s">
        <v>201</v>
      </c>
      <c r="D266" s="1">
        <f>D260/D257</f>
        <v>-7.6398784140514157E-4</v>
      </c>
      <c r="E266" s="1">
        <f t="shared" ref="E266:I266" si="244">E260/E257</f>
        <v>-4.1728979798056015E-4</v>
      </c>
      <c r="F266" s="1">
        <f t="shared" si="244"/>
        <v>-3.0889928372063026E-3</v>
      </c>
      <c r="G266" s="1">
        <f t="shared" si="244"/>
        <v>-1.9128005207147546E-3</v>
      </c>
      <c r="H266" s="1">
        <f t="shared" si="244"/>
        <v>-6.0727904440233658E-4</v>
      </c>
      <c r="I266" s="1">
        <f t="shared" si="244"/>
        <v>-1.5077612230002428E-4</v>
      </c>
      <c r="J266" s="130">
        <v>-2E-3</v>
      </c>
      <c r="K266" s="130">
        <f>J266</f>
        <v>-2E-3</v>
      </c>
      <c r="L266" s="130">
        <f t="shared" ref="L266:N266" si="245">K266</f>
        <v>-2E-3</v>
      </c>
      <c r="M266" s="130">
        <f t="shared" si="245"/>
        <v>-2E-3</v>
      </c>
      <c r="N266" s="130">
        <f t="shared" si="245"/>
        <v>-2E-3</v>
      </c>
    </row>
    <row r="267" spans="3:14" x14ac:dyDescent="0.25">
      <c r="C267" s="6" t="s">
        <v>202</v>
      </c>
      <c r="D267" s="1">
        <f>D261/D248</f>
        <v>-6.7719220323814748E-3</v>
      </c>
      <c r="E267" s="1">
        <f t="shared" ref="E267:I267" si="246">E261/E248</f>
        <v>-7.2612000530955017E-3</v>
      </c>
      <c r="F267" s="1">
        <f t="shared" si="246"/>
        <v>-4.9419456993268608E-3</v>
      </c>
      <c r="G267" s="1">
        <f t="shared" si="246"/>
        <v>-2.8259328425692524E-3</v>
      </c>
      <c r="H267" s="1">
        <f t="shared" si="246"/>
        <v>-1.0516371827333562E-3</v>
      </c>
      <c r="I267" s="1">
        <f t="shared" si="246"/>
        <v>-5.195169286729347E-4</v>
      </c>
      <c r="J267" s="130">
        <v>-5.0000000000000001E-3</v>
      </c>
      <c r="K267" s="130">
        <f t="shared" ref="K267:N267" si="247">J267</f>
        <v>-5.0000000000000001E-3</v>
      </c>
      <c r="L267" s="130">
        <f t="shared" si="247"/>
        <v>-5.0000000000000001E-3</v>
      </c>
      <c r="M267" s="130">
        <f t="shared" si="247"/>
        <v>-5.0000000000000001E-3</v>
      </c>
      <c r="N267" s="130">
        <f t="shared" si="247"/>
        <v>-5.0000000000000001E-3</v>
      </c>
    </row>
    <row r="268" spans="3:14" x14ac:dyDescent="0.25">
      <c r="C268" s="6" t="s">
        <v>203</v>
      </c>
      <c r="D268" s="1">
        <f>D262/D257</f>
        <v>-2.8246927975159188E-4</v>
      </c>
      <c r="E268" s="1">
        <f t="shared" ref="E268:I268" si="248">E262/E257</f>
        <v>-3.9727623523864791E-4</v>
      </c>
      <c r="F268" s="1">
        <f t="shared" si="248"/>
        <v>-3.2309291899968572E-3</v>
      </c>
      <c r="G268" s="1">
        <f t="shared" si="248"/>
        <v>-5.6206354312044989E-3</v>
      </c>
      <c r="H268" s="1">
        <f t="shared" si="248"/>
        <v>-7.7384307156758789E-3</v>
      </c>
      <c r="I268" s="1">
        <f t="shared" si="248"/>
        <v>-6.3990196906791134E-3</v>
      </c>
      <c r="J268" s="130">
        <f>I268</f>
        <v>-6.3990196906791134E-3</v>
      </c>
      <c r="K268" s="130">
        <f t="shared" ref="K268:N269" si="249">J268</f>
        <v>-6.3990196906791134E-3</v>
      </c>
      <c r="L268" s="130">
        <f t="shared" si="249"/>
        <v>-6.3990196906791134E-3</v>
      </c>
      <c r="M268" s="130">
        <f t="shared" si="249"/>
        <v>-6.3990196906791134E-3</v>
      </c>
      <c r="N268" s="130">
        <f t="shared" si="249"/>
        <v>-6.3990196906791134E-3</v>
      </c>
    </row>
    <row r="269" spans="3:14" x14ac:dyDescent="0.25">
      <c r="C269" s="6" t="s">
        <v>204</v>
      </c>
      <c r="D269" s="1">
        <f>D263/D257</f>
        <v>-0.1205267749555287</v>
      </c>
      <c r="E269" s="1">
        <f t="shared" ref="E269:I269" si="250">E263/E257</f>
        <v>-0.10929298036273005</v>
      </c>
      <c r="F269" s="1">
        <f t="shared" si="250"/>
        <v>-0.11165923086733687</v>
      </c>
      <c r="G269" s="1">
        <f t="shared" si="250"/>
        <v>-0.10976140146395952</v>
      </c>
      <c r="H269" s="1">
        <f t="shared" si="250"/>
        <v>-0.11591112994169034</v>
      </c>
      <c r="I269" s="1">
        <f t="shared" si="250"/>
        <v>-6.3500423017245622E-2</v>
      </c>
      <c r="J269" s="130">
        <f>I269</f>
        <v>-6.3500423017245622E-2</v>
      </c>
      <c r="K269" s="130">
        <f t="shared" si="249"/>
        <v>-6.3500423017245622E-2</v>
      </c>
      <c r="L269" s="130">
        <f t="shared" si="249"/>
        <v>-6.3500423017245622E-2</v>
      </c>
      <c r="M269" s="130">
        <f t="shared" si="249"/>
        <v>-6.3500423017245622E-2</v>
      </c>
      <c r="N269" s="130">
        <f t="shared" si="249"/>
        <v>-6.3500423017245622E-2</v>
      </c>
    </row>
    <row r="271" spans="3:14" x14ac:dyDescent="0.25">
      <c r="C271" s="13" t="s">
        <v>261</v>
      </c>
      <c r="D271" s="7"/>
      <c r="E271" s="7"/>
      <c r="F271" s="7"/>
      <c r="G271" s="7"/>
    </row>
    <row r="272" spans="3:14" x14ac:dyDescent="0.25">
      <c r="C272" s="36" t="s">
        <v>50</v>
      </c>
      <c r="D272" s="37">
        <f t="shared" ref="D272:N272" si="251">D$13</f>
        <v>2020</v>
      </c>
      <c r="E272" s="37">
        <f t="shared" si="251"/>
        <v>2021</v>
      </c>
      <c r="F272" s="37">
        <f t="shared" si="251"/>
        <v>2022</v>
      </c>
      <c r="G272" s="37">
        <f t="shared" si="251"/>
        <v>2023</v>
      </c>
      <c r="H272" s="37">
        <f t="shared" si="251"/>
        <v>2024</v>
      </c>
      <c r="I272" s="37">
        <f t="shared" si="251"/>
        <v>2025</v>
      </c>
      <c r="J272" s="38">
        <f t="shared" si="251"/>
        <v>2026</v>
      </c>
      <c r="K272" s="38">
        <f t="shared" si="251"/>
        <v>2027</v>
      </c>
      <c r="L272" s="38">
        <f t="shared" si="251"/>
        <v>2028</v>
      </c>
      <c r="M272" s="38">
        <f t="shared" si="251"/>
        <v>2029</v>
      </c>
      <c r="N272" s="38">
        <f t="shared" si="251"/>
        <v>2030</v>
      </c>
    </row>
    <row r="273" spans="3:14" x14ac:dyDescent="0.25">
      <c r="C273" s="32" t="s">
        <v>51</v>
      </c>
      <c r="D273" s="124">
        <f t="shared" ref="D273:N273" si="252">D$14</f>
        <v>44196</v>
      </c>
      <c r="E273" s="124">
        <f t="shared" si="252"/>
        <v>44561</v>
      </c>
      <c r="F273" s="124">
        <f t="shared" si="252"/>
        <v>44926</v>
      </c>
      <c r="G273" s="124">
        <f t="shared" si="252"/>
        <v>45291</v>
      </c>
      <c r="H273" s="124">
        <f t="shared" si="252"/>
        <v>45657</v>
      </c>
      <c r="I273" s="124">
        <f t="shared" si="252"/>
        <v>46022</v>
      </c>
      <c r="J273" s="124">
        <f t="shared" si="252"/>
        <v>46387</v>
      </c>
      <c r="K273" s="124">
        <f t="shared" si="252"/>
        <v>46752</v>
      </c>
      <c r="L273" s="124">
        <f t="shared" si="252"/>
        <v>47118</v>
      </c>
      <c r="M273" s="124">
        <f t="shared" si="252"/>
        <v>47483</v>
      </c>
      <c r="N273" s="124">
        <f t="shared" si="252"/>
        <v>47848</v>
      </c>
    </row>
    <row r="275" spans="3:14" x14ac:dyDescent="0.25">
      <c r="C275" s="123" t="s">
        <v>262</v>
      </c>
      <c r="D275" s="103">
        <v>11825887000</v>
      </c>
      <c r="E275" s="102">
        <f>D281</f>
        <v>16434813000</v>
      </c>
      <c r="F275" s="102">
        <f t="shared" ref="F275:J275" si="253">E281</f>
        <v>17917363000</v>
      </c>
      <c r="G275" s="102">
        <f t="shared" si="253"/>
        <v>24536712000</v>
      </c>
      <c r="H275" s="102">
        <f t="shared" si="253"/>
        <v>29237737000</v>
      </c>
      <c r="I275" s="102">
        <f t="shared" si="253"/>
        <v>45481562000</v>
      </c>
      <c r="J275" s="102">
        <f t="shared" si="253"/>
        <v>34687756000</v>
      </c>
      <c r="K275" s="102">
        <f t="shared" ref="K275:N275" si="254">J281</f>
        <v>38388147099.706604</v>
      </c>
      <c r="L275" s="102">
        <f t="shared" si="254"/>
        <v>42483285391.788162</v>
      </c>
      <c r="M275" s="102">
        <f t="shared" si="254"/>
        <v>47015281383.401695</v>
      </c>
      <c r="N275" s="102">
        <f t="shared" si="254"/>
        <v>52030737810.774536</v>
      </c>
    </row>
    <row r="276" spans="3:14" x14ac:dyDescent="0.25">
      <c r="C276" s="123" t="s">
        <v>260</v>
      </c>
      <c r="D276" s="103">
        <v>8020000</v>
      </c>
      <c r="E276" s="103">
        <v>0</v>
      </c>
      <c r="F276" s="103">
        <v>0</v>
      </c>
      <c r="G276" s="103">
        <v>0</v>
      </c>
      <c r="H276" s="103">
        <v>0</v>
      </c>
      <c r="I276" s="103">
        <v>0</v>
      </c>
      <c r="J276" s="102">
        <f>I276</f>
        <v>0</v>
      </c>
      <c r="K276" s="102">
        <f t="shared" ref="K276:N276" si="255">J276</f>
        <v>0</v>
      </c>
      <c r="L276" s="102">
        <f t="shared" si="255"/>
        <v>0</v>
      </c>
      <c r="M276" s="102">
        <f t="shared" si="255"/>
        <v>0</v>
      </c>
      <c r="N276" s="102">
        <f t="shared" si="255"/>
        <v>0</v>
      </c>
    </row>
    <row r="277" spans="3:14" x14ac:dyDescent="0.25">
      <c r="C277" s="123" t="s">
        <v>264</v>
      </c>
      <c r="D277" s="103">
        <v>4801409000</v>
      </c>
      <c r="E277" s="103">
        <v>1764012000</v>
      </c>
      <c r="F277" s="103">
        <v>1035681000</v>
      </c>
      <c r="G277" s="103">
        <v>2320789000</v>
      </c>
      <c r="H277" s="103">
        <v>4636702000</v>
      </c>
      <c r="I277" s="103">
        <v>-884236000</v>
      </c>
      <c r="J277" s="102">
        <f>J$275*J283</f>
        <v>4653214231.7941256</v>
      </c>
      <c r="K277" s="102">
        <f t="shared" ref="K277:N277" si="256">K$275*K283</f>
        <v>5149605884.4671631</v>
      </c>
      <c r="L277" s="102">
        <f t="shared" si="256"/>
        <v>5698951186.0738459</v>
      </c>
      <c r="M277" s="102">
        <f t="shared" si="256"/>
        <v>6306899081.1930923</v>
      </c>
      <c r="N277" s="102">
        <f t="shared" si="256"/>
        <v>6979701127.736392</v>
      </c>
    </row>
    <row r="278" spans="3:14" x14ac:dyDescent="0.25">
      <c r="C278" s="123" t="s">
        <v>265</v>
      </c>
      <c r="D278" s="103">
        <v>-208185000</v>
      </c>
      <c r="E278" s="103">
        <v>-302690000</v>
      </c>
      <c r="F278" s="103">
        <v>-1213111000</v>
      </c>
      <c r="G278" s="103">
        <v>-2478229000</v>
      </c>
      <c r="H278" s="103">
        <v>-513021000</v>
      </c>
      <c r="I278" s="103">
        <v>-1511709000</v>
      </c>
      <c r="J278" s="102">
        <f>J$275*J284</f>
        <v>-1477194942.951915</v>
      </c>
      <c r="K278" s="102">
        <f t="shared" ref="K278:N278" si="257">K$275*K284</f>
        <v>-1634777895.8368139</v>
      </c>
      <c r="L278" s="102">
        <f t="shared" si="257"/>
        <v>-1809171349.7042716</v>
      </c>
      <c r="M278" s="102">
        <f t="shared" si="257"/>
        <v>-2002168600.9617429</v>
      </c>
      <c r="N278" s="102">
        <f t="shared" si="257"/>
        <v>-2215754249.7742758</v>
      </c>
    </row>
    <row r="279" spans="3:14" x14ac:dyDescent="0.25">
      <c r="C279" s="6" t="s">
        <v>266</v>
      </c>
      <c r="D279" s="103">
        <v>162895000</v>
      </c>
      <c r="E279" s="103">
        <v>124775000</v>
      </c>
      <c r="F279" s="103">
        <v>114217000</v>
      </c>
      <c r="G279" s="103">
        <v>177265000</v>
      </c>
      <c r="H279" s="103">
        <v>868271000</v>
      </c>
      <c r="I279" s="103">
        <v>1184288000</v>
      </c>
      <c r="J279" s="102">
        <f>J$275*J285</f>
        <v>524371810.86438513</v>
      </c>
      <c r="K279" s="102">
        <f t="shared" ref="K279:N279" si="258">K$275*K285</f>
        <v>580310303.45121038</v>
      </c>
      <c r="L279" s="102">
        <f t="shared" si="258"/>
        <v>642216155.24395514</v>
      </c>
      <c r="M279" s="102">
        <f t="shared" si="258"/>
        <v>710725947.14149165</v>
      </c>
      <c r="N279" s="102">
        <f t="shared" si="258"/>
        <v>786544168.68147588</v>
      </c>
    </row>
    <row r="280" spans="3:14" x14ac:dyDescent="0.25">
      <c r="C280" s="6" t="s">
        <v>267</v>
      </c>
      <c r="D280" s="103">
        <v>-155213000</v>
      </c>
      <c r="E280" s="103">
        <v>-103547000</v>
      </c>
      <c r="F280" s="103">
        <v>6682562000</v>
      </c>
      <c r="G280" s="103">
        <v>4681200000</v>
      </c>
      <c r="H280" s="103">
        <v>11251873000</v>
      </c>
      <c r="I280" s="103">
        <v>-9582149000</v>
      </c>
      <c r="J280" s="102">
        <v>0</v>
      </c>
      <c r="K280" s="102">
        <v>0</v>
      </c>
      <c r="L280" s="102">
        <v>0</v>
      </c>
      <c r="M280" s="102">
        <v>0</v>
      </c>
      <c r="N280" s="102">
        <v>0</v>
      </c>
    </row>
    <row r="281" spans="3:14" x14ac:dyDescent="0.25">
      <c r="C281" s="6" t="s">
        <v>263</v>
      </c>
      <c r="D281" s="103">
        <v>16434813000</v>
      </c>
      <c r="E281" s="103">
        <v>17917363000</v>
      </c>
      <c r="F281" s="103">
        <v>24536712000</v>
      </c>
      <c r="G281" s="103">
        <v>29237737000</v>
      </c>
      <c r="H281" s="103">
        <v>45481562000</v>
      </c>
      <c r="I281" s="103">
        <v>34687756000</v>
      </c>
      <c r="J281" s="102">
        <f>SUM(J275:J280)</f>
        <v>38388147099.706604</v>
      </c>
      <c r="K281" s="102">
        <f t="shared" ref="K281:N281" si="259">SUM(K275:K280)</f>
        <v>42483285391.788162</v>
      </c>
      <c r="L281" s="102">
        <f t="shared" si="259"/>
        <v>47015281383.401695</v>
      </c>
      <c r="M281" s="102">
        <f t="shared" si="259"/>
        <v>52030737810.774536</v>
      </c>
      <c r="N281" s="102">
        <f t="shared" si="259"/>
        <v>57581228857.418121</v>
      </c>
    </row>
    <row r="283" spans="3:14" x14ac:dyDescent="0.25">
      <c r="C283" s="6" t="s">
        <v>268</v>
      </c>
      <c r="D283" s="217">
        <f>D277/D$275</f>
        <v>0.40600836114872396</v>
      </c>
      <c r="E283" s="217">
        <f t="shared" ref="E283:I283" si="260">E277/E$275</f>
        <v>0.10733386500959884</v>
      </c>
      <c r="F283" s="217">
        <f t="shared" si="260"/>
        <v>5.7803204634521273E-2</v>
      </c>
      <c r="G283" s="217">
        <f t="shared" si="260"/>
        <v>9.4584351807202205E-2</v>
      </c>
      <c r="H283" s="217">
        <f t="shared" si="260"/>
        <v>0.15858621342684628</v>
      </c>
      <c r="I283" s="217">
        <f t="shared" si="260"/>
        <v>-1.9441636591109163E-2</v>
      </c>
      <c r="J283" s="113">
        <f>AVERAGE(D283:I283)</f>
        <v>0.13414572657263057</v>
      </c>
      <c r="K283" s="113">
        <f t="shared" ref="K283:N283" si="261">J283</f>
        <v>0.13414572657263057</v>
      </c>
      <c r="L283" s="113">
        <f t="shared" si="261"/>
        <v>0.13414572657263057</v>
      </c>
      <c r="M283" s="113">
        <f t="shared" si="261"/>
        <v>0.13414572657263057</v>
      </c>
      <c r="N283" s="113">
        <f t="shared" si="261"/>
        <v>0.13414572657263057</v>
      </c>
    </row>
    <row r="284" spans="3:14" x14ac:dyDescent="0.25">
      <c r="C284" s="6" t="s">
        <v>269</v>
      </c>
      <c r="D284" s="217">
        <f t="shared" ref="D284:I284" si="262">D278/D$275</f>
        <v>-1.7604176329437275E-2</v>
      </c>
      <c r="E284" s="217">
        <f t="shared" si="262"/>
        <v>-1.8417611444681483E-2</v>
      </c>
      <c r="F284" s="217">
        <f t="shared" si="262"/>
        <v>-6.7705889532963082E-2</v>
      </c>
      <c r="G284" s="217">
        <f t="shared" si="262"/>
        <v>-0.10100085944685661</v>
      </c>
      <c r="H284" s="217">
        <f t="shared" si="262"/>
        <v>-1.7546535834835644E-2</v>
      </c>
      <c r="I284" s="217">
        <f t="shared" si="262"/>
        <v>-3.3237842622907278E-2</v>
      </c>
      <c r="J284" s="113">
        <f>AVERAGE(D284:I284)</f>
        <v>-4.2585485868613555E-2</v>
      </c>
      <c r="K284" s="113">
        <f>J284</f>
        <v>-4.2585485868613555E-2</v>
      </c>
      <c r="L284" s="113">
        <f t="shared" ref="L284:N284" si="263">K284</f>
        <v>-4.2585485868613555E-2</v>
      </c>
      <c r="M284" s="113">
        <f t="shared" si="263"/>
        <v>-4.2585485868613555E-2</v>
      </c>
      <c r="N284" s="113">
        <f t="shared" si="263"/>
        <v>-4.2585485868613555E-2</v>
      </c>
    </row>
    <row r="285" spans="3:14" x14ac:dyDescent="0.25">
      <c r="C285" s="6" t="s">
        <v>270</v>
      </c>
      <c r="D285" s="217">
        <f t="shared" ref="D285:I285" si="264">D279/D$275</f>
        <v>1.3774442458312006E-2</v>
      </c>
      <c r="E285" s="217">
        <f t="shared" si="264"/>
        <v>7.592115590241276E-3</v>
      </c>
      <c r="F285" s="217">
        <f t="shared" si="264"/>
        <v>6.3746545738901424E-3</v>
      </c>
      <c r="G285" s="217">
        <f t="shared" si="264"/>
        <v>7.2244806068555555E-3</v>
      </c>
      <c r="H285" s="217">
        <f t="shared" si="264"/>
        <v>2.9696929006509633E-2</v>
      </c>
      <c r="I285" s="217">
        <f t="shared" si="264"/>
        <v>2.6038859439348191E-2</v>
      </c>
      <c r="J285" s="113">
        <f>AVERAGE(D285:I285)</f>
        <v>1.5116913612526135E-2</v>
      </c>
      <c r="K285" s="113">
        <f>J285</f>
        <v>1.5116913612526135E-2</v>
      </c>
      <c r="L285" s="113">
        <f t="shared" ref="L285:N285" si="265">K285</f>
        <v>1.5116913612526135E-2</v>
      </c>
      <c r="M285" s="113">
        <f t="shared" si="265"/>
        <v>1.5116913612526135E-2</v>
      </c>
      <c r="N285" s="113">
        <f t="shared" si="265"/>
        <v>1.5116913612526135E-2</v>
      </c>
    </row>
    <row r="287" spans="3:14" x14ac:dyDescent="0.25">
      <c r="C287" s="13" t="s">
        <v>271</v>
      </c>
      <c r="D287" s="7"/>
      <c r="E287" s="7"/>
      <c r="F287" s="7"/>
      <c r="G287" s="7"/>
    </row>
    <row r="288" spans="3:14" x14ac:dyDescent="0.25">
      <c r="C288" s="36" t="s">
        <v>50</v>
      </c>
      <c r="D288" s="37">
        <f t="shared" ref="D288:N288" si="266">D$13</f>
        <v>2020</v>
      </c>
      <c r="E288" s="37">
        <f t="shared" si="266"/>
        <v>2021</v>
      </c>
      <c r="F288" s="37">
        <f t="shared" si="266"/>
        <v>2022</v>
      </c>
      <c r="G288" s="37">
        <f t="shared" si="266"/>
        <v>2023</v>
      </c>
      <c r="H288" s="37">
        <f t="shared" si="266"/>
        <v>2024</v>
      </c>
      <c r="I288" s="37">
        <f t="shared" si="266"/>
        <v>2025</v>
      </c>
      <c r="J288" s="38">
        <f t="shared" si="266"/>
        <v>2026</v>
      </c>
      <c r="K288" s="38">
        <f t="shared" si="266"/>
        <v>2027</v>
      </c>
      <c r="L288" s="38">
        <f t="shared" si="266"/>
        <v>2028</v>
      </c>
      <c r="M288" s="38">
        <f t="shared" si="266"/>
        <v>2029</v>
      </c>
      <c r="N288" s="38">
        <f t="shared" si="266"/>
        <v>2030</v>
      </c>
    </row>
    <row r="289" spans="3:14" x14ac:dyDescent="0.25">
      <c r="C289" s="32" t="s">
        <v>51</v>
      </c>
      <c r="D289" s="124">
        <f t="shared" ref="D289:N289" si="267">D$14</f>
        <v>44196</v>
      </c>
      <c r="E289" s="124">
        <f t="shared" si="267"/>
        <v>44561</v>
      </c>
      <c r="F289" s="124">
        <f t="shared" si="267"/>
        <v>44926</v>
      </c>
      <c r="G289" s="124">
        <f t="shared" si="267"/>
        <v>45291</v>
      </c>
      <c r="H289" s="124">
        <f t="shared" si="267"/>
        <v>45657</v>
      </c>
      <c r="I289" s="124">
        <f t="shared" si="267"/>
        <v>46022</v>
      </c>
      <c r="J289" s="124">
        <f t="shared" si="267"/>
        <v>46387</v>
      </c>
      <c r="K289" s="124">
        <f t="shared" si="267"/>
        <v>46752</v>
      </c>
      <c r="L289" s="124">
        <f t="shared" si="267"/>
        <v>47118</v>
      </c>
      <c r="M289" s="124">
        <f t="shared" si="267"/>
        <v>47483</v>
      </c>
      <c r="N289" s="124">
        <f t="shared" si="267"/>
        <v>47848</v>
      </c>
    </row>
    <row r="291" spans="3:14" x14ac:dyDescent="0.25">
      <c r="C291" s="13" t="s">
        <v>127</v>
      </c>
    </row>
    <row r="292" spans="3:14" x14ac:dyDescent="0.25">
      <c r="C292" s="17" t="s">
        <v>272</v>
      </c>
      <c r="D292" s="103">
        <v>1189068000</v>
      </c>
      <c r="E292" s="103">
        <v>1403508000</v>
      </c>
      <c r="F292" s="103">
        <v>1885109000</v>
      </c>
      <c r="G292" s="103">
        <v>3286402000</v>
      </c>
      <c r="H292" s="103">
        <v>4695486000</v>
      </c>
      <c r="I292" s="103">
        <v>5356905000</v>
      </c>
      <c r="J292" s="102">
        <f>I292*(1+J301)</f>
        <v>6160440750</v>
      </c>
      <c r="K292" s="102">
        <f t="shared" ref="K292:N292" si="268">J292*(1+K301)</f>
        <v>7022902455.000001</v>
      </c>
      <c r="L292" s="102">
        <f t="shared" si="268"/>
        <v>7865650749.6000023</v>
      </c>
      <c r="M292" s="102">
        <f t="shared" si="268"/>
        <v>8730872332.0560036</v>
      </c>
      <c r="N292" s="102">
        <f t="shared" si="268"/>
        <v>9603959565.2616043</v>
      </c>
    </row>
    <row r="293" spans="3:14" x14ac:dyDescent="0.25">
      <c r="C293" s="17" t="s">
        <v>273</v>
      </c>
      <c r="D293" s="103">
        <v>159082000</v>
      </c>
      <c r="E293" s="103">
        <v>175697000</v>
      </c>
      <c r="F293" s="103">
        <v>241455000</v>
      </c>
      <c r="G293" s="103">
        <v>551324000</v>
      </c>
      <c r="H293" s="103">
        <v>755738000</v>
      </c>
      <c r="I293" s="103">
        <v>680063000</v>
      </c>
      <c r="J293" s="102">
        <f t="shared" ref="J293:N293" si="269">I293*(1+J302)</f>
        <v>748069300.00000012</v>
      </c>
      <c r="K293" s="102">
        <f t="shared" si="269"/>
        <v>822876230.00000024</v>
      </c>
      <c r="L293" s="102">
        <f t="shared" si="269"/>
        <v>888706328.40000033</v>
      </c>
      <c r="M293" s="102">
        <f t="shared" si="269"/>
        <v>959802834.67200041</v>
      </c>
      <c r="N293" s="102">
        <f t="shared" si="269"/>
        <v>1036587061.4457605</v>
      </c>
    </row>
    <row r="294" spans="3:14" x14ac:dyDescent="0.25">
      <c r="C294" s="17" t="s">
        <v>274</v>
      </c>
      <c r="D294" s="103">
        <v>1711114000</v>
      </c>
      <c r="E294" s="103">
        <v>2466368000</v>
      </c>
      <c r="F294" s="103">
        <v>3428518000</v>
      </c>
      <c r="G294" s="103">
        <v>5212198000</v>
      </c>
      <c r="H294" s="103">
        <v>7362652000</v>
      </c>
      <c r="I294" s="103">
        <v>9999041000</v>
      </c>
      <c r="J294" s="102">
        <f t="shared" ref="J294:N294" si="270">I294*(1+J303)</f>
        <v>11998849200</v>
      </c>
      <c r="K294" s="102">
        <f t="shared" si="270"/>
        <v>14158642056</v>
      </c>
      <c r="L294" s="102">
        <f t="shared" si="270"/>
        <v>16282438364.4</v>
      </c>
      <c r="M294" s="102">
        <f t="shared" si="270"/>
        <v>18399155351.771999</v>
      </c>
      <c r="N294" s="102">
        <f t="shared" si="270"/>
        <v>20607053993.984642</v>
      </c>
    </row>
    <row r="295" spans="3:14" s="13" customFormat="1" x14ac:dyDescent="0.25">
      <c r="C295" s="13" t="s">
        <v>275</v>
      </c>
      <c r="D295" s="119">
        <f>SUM(D292:D294)</f>
        <v>3059264000</v>
      </c>
      <c r="E295" s="119">
        <f t="shared" ref="E295:N295" si="271">SUM(E292:E294)</f>
        <v>4045573000</v>
      </c>
      <c r="F295" s="119">
        <f t="shared" si="271"/>
        <v>5555082000</v>
      </c>
      <c r="G295" s="119">
        <f t="shared" si="271"/>
        <v>9049924000</v>
      </c>
      <c r="H295" s="119">
        <f t="shared" si="271"/>
        <v>12813876000</v>
      </c>
      <c r="I295" s="119">
        <f t="shared" si="271"/>
        <v>16036009000</v>
      </c>
      <c r="J295" s="119">
        <f t="shared" si="271"/>
        <v>18907359250</v>
      </c>
      <c r="K295" s="119">
        <f t="shared" si="271"/>
        <v>22004420741</v>
      </c>
      <c r="L295" s="119">
        <f t="shared" si="271"/>
        <v>25036795442.400002</v>
      </c>
      <c r="M295" s="119">
        <f t="shared" si="271"/>
        <v>28089830518.500004</v>
      </c>
      <c r="N295" s="119">
        <f t="shared" si="271"/>
        <v>31247600620.692009</v>
      </c>
    </row>
    <row r="297" spans="3:14" s="13" customFormat="1" x14ac:dyDescent="0.25">
      <c r="C297" s="13" t="s">
        <v>276</v>
      </c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</row>
    <row r="298" spans="3:14" x14ac:dyDescent="0.25">
      <c r="C298" s="17" t="s">
        <v>277</v>
      </c>
      <c r="D298" s="103">
        <v>-983450000</v>
      </c>
      <c r="E298" s="103">
        <v>-1655096000</v>
      </c>
      <c r="F298" s="103">
        <v>-2476945000</v>
      </c>
      <c r="G298" s="103">
        <v>-3611699000</v>
      </c>
      <c r="H298" s="103">
        <v>-5728656000</v>
      </c>
      <c r="I298" s="103">
        <v>-6816966000</v>
      </c>
      <c r="J298" s="102">
        <f>I298*(1+J304)</f>
        <v>-8112029321.5644293</v>
      </c>
      <c r="K298" s="102">
        <f t="shared" ref="K298:N298" si="272">J298*(1+K304)</f>
        <v>-9653124236.4889393</v>
      </c>
      <c r="L298" s="102">
        <f t="shared" si="272"/>
        <v>-11486990965.057259</v>
      </c>
      <c r="M298" s="102">
        <f t="shared" si="272"/>
        <v>-13669249270.876541</v>
      </c>
      <c r="N298" s="102">
        <f t="shared" si="272"/>
        <v>-16266085365.413837</v>
      </c>
    </row>
    <row r="299" spans="3:14" s="13" customFormat="1" x14ac:dyDescent="0.25">
      <c r="C299" s="13" t="s">
        <v>129</v>
      </c>
      <c r="D299" s="119">
        <f>D295+D298</f>
        <v>2075814000</v>
      </c>
      <c r="E299" s="119">
        <f t="shared" ref="E299:N299" si="273">E295+E298</f>
        <v>2390477000</v>
      </c>
      <c r="F299" s="119">
        <f t="shared" si="273"/>
        <v>3078137000</v>
      </c>
      <c r="G299" s="119">
        <f t="shared" si="273"/>
        <v>5438225000</v>
      </c>
      <c r="H299" s="119">
        <f t="shared" si="273"/>
        <v>7085220000</v>
      </c>
      <c r="I299" s="119">
        <f t="shared" si="273"/>
        <v>9219043000</v>
      </c>
      <c r="J299" s="119">
        <f t="shared" si="273"/>
        <v>10795329928.43557</v>
      </c>
      <c r="K299" s="119">
        <f t="shared" si="273"/>
        <v>12351296504.511061</v>
      </c>
      <c r="L299" s="119">
        <f t="shared" si="273"/>
        <v>13549804477.342743</v>
      </c>
      <c r="M299" s="119">
        <f t="shared" si="273"/>
        <v>14420581247.623463</v>
      </c>
      <c r="N299" s="119">
        <f t="shared" si="273"/>
        <v>14981515255.278172</v>
      </c>
    </row>
    <row r="301" spans="3:14" x14ac:dyDescent="0.25">
      <c r="C301" s="6" t="s">
        <v>278</v>
      </c>
      <c r="D301" s="112"/>
      <c r="E301" s="112">
        <f>E292/D292-1</f>
        <v>0.18034292403798613</v>
      </c>
      <c r="F301" s="112">
        <f t="shared" ref="F301:I301" si="274">F292/E292-1</f>
        <v>0.34314090122749574</v>
      </c>
      <c r="G301" s="112">
        <f t="shared" si="274"/>
        <v>0.74334852785700978</v>
      </c>
      <c r="H301" s="112">
        <f t="shared" si="274"/>
        <v>0.42876191044187539</v>
      </c>
      <c r="I301" s="112">
        <f t="shared" si="274"/>
        <v>0.14086273497567658</v>
      </c>
      <c r="J301" s="113">
        <v>0.15</v>
      </c>
      <c r="K301" s="113">
        <v>0.14000000000000001</v>
      </c>
      <c r="L301" s="113">
        <v>0.12</v>
      </c>
      <c r="M301" s="113">
        <v>0.11</v>
      </c>
      <c r="N301" s="113">
        <v>0.1</v>
      </c>
    </row>
    <row r="302" spans="3:14" x14ac:dyDescent="0.25">
      <c r="C302" s="6" t="s">
        <v>279</v>
      </c>
      <c r="D302" s="112"/>
      <c r="E302" s="112">
        <f t="shared" ref="E302:I302" si="275">E293/D293-1</f>
        <v>0.10444299166467608</v>
      </c>
      <c r="F302" s="112">
        <f t="shared" si="275"/>
        <v>0.37426933869104206</v>
      </c>
      <c r="G302" s="112">
        <f t="shared" si="275"/>
        <v>1.2833405810606533</v>
      </c>
      <c r="H302" s="112">
        <f t="shared" si="275"/>
        <v>0.37076927541699622</v>
      </c>
      <c r="I302" s="112">
        <f t="shared" si="275"/>
        <v>-0.10013390884142392</v>
      </c>
      <c r="J302" s="113">
        <v>0.1</v>
      </c>
      <c r="K302" s="113">
        <v>0.1</v>
      </c>
      <c r="L302" s="113">
        <v>0.08</v>
      </c>
      <c r="M302" s="113">
        <v>0.08</v>
      </c>
      <c r="N302" s="113">
        <v>0.08</v>
      </c>
    </row>
    <row r="303" spans="3:14" x14ac:dyDescent="0.25">
      <c r="C303" s="6" t="s">
        <v>280</v>
      </c>
      <c r="D303" s="112"/>
      <c r="E303" s="112">
        <f t="shared" ref="E303:I303" si="276">E294/D294-1</f>
        <v>0.44138146260272548</v>
      </c>
      <c r="F303" s="112">
        <f t="shared" si="276"/>
        <v>0.39010804551470013</v>
      </c>
      <c r="G303" s="112">
        <f t="shared" si="276"/>
        <v>0.52024810719967052</v>
      </c>
      <c r="H303" s="112">
        <f t="shared" si="276"/>
        <v>0.41258102627720583</v>
      </c>
      <c r="I303" s="112">
        <f t="shared" si="276"/>
        <v>0.35807600304890141</v>
      </c>
      <c r="J303" s="113">
        <v>0.2</v>
      </c>
      <c r="K303" s="113">
        <v>0.18</v>
      </c>
      <c r="L303" s="113">
        <v>0.15</v>
      </c>
      <c r="M303" s="113">
        <v>0.13</v>
      </c>
      <c r="N303" s="113">
        <v>0.12</v>
      </c>
    </row>
    <row r="304" spans="3:14" x14ac:dyDescent="0.25">
      <c r="C304" s="6" t="s">
        <v>281</v>
      </c>
      <c r="D304" s="112"/>
      <c r="E304" s="112">
        <f>E298/D298-1</f>
        <v>0.68294880268442726</v>
      </c>
      <c r="F304" s="112">
        <f t="shared" ref="F304:I304" si="277">F298/E298-1</f>
        <v>0.49655669520076184</v>
      </c>
      <c r="G304" s="112">
        <f t="shared" si="277"/>
        <v>0.458126442048572</v>
      </c>
      <c r="H304" s="112">
        <f t="shared" si="277"/>
        <v>0.58613882275350182</v>
      </c>
      <c r="I304" s="112">
        <f t="shared" si="277"/>
        <v>0.18997649710508013</v>
      </c>
      <c r="J304" s="113">
        <f>I304</f>
        <v>0.18997649710508013</v>
      </c>
      <c r="K304" s="113">
        <f>J304</f>
        <v>0.18997649710508013</v>
      </c>
      <c r="L304" s="113">
        <f t="shared" ref="L304:N304" si="278">K304</f>
        <v>0.18997649710508013</v>
      </c>
      <c r="M304" s="113">
        <f t="shared" si="278"/>
        <v>0.18997649710508013</v>
      </c>
      <c r="N304" s="113">
        <f t="shared" si="278"/>
        <v>0.18997649710508013</v>
      </c>
    </row>
    <row r="306" spans="3:14" x14ac:dyDescent="0.25">
      <c r="C306" s="13" t="s">
        <v>294</v>
      </c>
      <c r="D306" s="7"/>
      <c r="E306" s="7"/>
      <c r="F306" s="7"/>
      <c r="G306" s="7"/>
    </row>
    <row r="307" spans="3:14" x14ac:dyDescent="0.25">
      <c r="C307" s="36" t="s">
        <v>50</v>
      </c>
      <c r="D307" s="37">
        <f t="shared" ref="D307:N307" si="279">D$13</f>
        <v>2020</v>
      </c>
      <c r="E307" s="37">
        <f t="shared" si="279"/>
        <v>2021</v>
      </c>
      <c r="F307" s="37">
        <f t="shared" si="279"/>
        <v>2022</v>
      </c>
      <c r="G307" s="37">
        <f t="shared" si="279"/>
        <v>2023</v>
      </c>
      <c r="H307" s="37">
        <f t="shared" si="279"/>
        <v>2024</v>
      </c>
      <c r="I307" s="37">
        <f t="shared" si="279"/>
        <v>2025</v>
      </c>
      <c r="J307" s="38">
        <f t="shared" si="279"/>
        <v>2026</v>
      </c>
      <c r="K307" s="38">
        <f t="shared" si="279"/>
        <v>2027</v>
      </c>
      <c r="L307" s="38">
        <f t="shared" si="279"/>
        <v>2028</v>
      </c>
      <c r="M307" s="38">
        <f t="shared" si="279"/>
        <v>2029</v>
      </c>
      <c r="N307" s="38">
        <f t="shared" si="279"/>
        <v>2030</v>
      </c>
    </row>
    <row r="308" spans="3:14" x14ac:dyDescent="0.25">
      <c r="C308" s="32" t="s">
        <v>51</v>
      </c>
      <c r="D308" s="124">
        <f t="shared" ref="D308:N308" si="280">D$14</f>
        <v>44196</v>
      </c>
      <c r="E308" s="124">
        <f t="shared" si="280"/>
        <v>44561</v>
      </c>
      <c r="F308" s="124">
        <f t="shared" si="280"/>
        <v>44926</v>
      </c>
      <c r="G308" s="124">
        <f t="shared" si="280"/>
        <v>45291</v>
      </c>
      <c r="H308" s="124">
        <f t="shared" si="280"/>
        <v>45657</v>
      </c>
      <c r="I308" s="124">
        <f t="shared" si="280"/>
        <v>46022</v>
      </c>
      <c r="J308" s="124">
        <f t="shared" si="280"/>
        <v>46387</v>
      </c>
      <c r="K308" s="124">
        <f t="shared" si="280"/>
        <v>46752</v>
      </c>
      <c r="L308" s="124">
        <f t="shared" si="280"/>
        <v>47118</v>
      </c>
      <c r="M308" s="124">
        <f t="shared" si="280"/>
        <v>47483</v>
      </c>
      <c r="N308" s="124">
        <f t="shared" si="280"/>
        <v>47848</v>
      </c>
    </row>
    <row r="310" spans="3:14" x14ac:dyDescent="0.25">
      <c r="C310" s="6" t="s">
        <v>54</v>
      </c>
      <c r="D310" s="136">
        <f>D73</f>
        <v>427842167000</v>
      </c>
      <c r="E310" s="136">
        <f t="shared" ref="E310:N310" si="281">E73</f>
        <v>498235838000</v>
      </c>
      <c r="F310" s="136">
        <f t="shared" si="281"/>
        <v>635831917000</v>
      </c>
      <c r="G310" s="136">
        <f t="shared" si="281"/>
        <v>834866099000</v>
      </c>
      <c r="H310" s="136">
        <f t="shared" si="281"/>
        <v>1214973261000</v>
      </c>
      <c r="I310" s="136">
        <f t="shared" si="281"/>
        <v>1442494120000</v>
      </c>
      <c r="J310" s="136">
        <f t="shared" si="281"/>
        <v>1651307773625.6257</v>
      </c>
      <c r="K310" s="136">
        <f t="shared" si="281"/>
        <v>1864267164315.4717</v>
      </c>
      <c r="L310" s="136">
        <f t="shared" si="281"/>
        <v>2071986710419.3892</v>
      </c>
      <c r="M310" s="136">
        <f t="shared" si="281"/>
        <v>2282068358510.7168</v>
      </c>
      <c r="N310" s="136">
        <f t="shared" si="281"/>
        <v>2493162659830.4492</v>
      </c>
    </row>
    <row r="311" spans="3:14" x14ac:dyDescent="0.25">
      <c r="C311" s="6" t="s">
        <v>295</v>
      </c>
      <c r="D311" s="112">
        <f>D312/D310</f>
        <v>0.46879455666182618</v>
      </c>
      <c r="E311" s="112">
        <f t="shared" ref="E311:I311" si="282">E312/E310</f>
        <v>0.47037610128719803</v>
      </c>
      <c r="F311" s="112">
        <f t="shared" si="282"/>
        <v>0.52044401539534546</v>
      </c>
      <c r="G311" s="112">
        <f t="shared" si="282"/>
        <v>0.45696845692616872</v>
      </c>
      <c r="H311" s="112">
        <f t="shared" si="282"/>
        <v>0.55225788709764867</v>
      </c>
      <c r="I311" s="112">
        <f t="shared" si="282"/>
        <v>0.562267109275981</v>
      </c>
      <c r="J311" s="220">
        <f>AVERAGE(D311:I311)</f>
        <v>0.50518468777402803</v>
      </c>
      <c r="K311" s="220">
        <f t="shared" ref="K311:N311" si="283">J311</f>
        <v>0.50518468777402803</v>
      </c>
      <c r="L311" s="220">
        <f t="shared" si="283"/>
        <v>0.50518468777402803</v>
      </c>
      <c r="M311" s="220">
        <f t="shared" si="283"/>
        <v>0.50518468777402803</v>
      </c>
      <c r="N311" s="220">
        <f t="shared" si="283"/>
        <v>0.50518468777402803</v>
      </c>
    </row>
    <row r="312" spans="3:14" x14ac:dyDescent="0.25">
      <c r="C312" s="6" t="s">
        <v>296</v>
      </c>
      <c r="D312" s="103">
        <v>200570079000</v>
      </c>
      <c r="E312" s="103">
        <v>234358231000</v>
      </c>
      <c r="F312" s="103">
        <v>330914916000</v>
      </c>
      <c r="G312" s="103">
        <v>381507473000</v>
      </c>
      <c r="H312" s="103">
        <v>670978566000</v>
      </c>
      <c r="I312" s="103">
        <v>811066999000</v>
      </c>
      <c r="J312" s="102">
        <f>J310*J311</f>
        <v>834215402037.88708</v>
      </c>
      <c r="K312" s="102">
        <f t="shared" ref="K312:N312" si="284">K310*K311</f>
        <v>941799225332.08423</v>
      </c>
      <c r="L312" s="102">
        <f t="shared" si="284"/>
        <v>1046735959375.1545</v>
      </c>
      <c r="M312" s="102">
        <f t="shared" si="284"/>
        <v>1152865991173.2251</v>
      </c>
      <c r="N312" s="102">
        <f t="shared" si="284"/>
        <v>1259507599876.3108</v>
      </c>
    </row>
    <row r="314" spans="3:14" x14ac:dyDescent="0.25">
      <c r="C314" s="6" t="s">
        <v>297</v>
      </c>
      <c r="D314" s="136">
        <f>D96</f>
        <v>59958811000</v>
      </c>
      <c r="E314" s="136">
        <f t="shared" ref="E314:N314" si="285">E96</f>
        <v>69302737000</v>
      </c>
      <c r="F314" s="136">
        <f t="shared" si="285"/>
        <v>68338168000</v>
      </c>
      <c r="G314" s="136">
        <f t="shared" si="285"/>
        <v>90641466000</v>
      </c>
      <c r="H314" s="136">
        <f t="shared" si="285"/>
        <v>152819321000</v>
      </c>
      <c r="I314" s="136">
        <f t="shared" si="285"/>
        <v>231514218000</v>
      </c>
      <c r="J314" s="136">
        <f t="shared" si="285"/>
        <v>281859658092.39502</v>
      </c>
      <c r="K314" s="136">
        <f t="shared" si="285"/>
        <v>330680156793.73914</v>
      </c>
      <c r="L314" s="136">
        <f t="shared" si="285"/>
        <v>377042093115.15839</v>
      </c>
      <c r="M314" s="136">
        <f t="shared" si="285"/>
        <v>421393067402.99731</v>
      </c>
      <c r="N314" s="136">
        <f t="shared" si="285"/>
        <v>463666313725.66888</v>
      </c>
    </row>
    <row r="315" spans="3:14" x14ac:dyDescent="0.25">
      <c r="C315" s="6" t="s">
        <v>298</v>
      </c>
      <c r="D315" s="103">
        <v>-1021574000</v>
      </c>
      <c r="E315" s="103">
        <v>-912364000</v>
      </c>
      <c r="F315" s="103">
        <v>-393665000</v>
      </c>
      <c r="G315" s="103">
        <v>-1829068000</v>
      </c>
      <c r="H315" s="103">
        <v>-2849288000</v>
      </c>
      <c r="I315" s="103">
        <v>-2684971000</v>
      </c>
      <c r="J315" s="102">
        <f>I315</f>
        <v>-2684971000</v>
      </c>
      <c r="K315" s="102">
        <f t="shared" ref="K315:N315" si="286">J315</f>
        <v>-2684971000</v>
      </c>
      <c r="L315" s="102">
        <f t="shared" si="286"/>
        <v>-2684971000</v>
      </c>
      <c r="M315" s="102">
        <f t="shared" si="286"/>
        <v>-2684971000</v>
      </c>
      <c r="N315" s="102">
        <f t="shared" si="286"/>
        <v>-2684971000</v>
      </c>
    </row>
    <row r="316" spans="3:14" s="13" customFormat="1" x14ac:dyDescent="0.25">
      <c r="C316" s="13" t="s">
        <v>299</v>
      </c>
      <c r="D316" s="119">
        <f>SUM(D314:D315)</f>
        <v>58937237000</v>
      </c>
      <c r="E316" s="119">
        <f t="shared" ref="E316:I316" si="287">SUM(E314:E315)</f>
        <v>68390373000</v>
      </c>
      <c r="F316" s="119">
        <f t="shared" si="287"/>
        <v>67944503000</v>
      </c>
      <c r="G316" s="119">
        <f t="shared" si="287"/>
        <v>88812398000</v>
      </c>
      <c r="H316" s="119">
        <f t="shared" si="287"/>
        <v>149970033000</v>
      </c>
      <c r="I316" s="119">
        <f t="shared" si="287"/>
        <v>228829247000</v>
      </c>
      <c r="J316" s="119">
        <f t="shared" ref="J316" si="288">SUM(J314:J315)</f>
        <v>279174687092.39502</v>
      </c>
      <c r="K316" s="119">
        <f t="shared" ref="K316" si="289">SUM(K314:K315)</f>
        <v>327995185793.73914</v>
      </c>
      <c r="L316" s="119">
        <f t="shared" ref="L316" si="290">SUM(L314:L315)</f>
        <v>374357122115.15839</v>
      </c>
      <c r="M316" s="119">
        <f t="shared" ref="M316" si="291">SUM(M314:M315)</f>
        <v>418708096402.99731</v>
      </c>
      <c r="N316" s="119">
        <f t="shared" ref="N316" si="292">SUM(N314:N315)</f>
        <v>460981342725.66888</v>
      </c>
    </row>
    <row r="318" spans="3:14" x14ac:dyDescent="0.25">
      <c r="C318" s="6" t="s">
        <v>300</v>
      </c>
      <c r="D318" s="221">
        <v>4579135000</v>
      </c>
      <c r="E318" s="221">
        <v>4583403000</v>
      </c>
      <c r="F318" s="221">
        <v>7874520000</v>
      </c>
      <c r="G318" s="221">
        <v>12057970000</v>
      </c>
      <c r="H318" s="221">
        <v>19911465000</v>
      </c>
      <c r="I318" s="221">
        <v>25581480000</v>
      </c>
      <c r="J318" s="136">
        <f>I318</f>
        <v>25581480000</v>
      </c>
      <c r="K318" s="136">
        <f t="shared" ref="K318:N318" si="293">J318</f>
        <v>25581480000</v>
      </c>
      <c r="L318" s="136">
        <f t="shared" si="293"/>
        <v>25581480000</v>
      </c>
      <c r="M318" s="136">
        <f t="shared" si="293"/>
        <v>25581480000</v>
      </c>
      <c r="N318" s="136">
        <f t="shared" si="293"/>
        <v>25581480000</v>
      </c>
    </row>
    <row r="319" spans="3:14" x14ac:dyDescent="0.25">
      <c r="C319" s="6" t="s">
        <v>301</v>
      </c>
      <c r="D319" s="103">
        <v>2072612000</v>
      </c>
      <c r="E319" s="103">
        <v>2422497000</v>
      </c>
      <c r="F319" s="103">
        <v>3712734000</v>
      </c>
      <c r="G319" s="103">
        <v>4281122000</v>
      </c>
      <c r="H319" s="103">
        <v>7413006000</v>
      </c>
      <c r="I319" s="103">
        <v>9073673000</v>
      </c>
      <c r="J319" s="102">
        <f>J322*J312</f>
        <v>9085566391.9374485</v>
      </c>
      <c r="K319" s="102">
        <f t="shared" ref="K319:N319" si="294">K322*K312</f>
        <v>10257278118.72897</v>
      </c>
      <c r="L319" s="102">
        <f t="shared" si="294"/>
        <v>11400159995.247112</v>
      </c>
      <c r="M319" s="102">
        <f t="shared" si="294"/>
        <v>12556038258.492136</v>
      </c>
      <c r="N319" s="102">
        <f t="shared" si="294"/>
        <v>13717488183.353264</v>
      </c>
    </row>
    <row r="320" spans="3:14" s="13" customFormat="1" x14ac:dyDescent="0.25">
      <c r="C320" s="13" t="s">
        <v>302</v>
      </c>
      <c r="D320" s="119">
        <f>SUM(D318:D319)</f>
        <v>6651747000</v>
      </c>
      <c r="E320" s="119">
        <f t="shared" ref="E320" si="295">SUM(E318:E319)</f>
        <v>7005900000</v>
      </c>
      <c r="F320" s="119">
        <f t="shared" ref="F320" si="296">SUM(F318:F319)</f>
        <v>11587254000</v>
      </c>
      <c r="G320" s="119">
        <f t="shared" ref="G320" si="297">SUM(G318:G319)</f>
        <v>16339092000</v>
      </c>
      <c r="H320" s="119">
        <f t="shared" ref="H320" si="298">SUM(H318:H319)</f>
        <v>27324471000</v>
      </c>
      <c r="I320" s="119">
        <f t="shared" ref="I320" si="299">SUM(I318:I319)</f>
        <v>34655153000</v>
      </c>
      <c r="J320" s="119">
        <f t="shared" ref="J320" si="300">SUM(J318:J319)</f>
        <v>34667046391.937447</v>
      </c>
      <c r="K320" s="119">
        <f t="shared" ref="K320" si="301">SUM(K318:K319)</f>
        <v>35838758118.728973</v>
      </c>
      <c r="L320" s="119">
        <f t="shared" ref="L320" si="302">SUM(L318:L319)</f>
        <v>36981639995.247116</v>
      </c>
      <c r="M320" s="119">
        <f t="shared" ref="M320" si="303">SUM(M318:M319)</f>
        <v>38137518258.492134</v>
      </c>
      <c r="N320" s="119">
        <f t="shared" ref="N320" si="304">SUM(N318:N319)</f>
        <v>39298968183.353264</v>
      </c>
    </row>
    <row r="322" spans="3:14" x14ac:dyDescent="0.25">
      <c r="C322" s="6" t="s">
        <v>303</v>
      </c>
      <c r="D322" s="222">
        <f>D319/D312</f>
        <v>1.0333605143566803E-2</v>
      </c>
      <c r="E322" s="222">
        <f t="shared" ref="E322:I322" si="305">E319/E312</f>
        <v>1.0336726769370435E-2</v>
      </c>
      <c r="F322" s="222">
        <f t="shared" si="305"/>
        <v>1.1219603047449213E-2</v>
      </c>
      <c r="G322" s="222">
        <f t="shared" si="305"/>
        <v>1.1221594078708912E-2</v>
      </c>
      <c r="H322" s="222">
        <f t="shared" si="305"/>
        <v>1.1048051868768637E-2</v>
      </c>
      <c r="I322" s="222">
        <f t="shared" si="305"/>
        <v>1.1187328557551137E-2</v>
      </c>
      <c r="J322" s="223">
        <f>AVERAGE(D322:I322)</f>
        <v>1.0891151577569189E-2</v>
      </c>
      <c r="K322" s="223">
        <f t="shared" ref="K322:N322" si="306">J322</f>
        <v>1.0891151577569189E-2</v>
      </c>
      <c r="L322" s="223">
        <f t="shared" si="306"/>
        <v>1.0891151577569189E-2</v>
      </c>
      <c r="M322" s="223">
        <f t="shared" si="306"/>
        <v>1.0891151577569189E-2</v>
      </c>
      <c r="N322" s="223">
        <f t="shared" si="306"/>
        <v>1.0891151577569189E-2</v>
      </c>
    </row>
    <row r="324" spans="3:14" s="13" customFormat="1" x14ac:dyDescent="0.25">
      <c r="C324" s="13" t="s">
        <v>304</v>
      </c>
      <c r="D324" s="119">
        <f>D316+D320</f>
        <v>65588984000</v>
      </c>
      <c r="E324" s="119">
        <f t="shared" ref="E324:N324" si="307">E316+E320</f>
        <v>75396273000</v>
      </c>
      <c r="F324" s="119">
        <f t="shared" si="307"/>
        <v>79531757000</v>
      </c>
      <c r="G324" s="119">
        <f t="shared" si="307"/>
        <v>105151490000</v>
      </c>
      <c r="H324" s="119">
        <f t="shared" si="307"/>
        <v>177294504000</v>
      </c>
      <c r="I324" s="119">
        <f t="shared" si="307"/>
        <v>263484400000</v>
      </c>
      <c r="J324" s="119">
        <f t="shared" si="307"/>
        <v>313841733484.33246</v>
      </c>
      <c r="K324" s="119">
        <f t="shared" si="307"/>
        <v>363833943912.46814</v>
      </c>
      <c r="L324" s="119">
        <f t="shared" si="307"/>
        <v>411338762110.40552</v>
      </c>
      <c r="M324" s="119">
        <f t="shared" si="307"/>
        <v>456845614661.48944</v>
      </c>
      <c r="N324" s="119">
        <f t="shared" si="307"/>
        <v>500280310909.02216</v>
      </c>
    </row>
    <row r="325" spans="3:14" s="13" customFormat="1" x14ac:dyDescent="0.25"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</row>
    <row r="326" spans="3:14" s="13" customFormat="1" x14ac:dyDescent="0.25">
      <c r="C326" s="13" t="s">
        <v>305</v>
      </c>
      <c r="D326" s="222">
        <f>D324/D312</f>
        <v>0.32701280433758018</v>
      </c>
      <c r="E326" s="222">
        <f t="shared" ref="E326:N326" si="308">E324/E312</f>
        <v>0.32171378269193368</v>
      </c>
      <c r="F326" s="222">
        <f t="shared" si="308"/>
        <v>0.24033899094472974</v>
      </c>
      <c r="G326" s="222">
        <f t="shared" si="308"/>
        <v>0.27562104923695691</v>
      </c>
      <c r="H326" s="222">
        <f t="shared" si="308"/>
        <v>0.26423273854622653</v>
      </c>
      <c r="I326" s="222">
        <f t="shared" si="308"/>
        <v>0.32486144834503372</v>
      </c>
      <c r="J326" s="222">
        <f t="shared" si="308"/>
        <v>0.37621186652470712</v>
      </c>
      <c r="K326" s="222">
        <f t="shared" si="308"/>
        <v>0.38631794773899719</v>
      </c>
      <c r="L326" s="222">
        <f t="shared" si="308"/>
        <v>0.39297280123628581</v>
      </c>
      <c r="M326" s="222">
        <f t="shared" si="308"/>
        <v>0.3962694867914146</v>
      </c>
      <c r="N326" s="222">
        <f t="shared" si="308"/>
        <v>0.39720309028556228</v>
      </c>
    </row>
    <row r="327" spans="3:14" x14ac:dyDescent="0.25">
      <c r="C327" s="6" t="s">
        <v>306</v>
      </c>
      <c r="D327" s="224">
        <v>0.1275</v>
      </c>
      <c r="E327" s="224">
        <f>D327</f>
        <v>0.1275</v>
      </c>
      <c r="F327" s="224">
        <f t="shared" ref="F327:N327" si="309">E327</f>
        <v>0.1275</v>
      </c>
      <c r="G327" s="224">
        <f t="shared" si="309"/>
        <v>0.1275</v>
      </c>
      <c r="H327" s="224">
        <f t="shared" si="309"/>
        <v>0.1275</v>
      </c>
      <c r="I327" s="224">
        <f t="shared" si="309"/>
        <v>0.1275</v>
      </c>
      <c r="J327" s="224">
        <f t="shared" si="309"/>
        <v>0.1275</v>
      </c>
      <c r="K327" s="224">
        <f t="shared" si="309"/>
        <v>0.1275</v>
      </c>
      <c r="L327" s="224">
        <f t="shared" si="309"/>
        <v>0.1275</v>
      </c>
      <c r="M327" s="224">
        <f t="shared" si="309"/>
        <v>0.1275</v>
      </c>
      <c r="N327" s="224">
        <f t="shared" si="309"/>
        <v>0.1275</v>
      </c>
    </row>
    <row r="328" spans="3:14" x14ac:dyDescent="0.25">
      <c r="C328" s="6" t="s">
        <v>307</v>
      </c>
      <c r="D328" s="102">
        <f>D324-(D312*D327)</f>
        <v>40016298927.5</v>
      </c>
      <c r="E328" s="102">
        <f t="shared" ref="E328:N328" si="310">E324-(E312*E327)</f>
        <v>45515598547.5</v>
      </c>
      <c r="F328" s="102">
        <f t="shared" si="310"/>
        <v>37340105210</v>
      </c>
      <c r="G328" s="102">
        <f t="shared" si="310"/>
        <v>56509287192.5</v>
      </c>
      <c r="H328" s="102">
        <f t="shared" si="310"/>
        <v>91744736835</v>
      </c>
      <c r="I328" s="102">
        <f t="shared" si="310"/>
        <v>160073357627.5</v>
      </c>
      <c r="J328" s="102">
        <f t="shared" si="310"/>
        <v>207479269724.50183</v>
      </c>
      <c r="K328" s="102">
        <f t="shared" si="310"/>
        <v>243754542682.62738</v>
      </c>
      <c r="L328" s="102">
        <f t="shared" si="310"/>
        <v>277879927290.0733</v>
      </c>
      <c r="M328" s="102">
        <f t="shared" si="310"/>
        <v>309855200786.9032</v>
      </c>
      <c r="N328" s="102">
        <f t="shared" si="310"/>
        <v>339693091924.79254</v>
      </c>
    </row>
    <row r="329" spans="3:14" x14ac:dyDescent="0.25"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</row>
    <row r="330" spans="3:14" x14ac:dyDescent="0.25">
      <c r="C330" s="13" t="s">
        <v>149</v>
      </c>
      <c r="D330" s="7"/>
      <c r="E330" s="7"/>
      <c r="F330" s="7"/>
      <c r="G330" s="7"/>
    </row>
    <row r="331" spans="3:14" x14ac:dyDescent="0.25">
      <c r="C331" s="36" t="s">
        <v>50</v>
      </c>
      <c r="D331" s="37">
        <f t="shared" ref="D331:N331" si="311">D$13</f>
        <v>2020</v>
      </c>
      <c r="E331" s="37">
        <f t="shared" si="311"/>
        <v>2021</v>
      </c>
      <c r="F331" s="37">
        <f t="shared" si="311"/>
        <v>2022</v>
      </c>
      <c r="G331" s="37">
        <f t="shared" si="311"/>
        <v>2023</v>
      </c>
      <c r="H331" s="37">
        <f t="shared" si="311"/>
        <v>2024</v>
      </c>
      <c r="I331" s="37">
        <f t="shared" si="311"/>
        <v>2025</v>
      </c>
      <c r="J331" s="38">
        <f t="shared" si="311"/>
        <v>2026</v>
      </c>
      <c r="K331" s="38">
        <f t="shared" si="311"/>
        <v>2027</v>
      </c>
      <c r="L331" s="38">
        <f t="shared" si="311"/>
        <v>2028</v>
      </c>
      <c r="M331" s="38">
        <f t="shared" si="311"/>
        <v>2029</v>
      </c>
      <c r="N331" s="38">
        <f t="shared" si="311"/>
        <v>2030</v>
      </c>
    </row>
    <row r="332" spans="3:14" x14ac:dyDescent="0.25">
      <c r="C332" s="32" t="s">
        <v>51</v>
      </c>
      <c r="D332" s="124">
        <f t="shared" ref="D332:N332" si="312">D$14</f>
        <v>44196</v>
      </c>
      <c r="E332" s="124">
        <f t="shared" si="312"/>
        <v>44561</v>
      </c>
      <c r="F332" s="124">
        <f t="shared" si="312"/>
        <v>44926</v>
      </c>
      <c r="G332" s="124">
        <f t="shared" si="312"/>
        <v>45291</v>
      </c>
      <c r="H332" s="124">
        <f t="shared" si="312"/>
        <v>45657</v>
      </c>
      <c r="I332" s="124">
        <f t="shared" si="312"/>
        <v>46022</v>
      </c>
      <c r="J332" s="124">
        <f t="shared" si="312"/>
        <v>46387</v>
      </c>
      <c r="K332" s="124">
        <f t="shared" si="312"/>
        <v>46752</v>
      </c>
      <c r="L332" s="124">
        <f t="shared" si="312"/>
        <v>47118</v>
      </c>
      <c r="M332" s="124">
        <f t="shared" si="312"/>
        <v>47483</v>
      </c>
      <c r="N332" s="124">
        <f t="shared" si="312"/>
        <v>47848</v>
      </c>
    </row>
    <row r="334" spans="3:14" x14ac:dyDescent="0.25">
      <c r="C334" s="6" t="s">
        <v>149</v>
      </c>
      <c r="D334" s="225">
        <f>D58</f>
        <v>33768549000</v>
      </c>
      <c r="E334" s="225">
        <f t="shared" ref="E334:I334" si="313">E58</f>
        <v>43492248000</v>
      </c>
      <c r="F334" s="225">
        <f t="shared" si="313"/>
        <v>47492549000</v>
      </c>
      <c r="G334" s="225">
        <f t="shared" si="313"/>
        <v>71887821000</v>
      </c>
      <c r="H334" s="225">
        <f t="shared" si="313"/>
        <v>136531020000</v>
      </c>
      <c r="I334" s="225">
        <f t="shared" si="313"/>
        <v>88876452000</v>
      </c>
      <c r="J334" s="227">
        <f>J336*J335</f>
        <v>131652390310.90755</v>
      </c>
      <c r="K334" s="227">
        <f t="shared" ref="K334" si="314">K336*K335</f>
        <v>148079829596.02878</v>
      </c>
      <c r="L334" s="227">
        <f t="shared" ref="L334" si="315">L336*L335</f>
        <v>164232476728.31381</v>
      </c>
      <c r="M334" s="227">
        <f t="shared" ref="M334" si="316">M336*M335</f>
        <v>180811045455.61533</v>
      </c>
      <c r="N334" s="227">
        <f t="shared" ref="N334" si="317">N336*N335</f>
        <v>197685113610.8082</v>
      </c>
    </row>
    <row r="335" spans="3:14" x14ac:dyDescent="0.25">
      <c r="C335" s="6" t="s">
        <v>164</v>
      </c>
      <c r="D335" s="225">
        <f>D79</f>
        <v>341169450000</v>
      </c>
      <c r="E335" s="225">
        <f t="shared" ref="E335:N335" si="318">E79</f>
        <v>407241538000</v>
      </c>
      <c r="F335" s="225">
        <f t="shared" si="318"/>
        <v>531616550000</v>
      </c>
      <c r="G335" s="225">
        <f t="shared" si="318"/>
        <v>677237479000</v>
      </c>
      <c r="H335" s="225">
        <f t="shared" si="318"/>
        <v>972595958000</v>
      </c>
      <c r="I335" s="225">
        <f t="shared" si="318"/>
        <v>1110395693000</v>
      </c>
      <c r="J335" s="225">
        <f t="shared" si="318"/>
        <v>1270614484180</v>
      </c>
      <c r="K335" s="225">
        <f t="shared" si="318"/>
        <v>1429160350642.2</v>
      </c>
      <c r="L335" s="225">
        <f t="shared" si="318"/>
        <v>1585054120255.2041</v>
      </c>
      <c r="M335" s="225">
        <f t="shared" si="318"/>
        <v>1745058579742.3147</v>
      </c>
      <c r="N335" s="225">
        <f t="shared" si="318"/>
        <v>1907914987851.543</v>
      </c>
    </row>
    <row r="336" spans="3:14" x14ac:dyDescent="0.25">
      <c r="C336" s="6" t="s">
        <v>326</v>
      </c>
      <c r="D336" s="112">
        <f>D334/D335</f>
        <v>9.89788182968903E-2</v>
      </c>
      <c r="E336" s="112">
        <f t="shared" ref="E336" si="319">E334/E335</f>
        <v>0.10679718039960845</v>
      </c>
      <c r="F336" s="112">
        <f t="shared" ref="F336" si="320">F334/F335</f>
        <v>8.9336099487497142E-2</v>
      </c>
      <c r="G336" s="112">
        <f t="shared" ref="G336" si="321">G334/G335</f>
        <v>0.10614861585355349</v>
      </c>
      <c r="H336" s="112">
        <f t="shared" ref="H336" si="322">H334/H335</f>
        <v>0.14037794304713735</v>
      </c>
      <c r="I336" s="112">
        <f t="shared" ref="I336" si="323">I334/I335</f>
        <v>8.0040342879824186E-2</v>
      </c>
      <c r="J336" s="226">
        <f>AVERAGE(D336:I336)</f>
        <v>0.10361316666075182</v>
      </c>
      <c r="K336" s="226">
        <f>J336</f>
        <v>0.10361316666075182</v>
      </c>
      <c r="L336" s="226">
        <f t="shared" ref="L336:N336" si="324">K336</f>
        <v>0.10361316666075182</v>
      </c>
      <c r="M336" s="226">
        <f t="shared" si="324"/>
        <v>0.10361316666075182</v>
      </c>
      <c r="N336" s="226">
        <f t="shared" si="324"/>
        <v>0.10361316666075182</v>
      </c>
    </row>
    <row r="338" spans="3:14" x14ac:dyDescent="0.25">
      <c r="C338" s="13" t="s">
        <v>308</v>
      </c>
      <c r="D338" s="7"/>
      <c r="E338" s="7"/>
      <c r="F338" s="7"/>
      <c r="G338" s="7"/>
    </row>
    <row r="339" spans="3:14" x14ac:dyDescent="0.25">
      <c r="C339" s="36" t="s">
        <v>50</v>
      </c>
      <c r="D339" s="37">
        <f t="shared" ref="D339:N339" si="325">D$13</f>
        <v>2020</v>
      </c>
      <c r="E339" s="37">
        <f t="shared" si="325"/>
        <v>2021</v>
      </c>
      <c r="F339" s="37">
        <f t="shared" si="325"/>
        <v>2022</v>
      </c>
      <c r="G339" s="37">
        <f t="shared" si="325"/>
        <v>2023</v>
      </c>
      <c r="H339" s="37">
        <f t="shared" si="325"/>
        <v>2024</v>
      </c>
      <c r="I339" s="37">
        <f t="shared" si="325"/>
        <v>2025</v>
      </c>
      <c r="J339" s="38">
        <f t="shared" si="325"/>
        <v>2026</v>
      </c>
      <c r="K339" s="38">
        <f t="shared" si="325"/>
        <v>2027</v>
      </c>
      <c r="L339" s="38">
        <f t="shared" si="325"/>
        <v>2028</v>
      </c>
      <c r="M339" s="38">
        <f t="shared" si="325"/>
        <v>2029</v>
      </c>
      <c r="N339" s="38">
        <f t="shared" si="325"/>
        <v>2030</v>
      </c>
    </row>
    <row r="340" spans="3:14" x14ac:dyDescent="0.25">
      <c r="C340" s="32" t="s">
        <v>51</v>
      </c>
      <c r="D340" s="124">
        <f t="shared" ref="D340:N340" si="326">D$14</f>
        <v>44196</v>
      </c>
      <c r="E340" s="124">
        <f t="shared" si="326"/>
        <v>44561</v>
      </c>
      <c r="F340" s="124">
        <f t="shared" si="326"/>
        <v>44926</v>
      </c>
      <c r="G340" s="124">
        <f t="shared" si="326"/>
        <v>45291</v>
      </c>
      <c r="H340" s="124">
        <f t="shared" si="326"/>
        <v>45657</v>
      </c>
      <c r="I340" s="124">
        <f t="shared" si="326"/>
        <v>46022</v>
      </c>
      <c r="J340" s="124">
        <f t="shared" si="326"/>
        <v>46387</v>
      </c>
      <c r="K340" s="124">
        <f t="shared" si="326"/>
        <v>46752</v>
      </c>
      <c r="L340" s="124">
        <f t="shared" si="326"/>
        <v>47118</v>
      </c>
      <c r="M340" s="124">
        <f t="shared" si="326"/>
        <v>47483</v>
      </c>
      <c r="N340" s="124">
        <f t="shared" si="326"/>
        <v>47848</v>
      </c>
    </row>
    <row r="342" spans="3:14" x14ac:dyDescent="0.25">
      <c r="C342" s="6" t="s">
        <v>308</v>
      </c>
      <c r="D342" s="225">
        <f t="shared" ref="D342:I342" si="327">D59</f>
        <v>87426301000</v>
      </c>
      <c r="E342" s="225">
        <f t="shared" si="327"/>
        <v>80141769000</v>
      </c>
      <c r="F342" s="225">
        <f t="shared" si="327"/>
        <v>133856720000</v>
      </c>
      <c r="G342" s="225">
        <f t="shared" si="327"/>
        <v>231085244000</v>
      </c>
      <c r="H342" s="225">
        <f t="shared" si="327"/>
        <v>270829834000</v>
      </c>
      <c r="I342" s="225">
        <f t="shared" si="327"/>
        <v>135236549000</v>
      </c>
      <c r="J342" s="227">
        <f>J344*J343</f>
        <v>154749805887.36694</v>
      </c>
      <c r="K342" s="227">
        <f t="shared" ref="K342:N342" si="328">K344*K343</f>
        <v>174059315077.40552</v>
      </c>
      <c r="L342" s="227">
        <f t="shared" si="328"/>
        <v>193045821910.93277</v>
      </c>
      <c r="M342" s="227">
        <f t="shared" si="328"/>
        <v>212532975060.08243</v>
      </c>
      <c r="N342" s="227">
        <f t="shared" si="328"/>
        <v>232367470775.50092</v>
      </c>
    </row>
    <row r="343" spans="3:14" x14ac:dyDescent="0.25">
      <c r="C343" s="6" t="s">
        <v>309</v>
      </c>
      <c r="D343" s="225">
        <f t="shared" ref="D343:N343" si="329">D79</f>
        <v>341169450000</v>
      </c>
      <c r="E343" s="225">
        <f t="shared" si="329"/>
        <v>407241538000</v>
      </c>
      <c r="F343" s="225">
        <f t="shared" si="329"/>
        <v>531616550000</v>
      </c>
      <c r="G343" s="225">
        <f t="shared" si="329"/>
        <v>677237479000</v>
      </c>
      <c r="H343" s="225">
        <f t="shared" si="329"/>
        <v>972595958000</v>
      </c>
      <c r="I343" s="225">
        <f t="shared" si="329"/>
        <v>1110395693000</v>
      </c>
      <c r="J343" s="225">
        <f t="shared" si="329"/>
        <v>1270614484180</v>
      </c>
      <c r="K343" s="225">
        <f t="shared" si="329"/>
        <v>1429160350642.2</v>
      </c>
      <c r="L343" s="225">
        <f t="shared" si="329"/>
        <v>1585054120255.2041</v>
      </c>
      <c r="M343" s="225">
        <f t="shared" si="329"/>
        <v>1745058579742.3147</v>
      </c>
      <c r="N343" s="225">
        <f t="shared" si="329"/>
        <v>1907914987851.543</v>
      </c>
    </row>
    <row r="344" spans="3:14" x14ac:dyDescent="0.25">
      <c r="C344" s="6" t="s">
        <v>310</v>
      </c>
      <c r="D344" s="112">
        <f>D342/D343</f>
        <v>0.25625477603577929</v>
      </c>
      <c r="E344" s="112">
        <f t="shared" ref="E344:I344" si="330">E342/E343</f>
        <v>0.19679173542459216</v>
      </c>
      <c r="F344" s="112">
        <f t="shared" si="330"/>
        <v>0.25179186012926047</v>
      </c>
      <c r="G344" s="112">
        <f t="shared" si="330"/>
        <v>0.34121744759492262</v>
      </c>
      <c r="H344" s="112">
        <f t="shared" si="330"/>
        <v>0.27846078504883115</v>
      </c>
      <c r="I344" s="112">
        <f t="shared" si="330"/>
        <v>0.12179131263975462</v>
      </c>
      <c r="J344" s="226">
        <f>I344</f>
        <v>0.12179131263975462</v>
      </c>
      <c r="K344" s="226">
        <f>J344</f>
        <v>0.12179131263975462</v>
      </c>
      <c r="L344" s="226">
        <f t="shared" ref="L344:N344" si="331">K344</f>
        <v>0.12179131263975462</v>
      </c>
      <c r="M344" s="226">
        <f t="shared" si="331"/>
        <v>0.12179131263975462</v>
      </c>
      <c r="N344" s="226">
        <f t="shared" si="331"/>
        <v>0.12179131263975462</v>
      </c>
    </row>
    <row r="346" spans="3:14" x14ac:dyDescent="0.25">
      <c r="C346" s="13" t="s">
        <v>311</v>
      </c>
      <c r="D346" s="7"/>
      <c r="E346" s="7"/>
      <c r="F346" s="7"/>
      <c r="G346" s="7"/>
    </row>
    <row r="347" spans="3:14" x14ac:dyDescent="0.25">
      <c r="C347" s="36" t="s">
        <v>50</v>
      </c>
      <c r="D347" s="37">
        <f t="shared" ref="D347:N347" si="332">D$13</f>
        <v>2020</v>
      </c>
      <c r="E347" s="37">
        <f t="shared" si="332"/>
        <v>2021</v>
      </c>
      <c r="F347" s="37">
        <f t="shared" si="332"/>
        <v>2022</v>
      </c>
      <c r="G347" s="37">
        <f t="shared" si="332"/>
        <v>2023</v>
      </c>
      <c r="H347" s="37">
        <f t="shared" si="332"/>
        <v>2024</v>
      </c>
      <c r="I347" s="37">
        <f t="shared" si="332"/>
        <v>2025</v>
      </c>
      <c r="J347" s="38">
        <f t="shared" si="332"/>
        <v>2026</v>
      </c>
      <c r="K347" s="38">
        <f t="shared" si="332"/>
        <v>2027</v>
      </c>
      <c r="L347" s="38">
        <f t="shared" si="332"/>
        <v>2028</v>
      </c>
      <c r="M347" s="38">
        <f t="shared" si="332"/>
        <v>2029</v>
      </c>
      <c r="N347" s="38">
        <f t="shared" si="332"/>
        <v>2030</v>
      </c>
    </row>
    <row r="348" spans="3:14" x14ac:dyDescent="0.25">
      <c r="C348" s="32" t="s">
        <v>51</v>
      </c>
      <c r="D348" s="124">
        <f t="shared" ref="D348:N348" si="333">D$14</f>
        <v>44196</v>
      </c>
      <c r="E348" s="124">
        <f t="shared" si="333"/>
        <v>44561</v>
      </c>
      <c r="F348" s="124">
        <f t="shared" si="333"/>
        <v>44926</v>
      </c>
      <c r="G348" s="124">
        <f t="shared" si="333"/>
        <v>45291</v>
      </c>
      <c r="H348" s="124">
        <f t="shared" si="333"/>
        <v>45657</v>
      </c>
      <c r="I348" s="124">
        <f t="shared" si="333"/>
        <v>46022</v>
      </c>
      <c r="J348" s="124">
        <f t="shared" si="333"/>
        <v>46387</v>
      </c>
      <c r="K348" s="124">
        <f t="shared" si="333"/>
        <v>46752</v>
      </c>
      <c r="L348" s="124">
        <f t="shared" si="333"/>
        <v>47118</v>
      </c>
      <c r="M348" s="124">
        <f t="shared" si="333"/>
        <v>47483</v>
      </c>
      <c r="N348" s="124">
        <f t="shared" si="333"/>
        <v>47848</v>
      </c>
    </row>
    <row r="350" spans="3:14" x14ac:dyDescent="0.25">
      <c r="C350" s="6" t="s">
        <v>312</v>
      </c>
      <c r="D350" s="225">
        <f t="shared" ref="D350:I350" si="334">D60</f>
        <v>776980000</v>
      </c>
      <c r="E350" s="225">
        <f t="shared" si="334"/>
        <v>312216000</v>
      </c>
      <c r="F350" s="225">
        <f t="shared" si="334"/>
        <v>2978197000</v>
      </c>
      <c r="G350" s="225">
        <f t="shared" si="334"/>
        <v>822448000</v>
      </c>
      <c r="H350" s="225">
        <f t="shared" si="334"/>
        <v>9555410000</v>
      </c>
      <c r="I350" s="225">
        <f t="shared" si="334"/>
        <v>34440770000</v>
      </c>
      <c r="J350" s="227">
        <f>J352*I351</f>
        <v>9581119404.8080769</v>
      </c>
      <c r="K350" s="227">
        <f t="shared" ref="K350:N350" si="335">K352*J351</f>
        <v>10968070326.13409</v>
      </c>
      <c r="L350" s="227">
        <f t="shared" si="335"/>
        <v>12382557444.164482</v>
      </c>
      <c r="M350" s="227">
        <f t="shared" si="335"/>
        <v>13762241247.61331</v>
      </c>
      <c r="N350" s="227">
        <f t="shared" si="335"/>
        <v>15157614252.753798</v>
      </c>
    </row>
    <row r="351" spans="3:14" x14ac:dyDescent="0.25">
      <c r="C351" s="6" t="s">
        <v>54</v>
      </c>
      <c r="D351" s="225">
        <f t="shared" ref="D351:N351" si="336">D73</f>
        <v>427842167000</v>
      </c>
      <c r="E351" s="225">
        <f t="shared" si="336"/>
        <v>498235838000</v>
      </c>
      <c r="F351" s="225">
        <f t="shared" si="336"/>
        <v>635831917000</v>
      </c>
      <c r="G351" s="225">
        <f t="shared" si="336"/>
        <v>834866099000</v>
      </c>
      <c r="H351" s="225">
        <f t="shared" si="336"/>
        <v>1214973261000</v>
      </c>
      <c r="I351" s="225">
        <f t="shared" si="336"/>
        <v>1442494120000</v>
      </c>
      <c r="J351" s="225">
        <f t="shared" si="336"/>
        <v>1651307773625.6257</v>
      </c>
      <c r="K351" s="225">
        <f t="shared" si="336"/>
        <v>1864267164315.4717</v>
      </c>
      <c r="L351" s="225">
        <f t="shared" si="336"/>
        <v>2071986710419.3892</v>
      </c>
      <c r="M351" s="225">
        <f t="shared" si="336"/>
        <v>2282068358510.7168</v>
      </c>
      <c r="N351" s="225">
        <f t="shared" si="336"/>
        <v>2493162659830.4492</v>
      </c>
    </row>
    <row r="352" spans="3:14" x14ac:dyDescent="0.25">
      <c r="C352" s="6" t="s">
        <v>313</v>
      </c>
      <c r="D352" s="112">
        <f>D350/D351</f>
        <v>1.816043531772781E-3</v>
      </c>
      <c r="E352" s="112">
        <f t="shared" ref="E352" si="337">E350/E351</f>
        <v>6.2664299953469021E-4</v>
      </c>
      <c r="F352" s="112">
        <f t="shared" ref="F352" si="338">F350/F351</f>
        <v>4.6839375633293354E-3</v>
      </c>
      <c r="G352" s="112">
        <f t="shared" ref="G352" si="339">G350/G351</f>
        <v>9.8512563989018804E-4</v>
      </c>
      <c r="H352" s="112">
        <f t="shared" ref="H352" si="340">H350/H351</f>
        <v>7.8647080612583124E-3</v>
      </c>
      <c r="I352" s="112">
        <f t="shared" ref="I352" si="341">I350/I351</f>
        <v>2.3875847757355156E-2</v>
      </c>
      <c r="J352" s="226">
        <f>AVERAGE(D352:I352)</f>
        <v>6.6420509255234106E-3</v>
      </c>
      <c r="K352" s="226">
        <f>J352</f>
        <v>6.6420509255234106E-3</v>
      </c>
      <c r="L352" s="226">
        <f t="shared" ref="L352:N352" si="342">K352</f>
        <v>6.6420509255234106E-3</v>
      </c>
      <c r="M352" s="226">
        <f t="shared" si="342"/>
        <v>6.6420509255234106E-3</v>
      </c>
      <c r="N352" s="226">
        <f t="shared" si="342"/>
        <v>6.6420509255234106E-3</v>
      </c>
    </row>
    <row r="354" spans="3:14" x14ac:dyDescent="0.25">
      <c r="C354" s="13" t="s">
        <v>159</v>
      </c>
      <c r="D354" s="7"/>
      <c r="E354" s="7"/>
      <c r="F354" s="7"/>
      <c r="G354" s="7"/>
    </row>
    <row r="355" spans="3:14" x14ac:dyDescent="0.25">
      <c r="C355" s="36" t="s">
        <v>50</v>
      </c>
      <c r="D355" s="37">
        <f t="shared" ref="D355:N355" si="343">D$13</f>
        <v>2020</v>
      </c>
      <c r="E355" s="37">
        <f t="shared" si="343"/>
        <v>2021</v>
      </c>
      <c r="F355" s="37">
        <f t="shared" si="343"/>
        <v>2022</v>
      </c>
      <c r="G355" s="37">
        <f t="shared" si="343"/>
        <v>2023</v>
      </c>
      <c r="H355" s="37">
        <f t="shared" si="343"/>
        <v>2024</v>
      </c>
      <c r="I355" s="37">
        <f t="shared" si="343"/>
        <v>2025</v>
      </c>
      <c r="J355" s="38">
        <f t="shared" si="343"/>
        <v>2026</v>
      </c>
      <c r="K355" s="38">
        <f t="shared" si="343"/>
        <v>2027</v>
      </c>
      <c r="L355" s="38">
        <f t="shared" si="343"/>
        <v>2028</v>
      </c>
      <c r="M355" s="38">
        <f t="shared" si="343"/>
        <v>2029</v>
      </c>
      <c r="N355" s="38">
        <f t="shared" si="343"/>
        <v>2030</v>
      </c>
    </row>
    <row r="356" spans="3:14" x14ac:dyDescent="0.25">
      <c r="C356" s="32" t="s">
        <v>51</v>
      </c>
      <c r="D356" s="124">
        <f t="shared" ref="D356:N356" si="344">D$14</f>
        <v>44196</v>
      </c>
      <c r="E356" s="124">
        <f t="shared" si="344"/>
        <v>44561</v>
      </c>
      <c r="F356" s="124">
        <f t="shared" si="344"/>
        <v>44926</v>
      </c>
      <c r="G356" s="124">
        <f t="shared" si="344"/>
        <v>45291</v>
      </c>
      <c r="H356" s="124">
        <f t="shared" si="344"/>
        <v>45657</v>
      </c>
      <c r="I356" s="124">
        <f t="shared" si="344"/>
        <v>46022</v>
      </c>
      <c r="J356" s="124">
        <f t="shared" si="344"/>
        <v>46387</v>
      </c>
      <c r="K356" s="124">
        <f t="shared" si="344"/>
        <v>46752</v>
      </c>
      <c r="L356" s="124">
        <f t="shared" si="344"/>
        <v>47118</v>
      </c>
      <c r="M356" s="124">
        <f t="shared" si="344"/>
        <v>47483</v>
      </c>
      <c r="N356" s="124">
        <f t="shared" si="344"/>
        <v>47848</v>
      </c>
    </row>
    <row r="358" spans="3:14" x14ac:dyDescent="0.25">
      <c r="C358" s="6" t="s">
        <v>159</v>
      </c>
      <c r="D358" s="225">
        <f t="shared" ref="D358:I358" si="345">D68</f>
        <v>9175525000</v>
      </c>
      <c r="E358" s="225">
        <f t="shared" si="345"/>
        <v>11207128000</v>
      </c>
      <c r="F358" s="225">
        <f t="shared" si="345"/>
        <v>14521427000</v>
      </c>
      <c r="G358" s="225">
        <f t="shared" si="345"/>
        <v>18972786000</v>
      </c>
      <c r="H358" s="225">
        <f t="shared" si="345"/>
        <v>44282773000</v>
      </c>
      <c r="I358" s="225">
        <f t="shared" si="345"/>
        <v>54040912000</v>
      </c>
      <c r="J358" s="227">
        <f>J360*I359</f>
        <v>54040912000</v>
      </c>
      <c r="K358" s="227">
        <f t="shared" ref="K358:N358" si="346">K360*J359</f>
        <v>61863807167.143501</v>
      </c>
      <c r="L358" s="227">
        <f t="shared" si="346"/>
        <v>69842016251.173309</v>
      </c>
      <c r="M358" s="227">
        <f t="shared" si="346"/>
        <v>77623922295.741272</v>
      </c>
      <c r="N358" s="227">
        <f t="shared" si="346"/>
        <v>85494321003.02919</v>
      </c>
    </row>
    <row r="359" spans="3:14" x14ac:dyDescent="0.25">
      <c r="C359" s="6" t="s">
        <v>54</v>
      </c>
      <c r="D359" s="225">
        <f t="shared" ref="D359:N359" si="347">D73</f>
        <v>427842167000</v>
      </c>
      <c r="E359" s="225">
        <f t="shared" si="347"/>
        <v>498235838000</v>
      </c>
      <c r="F359" s="225">
        <f t="shared" si="347"/>
        <v>635831917000</v>
      </c>
      <c r="G359" s="225">
        <f t="shared" si="347"/>
        <v>834866099000</v>
      </c>
      <c r="H359" s="225">
        <f t="shared" si="347"/>
        <v>1214973261000</v>
      </c>
      <c r="I359" s="225">
        <f t="shared" si="347"/>
        <v>1442494120000</v>
      </c>
      <c r="J359" s="225">
        <f t="shared" si="347"/>
        <v>1651307773625.6257</v>
      </c>
      <c r="K359" s="225">
        <f t="shared" si="347"/>
        <v>1864267164315.4717</v>
      </c>
      <c r="L359" s="225">
        <f t="shared" si="347"/>
        <v>2071986710419.3892</v>
      </c>
      <c r="M359" s="225">
        <f t="shared" si="347"/>
        <v>2282068358510.7168</v>
      </c>
      <c r="N359" s="225">
        <f t="shared" si="347"/>
        <v>2493162659830.4492</v>
      </c>
    </row>
    <row r="360" spans="3:14" x14ac:dyDescent="0.25">
      <c r="C360" s="6" t="s">
        <v>313</v>
      </c>
      <c r="D360" s="112">
        <f>D358/D359</f>
        <v>2.1446051155588879E-2</v>
      </c>
      <c r="E360" s="112">
        <f t="shared" ref="E360" si="348">E358/E359</f>
        <v>2.2493620782052214E-2</v>
      </c>
      <c r="F360" s="112">
        <f t="shared" ref="F360" si="349">F358/F359</f>
        <v>2.2838468173342737E-2</v>
      </c>
      <c r="G360" s="112">
        <f t="shared" ref="G360" si="350">G358/G359</f>
        <v>2.2725543680268662E-2</v>
      </c>
      <c r="H360" s="112">
        <f t="shared" ref="H360" si="351">H358/H359</f>
        <v>3.6447528864587908E-2</v>
      </c>
      <c r="I360" s="112">
        <f t="shared" ref="I360" si="352">I358/I359</f>
        <v>3.746352324819182E-2</v>
      </c>
      <c r="J360" s="226">
        <f>I360</f>
        <v>3.746352324819182E-2</v>
      </c>
      <c r="K360" s="226">
        <f>J360</f>
        <v>3.746352324819182E-2</v>
      </c>
      <c r="L360" s="226">
        <f t="shared" ref="L360:N360" si="353">K360</f>
        <v>3.746352324819182E-2</v>
      </c>
      <c r="M360" s="226">
        <f t="shared" si="353"/>
        <v>3.746352324819182E-2</v>
      </c>
      <c r="N360" s="226">
        <f t="shared" si="353"/>
        <v>3.746352324819182E-2</v>
      </c>
    </row>
    <row r="362" spans="3:14" x14ac:dyDescent="0.25">
      <c r="C362" s="13" t="s">
        <v>167</v>
      </c>
      <c r="D362" s="7"/>
      <c r="E362" s="7"/>
      <c r="F362" s="7"/>
      <c r="G362" s="7"/>
    </row>
    <row r="363" spans="3:14" x14ac:dyDescent="0.25">
      <c r="C363" s="36" t="s">
        <v>50</v>
      </c>
      <c r="D363" s="37">
        <f t="shared" ref="D363:N363" si="354">D$13</f>
        <v>2020</v>
      </c>
      <c r="E363" s="37">
        <f t="shared" si="354"/>
        <v>2021</v>
      </c>
      <c r="F363" s="37">
        <f t="shared" si="354"/>
        <v>2022</v>
      </c>
      <c r="G363" s="37">
        <f t="shared" si="354"/>
        <v>2023</v>
      </c>
      <c r="H363" s="37">
        <f t="shared" si="354"/>
        <v>2024</v>
      </c>
      <c r="I363" s="37">
        <f t="shared" si="354"/>
        <v>2025</v>
      </c>
      <c r="J363" s="38">
        <f t="shared" si="354"/>
        <v>2026</v>
      </c>
      <c r="K363" s="38">
        <f t="shared" si="354"/>
        <v>2027</v>
      </c>
      <c r="L363" s="38">
        <f t="shared" si="354"/>
        <v>2028</v>
      </c>
      <c r="M363" s="38">
        <f t="shared" si="354"/>
        <v>2029</v>
      </c>
      <c r="N363" s="38">
        <f t="shared" si="354"/>
        <v>2030</v>
      </c>
    </row>
    <row r="364" spans="3:14" x14ac:dyDescent="0.25">
      <c r="C364" s="32" t="s">
        <v>51</v>
      </c>
      <c r="D364" s="124">
        <f t="shared" ref="D364:N364" si="355">D$14</f>
        <v>44196</v>
      </c>
      <c r="E364" s="124">
        <f t="shared" si="355"/>
        <v>44561</v>
      </c>
      <c r="F364" s="124">
        <f t="shared" si="355"/>
        <v>44926</v>
      </c>
      <c r="G364" s="124">
        <f t="shared" si="355"/>
        <v>45291</v>
      </c>
      <c r="H364" s="124">
        <f t="shared" si="355"/>
        <v>45657</v>
      </c>
      <c r="I364" s="124">
        <f t="shared" si="355"/>
        <v>46022</v>
      </c>
      <c r="J364" s="124">
        <f t="shared" si="355"/>
        <v>46387</v>
      </c>
      <c r="K364" s="124">
        <f t="shared" si="355"/>
        <v>46752</v>
      </c>
      <c r="L364" s="124">
        <f t="shared" si="355"/>
        <v>47118</v>
      </c>
      <c r="M364" s="124">
        <f t="shared" si="355"/>
        <v>47483</v>
      </c>
      <c r="N364" s="124">
        <f t="shared" si="355"/>
        <v>47848</v>
      </c>
    </row>
    <row r="366" spans="3:14" x14ac:dyDescent="0.25">
      <c r="C366" s="6" t="s">
        <v>167</v>
      </c>
      <c r="D366" s="225">
        <f t="shared" ref="D366:I366" si="356">D83</f>
        <v>5735269000</v>
      </c>
      <c r="E366" s="225">
        <f t="shared" si="356"/>
        <v>8085545000</v>
      </c>
      <c r="F366" s="225">
        <f t="shared" si="356"/>
        <v>11606912000</v>
      </c>
      <c r="G366" s="225">
        <f t="shared" si="356"/>
        <v>18339465000</v>
      </c>
      <c r="H366" s="225">
        <f t="shared" si="356"/>
        <v>21441169000</v>
      </c>
      <c r="I366" s="225">
        <f t="shared" si="356"/>
        <v>25595390000</v>
      </c>
      <c r="J366" s="227">
        <f>J368*I367</f>
        <v>25595390000</v>
      </c>
      <c r="K366" s="227">
        <f t="shared" ref="K366:N366" si="357">K368*J367</f>
        <v>29300546802.908012</v>
      </c>
      <c r="L366" s="227">
        <f t="shared" si="357"/>
        <v>33079264915.720131</v>
      </c>
      <c r="M366" s="227">
        <f t="shared" si="357"/>
        <v>36765008045.92627</v>
      </c>
      <c r="N366" s="227">
        <f t="shared" si="357"/>
        <v>40492663944.267319</v>
      </c>
    </row>
    <row r="367" spans="3:14" x14ac:dyDescent="0.25">
      <c r="C367" s="6" t="s">
        <v>54</v>
      </c>
      <c r="D367" s="225">
        <f t="shared" ref="D367:N367" si="358">D73</f>
        <v>427842167000</v>
      </c>
      <c r="E367" s="225">
        <f t="shared" si="358"/>
        <v>498235838000</v>
      </c>
      <c r="F367" s="225">
        <f t="shared" si="358"/>
        <v>635831917000</v>
      </c>
      <c r="G367" s="225">
        <f t="shared" si="358"/>
        <v>834866099000</v>
      </c>
      <c r="H367" s="225">
        <f t="shared" si="358"/>
        <v>1214973261000</v>
      </c>
      <c r="I367" s="225">
        <f t="shared" si="358"/>
        <v>1442494120000</v>
      </c>
      <c r="J367" s="225">
        <f t="shared" si="358"/>
        <v>1651307773625.6257</v>
      </c>
      <c r="K367" s="225">
        <f t="shared" si="358"/>
        <v>1864267164315.4717</v>
      </c>
      <c r="L367" s="225">
        <f t="shared" si="358"/>
        <v>2071986710419.3892</v>
      </c>
      <c r="M367" s="225">
        <f t="shared" si="358"/>
        <v>2282068358510.7168</v>
      </c>
      <c r="N367" s="225">
        <f t="shared" si="358"/>
        <v>2493162659830.4492</v>
      </c>
    </row>
    <row r="368" spans="3:14" x14ac:dyDescent="0.25">
      <c r="C368" s="6" t="s">
        <v>313</v>
      </c>
      <c r="D368" s="112">
        <f>D366/D367</f>
        <v>1.3405104597836425E-2</v>
      </c>
      <c r="E368" s="112">
        <f t="shared" ref="E368" si="359">E366/E367</f>
        <v>1.6228348872808301E-2</v>
      </c>
      <c r="F368" s="112">
        <f t="shared" ref="F368" si="360">F366/F367</f>
        <v>1.8254686010045009E-2</v>
      </c>
      <c r="G368" s="112">
        <f t="shared" ref="G368" si="361">G366/G367</f>
        <v>2.1966953768954033E-2</v>
      </c>
      <c r="H368" s="112">
        <f t="shared" ref="H368" si="362">H366/H367</f>
        <v>1.7647441049321991E-2</v>
      </c>
      <c r="I368" s="112">
        <f t="shared" ref="I368" si="363">I366/I367</f>
        <v>1.7743843558960228E-2</v>
      </c>
      <c r="J368" s="226">
        <f>I368</f>
        <v>1.7743843558960228E-2</v>
      </c>
      <c r="K368" s="226">
        <f>J368</f>
        <v>1.7743843558960228E-2</v>
      </c>
      <c r="L368" s="226">
        <f t="shared" ref="L368:N368" si="364">K368</f>
        <v>1.7743843558960228E-2</v>
      </c>
      <c r="M368" s="226">
        <f t="shared" si="364"/>
        <v>1.7743843558960228E-2</v>
      </c>
      <c r="N368" s="226">
        <f t="shared" si="364"/>
        <v>1.7743843558960228E-2</v>
      </c>
    </row>
    <row r="370" spans="3:14" x14ac:dyDescent="0.25">
      <c r="C370" s="13" t="s">
        <v>169</v>
      </c>
      <c r="D370" s="7"/>
      <c r="E370" s="7"/>
      <c r="F370" s="7"/>
      <c r="G370" s="7"/>
    </row>
    <row r="371" spans="3:14" x14ac:dyDescent="0.25">
      <c r="C371" s="36" t="s">
        <v>50</v>
      </c>
      <c r="D371" s="37">
        <f t="shared" ref="D371:N371" si="365">D$13</f>
        <v>2020</v>
      </c>
      <c r="E371" s="37">
        <f t="shared" si="365"/>
        <v>2021</v>
      </c>
      <c r="F371" s="37">
        <f t="shared" si="365"/>
        <v>2022</v>
      </c>
      <c r="G371" s="37">
        <f t="shared" si="365"/>
        <v>2023</v>
      </c>
      <c r="H371" s="37">
        <f t="shared" si="365"/>
        <v>2024</v>
      </c>
      <c r="I371" s="37">
        <f t="shared" si="365"/>
        <v>2025</v>
      </c>
      <c r="J371" s="38">
        <f t="shared" si="365"/>
        <v>2026</v>
      </c>
      <c r="K371" s="38">
        <f t="shared" si="365"/>
        <v>2027</v>
      </c>
      <c r="L371" s="38">
        <f t="shared" si="365"/>
        <v>2028</v>
      </c>
      <c r="M371" s="38">
        <f t="shared" si="365"/>
        <v>2029</v>
      </c>
      <c r="N371" s="38">
        <f t="shared" si="365"/>
        <v>2030</v>
      </c>
    </row>
    <row r="372" spans="3:14" x14ac:dyDescent="0.25">
      <c r="C372" s="32" t="s">
        <v>51</v>
      </c>
      <c r="D372" s="124">
        <f t="shared" ref="D372:N372" si="366">D$14</f>
        <v>44196</v>
      </c>
      <c r="E372" s="124">
        <f t="shared" si="366"/>
        <v>44561</v>
      </c>
      <c r="F372" s="124">
        <f t="shared" si="366"/>
        <v>44926</v>
      </c>
      <c r="G372" s="124">
        <f t="shared" si="366"/>
        <v>45291</v>
      </c>
      <c r="H372" s="124">
        <f t="shared" si="366"/>
        <v>45657</v>
      </c>
      <c r="I372" s="124">
        <f t="shared" si="366"/>
        <v>46022</v>
      </c>
      <c r="J372" s="124">
        <f t="shared" si="366"/>
        <v>46387</v>
      </c>
      <c r="K372" s="124">
        <f t="shared" si="366"/>
        <v>46752</v>
      </c>
      <c r="L372" s="124">
        <f t="shared" si="366"/>
        <v>47118</v>
      </c>
      <c r="M372" s="124">
        <f t="shared" si="366"/>
        <v>47483</v>
      </c>
      <c r="N372" s="124">
        <f t="shared" si="366"/>
        <v>47848</v>
      </c>
    </row>
    <row r="374" spans="3:14" s="13" customFormat="1" x14ac:dyDescent="0.25">
      <c r="C374" s="13" t="s">
        <v>314</v>
      </c>
      <c r="D374" s="219"/>
      <c r="E374" s="219"/>
      <c r="F374" s="219"/>
      <c r="G374" s="219"/>
      <c r="H374" s="219"/>
      <c r="I374" s="219"/>
      <c r="J374" s="228"/>
      <c r="K374" s="228"/>
      <c r="L374" s="228"/>
      <c r="M374" s="228"/>
      <c r="N374" s="228"/>
    </row>
    <row r="375" spans="3:14" x14ac:dyDescent="0.25">
      <c r="C375" s="17" t="s">
        <v>315</v>
      </c>
      <c r="D375" s="103">
        <v>1432715000</v>
      </c>
      <c r="E375" s="103">
        <v>1440063000</v>
      </c>
      <c r="F375" s="103">
        <v>2644356000</v>
      </c>
      <c r="G375" s="103">
        <v>2879244000</v>
      </c>
      <c r="H375" s="103">
        <v>4791371000</v>
      </c>
      <c r="I375" s="103">
        <v>4304350000</v>
      </c>
      <c r="J375" s="102">
        <f>I375*(1+J384)</f>
        <v>4304350000</v>
      </c>
      <c r="K375" s="102">
        <f t="shared" ref="K375:N375" si="367">J375*(1+K384)</f>
        <v>4304350000</v>
      </c>
      <c r="L375" s="102">
        <f t="shared" si="367"/>
        <v>4304350000</v>
      </c>
      <c r="M375" s="102">
        <f t="shared" si="367"/>
        <v>4304350000</v>
      </c>
      <c r="N375" s="102">
        <f t="shared" si="367"/>
        <v>4304350000</v>
      </c>
    </row>
    <row r="376" spans="3:14" x14ac:dyDescent="0.25">
      <c r="C376" s="17" t="s">
        <v>316</v>
      </c>
      <c r="D376" s="103">
        <v>1573210000</v>
      </c>
      <c r="E376" s="103">
        <v>1571670000</v>
      </c>
      <c r="F376" s="103">
        <v>2561585000</v>
      </c>
      <c r="G376" s="103">
        <v>4588784000</v>
      </c>
      <c r="H376" s="103">
        <v>7559094000</v>
      </c>
      <c r="I376" s="103">
        <v>7095262000</v>
      </c>
      <c r="J376" s="102">
        <f t="shared" ref="J376:N377" si="368">I376*(1+J385)</f>
        <v>7308119860</v>
      </c>
      <c r="K376" s="102">
        <f t="shared" si="368"/>
        <v>7527363455.8000002</v>
      </c>
      <c r="L376" s="102">
        <f t="shared" si="368"/>
        <v>7753184359.474</v>
      </c>
      <c r="M376" s="102">
        <f t="shared" si="368"/>
        <v>7985779890.2582197</v>
      </c>
      <c r="N376" s="102">
        <f t="shared" si="368"/>
        <v>8225353286.9659662</v>
      </c>
    </row>
    <row r="377" spans="3:14" x14ac:dyDescent="0.25">
      <c r="C377" s="17" t="s">
        <v>317</v>
      </c>
      <c r="D377" s="103">
        <v>1573210000</v>
      </c>
      <c r="E377" s="103">
        <v>1571670000</v>
      </c>
      <c r="F377" s="103">
        <v>2668580000</v>
      </c>
      <c r="G377" s="103">
        <v>4589942000</v>
      </c>
      <c r="H377" s="103">
        <v>7561001000</v>
      </c>
      <c r="I377" s="103">
        <v>14181868000</v>
      </c>
      <c r="J377" s="102">
        <f t="shared" si="368"/>
        <v>14749142720</v>
      </c>
      <c r="K377" s="102">
        <f t="shared" si="368"/>
        <v>15339108428.800001</v>
      </c>
      <c r="L377" s="102">
        <f t="shared" si="368"/>
        <v>15952672765.952002</v>
      </c>
      <c r="M377" s="102">
        <f t="shared" si="368"/>
        <v>16590779676.590082</v>
      </c>
      <c r="N377" s="102">
        <f t="shared" si="368"/>
        <v>17254410863.653687</v>
      </c>
    </row>
    <row r="378" spans="3:14" s="13" customFormat="1" x14ac:dyDescent="0.25">
      <c r="C378" s="13" t="s">
        <v>318</v>
      </c>
      <c r="D378" s="14">
        <f>SUM(D375:D377)</f>
        <v>4579135000</v>
      </c>
      <c r="E378" s="14">
        <f t="shared" ref="E378:I378" si="369">SUM(E375:E377)</f>
        <v>4583403000</v>
      </c>
      <c r="F378" s="14">
        <f t="shared" si="369"/>
        <v>7874521000</v>
      </c>
      <c r="G378" s="14">
        <f t="shared" si="369"/>
        <v>12057970000</v>
      </c>
      <c r="H378" s="14">
        <f t="shared" si="369"/>
        <v>19911466000</v>
      </c>
      <c r="I378" s="14">
        <f t="shared" si="369"/>
        <v>25581480000</v>
      </c>
      <c r="J378" s="14">
        <f t="shared" ref="J378" si="370">SUM(J375:J377)</f>
        <v>26361612580</v>
      </c>
      <c r="K378" s="14">
        <f t="shared" ref="K378" si="371">SUM(K375:K377)</f>
        <v>27170821884.599998</v>
      </c>
      <c r="L378" s="14">
        <f t="shared" ref="L378" si="372">SUM(L375:L377)</f>
        <v>28010207125.426003</v>
      </c>
      <c r="M378" s="14">
        <f t="shared" ref="M378" si="373">SUM(M375:M377)</f>
        <v>28880909566.848305</v>
      </c>
      <c r="N378" s="14">
        <f t="shared" ref="N378" si="374">SUM(N375:N377)</f>
        <v>29784114150.619652</v>
      </c>
    </row>
    <row r="380" spans="3:14" s="13" customFormat="1" x14ac:dyDescent="0.25">
      <c r="C380" s="13" t="s">
        <v>319</v>
      </c>
      <c r="D380" s="219"/>
      <c r="E380" s="219"/>
      <c r="F380" s="219"/>
      <c r="G380" s="219"/>
      <c r="H380" s="219"/>
      <c r="I380" s="219"/>
      <c r="J380" s="228"/>
      <c r="K380" s="228"/>
      <c r="L380" s="228"/>
      <c r="M380" s="228"/>
      <c r="N380" s="228"/>
    </row>
    <row r="381" spans="3:14" x14ac:dyDescent="0.25">
      <c r="C381" s="17" t="s">
        <v>320</v>
      </c>
      <c r="D381" s="103">
        <v>3167811000</v>
      </c>
      <c r="E381" s="103">
        <v>557379000</v>
      </c>
      <c r="F381" s="103">
        <v>104454000</v>
      </c>
      <c r="G381" s="103">
        <v>425937000</v>
      </c>
      <c r="H381" s="103">
        <v>4050923000</v>
      </c>
      <c r="I381" s="103">
        <v>4890019000</v>
      </c>
      <c r="J381" s="102">
        <f>I381*(1+J387)</f>
        <v>5134519950</v>
      </c>
      <c r="K381" s="102">
        <f t="shared" ref="K381:N381" si="375">J381*(1+K387)</f>
        <v>5391245947.5</v>
      </c>
      <c r="L381" s="102">
        <f t="shared" si="375"/>
        <v>5660808244.875</v>
      </c>
      <c r="M381" s="102">
        <f t="shared" si="375"/>
        <v>5943848657.1187506</v>
      </c>
      <c r="N381" s="102">
        <f t="shared" si="375"/>
        <v>6241041089.9746885</v>
      </c>
    </row>
    <row r="382" spans="3:14" s="13" customFormat="1" x14ac:dyDescent="0.25">
      <c r="C382" s="13" t="s">
        <v>321</v>
      </c>
      <c r="D382" s="119">
        <f>D378+D381</f>
        <v>7746946000</v>
      </c>
      <c r="E382" s="119">
        <f t="shared" ref="E382:J382" si="376">E378+E381</f>
        <v>5140782000</v>
      </c>
      <c r="F382" s="119">
        <f t="shared" si="376"/>
        <v>7978975000</v>
      </c>
      <c r="G382" s="119">
        <f t="shared" si="376"/>
        <v>12483907000</v>
      </c>
      <c r="H382" s="119">
        <f t="shared" si="376"/>
        <v>23962389000</v>
      </c>
      <c r="I382" s="119">
        <f t="shared" si="376"/>
        <v>30471499000</v>
      </c>
      <c r="J382" s="119">
        <f t="shared" si="376"/>
        <v>31496132530</v>
      </c>
      <c r="K382" s="119">
        <f t="shared" ref="K382" si="377">K378+K381</f>
        <v>32562067832.099998</v>
      </c>
      <c r="L382" s="119">
        <f t="shared" ref="L382" si="378">L378+L381</f>
        <v>33671015370.301003</v>
      </c>
      <c r="M382" s="119">
        <f t="shared" ref="M382" si="379">M378+M381</f>
        <v>34824758223.967056</v>
      </c>
      <c r="N382" s="119">
        <f t="shared" ref="N382" si="380">N378+N381</f>
        <v>36025155240.594337</v>
      </c>
    </row>
    <row r="384" spans="3:14" x14ac:dyDescent="0.25">
      <c r="C384" s="6" t="s">
        <v>322</v>
      </c>
      <c r="E384" s="112">
        <f>E375/D375-1</f>
        <v>5.1287241356445801E-3</v>
      </c>
      <c r="F384" s="112">
        <f t="shared" ref="F384:I384" si="381">F375/E375-1</f>
        <v>0.83627799617100096</v>
      </c>
      <c r="G384" s="112">
        <f t="shared" si="381"/>
        <v>8.8826164101958982E-2</v>
      </c>
      <c r="H384" s="112">
        <f t="shared" si="381"/>
        <v>0.66410731428110981</v>
      </c>
      <c r="I384" s="112">
        <f t="shared" si="381"/>
        <v>-0.10164543718280217</v>
      </c>
      <c r="J384" s="113">
        <v>0</v>
      </c>
      <c r="K384" s="113">
        <f>J384</f>
        <v>0</v>
      </c>
      <c r="L384" s="113">
        <f t="shared" ref="L384:N384" si="382">K384</f>
        <v>0</v>
      </c>
      <c r="M384" s="113">
        <f t="shared" si="382"/>
        <v>0</v>
      </c>
      <c r="N384" s="113">
        <f t="shared" si="382"/>
        <v>0</v>
      </c>
    </row>
    <row r="385" spans="3:14" x14ac:dyDescent="0.25">
      <c r="C385" s="6" t="s">
        <v>323</v>
      </c>
      <c r="E385" s="112">
        <f t="shared" ref="E385:I385" si="383">E376/D376-1</f>
        <v>-9.7889029436626362E-4</v>
      </c>
      <c r="F385" s="112">
        <f t="shared" si="383"/>
        <v>0.62984914135919112</v>
      </c>
      <c r="G385" s="112">
        <f t="shared" si="383"/>
        <v>0.79138463099994727</v>
      </c>
      <c r="H385" s="112">
        <f t="shared" si="383"/>
        <v>0.64729784622679998</v>
      </c>
      <c r="I385" s="112">
        <f t="shared" si="383"/>
        <v>-6.1360792708755829E-2</v>
      </c>
      <c r="J385" s="113">
        <v>0.03</v>
      </c>
      <c r="K385" s="113">
        <f>J385</f>
        <v>0.03</v>
      </c>
      <c r="L385" s="113">
        <f t="shared" ref="L385:N385" si="384">K385</f>
        <v>0.03</v>
      </c>
      <c r="M385" s="113">
        <f t="shared" si="384"/>
        <v>0.03</v>
      </c>
      <c r="N385" s="113">
        <f t="shared" si="384"/>
        <v>0.03</v>
      </c>
    </row>
    <row r="386" spans="3:14" x14ac:dyDescent="0.25">
      <c r="C386" s="6" t="s">
        <v>324</v>
      </c>
      <c r="E386" s="112">
        <f t="shared" ref="E386:I386" si="385">E377/D377-1</f>
        <v>-9.7889029436626362E-4</v>
      </c>
      <c r="F386" s="112">
        <f t="shared" si="385"/>
        <v>0.69792640948799689</v>
      </c>
      <c r="G386" s="112">
        <f t="shared" si="385"/>
        <v>0.71999415419436552</v>
      </c>
      <c r="H386" s="112">
        <f t="shared" si="385"/>
        <v>0.64729772184485124</v>
      </c>
      <c r="I386" s="112">
        <f t="shared" si="385"/>
        <v>0.87566011431555157</v>
      </c>
      <c r="J386" s="113">
        <v>0.04</v>
      </c>
      <c r="K386" s="113">
        <f>J386</f>
        <v>0.04</v>
      </c>
      <c r="L386" s="113">
        <f t="shared" ref="L386:N386" si="386">K386</f>
        <v>0.04</v>
      </c>
      <c r="M386" s="113">
        <f t="shared" si="386"/>
        <v>0.04</v>
      </c>
      <c r="N386" s="113">
        <f t="shared" si="386"/>
        <v>0.04</v>
      </c>
    </row>
    <row r="387" spans="3:14" x14ac:dyDescent="0.25">
      <c r="C387" s="6" t="s">
        <v>325</v>
      </c>
      <c r="E387" s="112">
        <f>E381/D381-1</f>
        <v>-0.8240491620238708</v>
      </c>
      <c r="F387" s="112">
        <f t="shared" ref="F387:I387" si="387">F381/E381-1</f>
        <v>-0.81259789120149839</v>
      </c>
      <c r="G387" s="112">
        <f t="shared" si="387"/>
        <v>3.0777471422827274</v>
      </c>
      <c r="H387" s="112">
        <f t="shared" si="387"/>
        <v>8.5106154196512627</v>
      </c>
      <c r="I387" s="112">
        <f t="shared" si="387"/>
        <v>0.20713699075494652</v>
      </c>
      <c r="J387" s="113">
        <v>0.05</v>
      </c>
      <c r="K387" s="113">
        <f>J387</f>
        <v>0.05</v>
      </c>
      <c r="L387" s="113">
        <f t="shared" ref="L387:N387" si="388">K387</f>
        <v>0.05</v>
      </c>
      <c r="M387" s="113">
        <f t="shared" si="388"/>
        <v>0.05</v>
      </c>
      <c r="N387" s="113">
        <f t="shared" si="388"/>
        <v>0.05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B09-E019-493F-8365-D4F86105D341}">
  <dimension ref="B1:M51"/>
  <sheetViews>
    <sheetView showGridLines="0" zoomScaleNormal="100" workbookViewId="0">
      <selection activeCell="B37" sqref="B37"/>
    </sheetView>
  </sheetViews>
  <sheetFormatPr defaultColWidth="9.140625" defaultRowHeight="15" x14ac:dyDescent="0.25"/>
  <cols>
    <col min="1" max="1" width="1.42578125" style="39" customWidth="1"/>
    <col min="2" max="2" width="54.42578125" style="39" customWidth="1"/>
    <col min="3" max="3" width="16.7109375" style="39" customWidth="1"/>
    <col min="4" max="4" width="15.5703125" style="39" bestFit="1" customWidth="1"/>
    <col min="5" max="9" width="16.42578125" style="39" customWidth="1"/>
    <col min="10" max="10" width="1.7109375" style="39" customWidth="1"/>
    <col min="11" max="11" width="12.140625" style="39" bestFit="1" customWidth="1"/>
    <col min="12" max="16" width="9.42578125" style="39" customWidth="1"/>
    <col min="17" max="17" width="9.140625" style="39" customWidth="1"/>
    <col min="18" max="16384" width="9.140625" style="39"/>
  </cols>
  <sheetData>
    <row r="1" spans="2:10" ht="15.75" customHeight="1" thickBot="1" x14ac:dyDescent="0.3"/>
    <row r="2" spans="2:10" ht="15.75" customHeight="1" thickBot="1" x14ac:dyDescent="0.3">
      <c r="B2" s="40" t="s">
        <v>343</v>
      </c>
      <c r="C2" s="41"/>
      <c r="D2" s="41"/>
      <c r="E2" s="41"/>
      <c r="F2" s="41"/>
      <c r="G2" s="41"/>
      <c r="H2" s="41"/>
      <c r="I2" s="41"/>
    </row>
    <row r="3" spans="2:10" x14ac:dyDescent="0.25">
      <c r="B3" s="101" t="str">
        <f>FSM!C3</f>
        <v>All amounts are shown in EGP, except per-share data, ratios, and shares outstanding</v>
      </c>
    </row>
    <row r="4" spans="2:10" x14ac:dyDescent="0.25">
      <c r="B4" s="39" t="s">
        <v>0</v>
      </c>
      <c r="C4" s="43"/>
      <c r="D4" s="43">
        <v>46022</v>
      </c>
      <c r="F4" s="39" t="s">
        <v>216</v>
      </c>
      <c r="H4" s="44">
        <f>+'Cost of equity (Ke​)'!C10</f>
        <v>0.15093239999999999</v>
      </c>
      <c r="I4" s="233" t="s">
        <v>336</v>
      </c>
    </row>
    <row r="5" spans="2:10" x14ac:dyDescent="0.25">
      <c r="B5" s="39" t="s">
        <v>1</v>
      </c>
      <c r="C5" s="45"/>
      <c r="D5" s="45">
        <f>EOMONTH(D4,12)</f>
        <v>46387</v>
      </c>
      <c r="F5" s="39" t="s">
        <v>2</v>
      </c>
      <c r="H5" s="165">
        <f>FSM!D7</f>
        <v>140.07</v>
      </c>
    </row>
    <row r="6" spans="2:10" x14ac:dyDescent="0.25">
      <c r="B6" s="39" t="s">
        <v>3</v>
      </c>
      <c r="C6" s="43"/>
      <c r="D6" s="43">
        <v>46022</v>
      </c>
      <c r="F6" s="39" t="s">
        <v>4</v>
      </c>
      <c r="H6" s="46">
        <v>46212</v>
      </c>
      <c r="J6" s="47"/>
    </row>
    <row r="7" spans="2:10" x14ac:dyDescent="0.25">
      <c r="B7" s="39" t="s">
        <v>5</v>
      </c>
      <c r="C7" s="43"/>
      <c r="D7" s="43">
        <v>46272</v>
      </c>
      <c r="E7" s="47"/>
      <c r="F7" s="117" t="s">
        <v>6</v>
      </c>
      <c r="G7" s="47"/>
      <c r="H7" s="164">
        <f>C47</f>
        <v>153.8075976158768</v>
      </c>
      <c r="J7" s="170"/>
    </row>
    <row r="8" spans="2:10" x14ac:dyDescent="0.25">
      <c r="B8" s="39" t="s">
        <v>7</v>
      </c>
      <c r="C8" s="85"/>
      <c r="D8" s="85">
        <f>YEARFRAC(D7,D5)</f>
        <v>0.31666666666666665</v>
      </c>
      <c r="F8" s="117" t="s">
        <v>8</v>
      </c>
      <c r="H8" s="112">
        <f>H7/H5-1</f>
        <v>9.807665892679962E-2</v>
      </c>
      <c r="I8" s="168" t="str">
        <f t="array" ref="I8">_xlfn.IFS(H8&gt;15%,"BUY",H8&gt;=0,"HOLD",H8&lt;0,"SELL")</f>
        <v>HOLD</v>
      </c>
    </row>
    <row r="9" spans="2:10" x14ac:dyDescent="0.25">
      <c r="D9" s="49"/>
      <c r="F9" t="s">
        <v>9</v>
      </c>
      <c r="H9" s="129">
        <v>1</v>
      </c>
    </row>
    <row r="10" spans="2:10" x14ac:dyDescent="0.25">
      <c r="B10" s="50" t="s">
        <v>339</v>
      </c>
      <c r="C10" s="51"/>
      <c r="D10" s="52"/>
      <c r="F10" s="51"/>
      <c r="G10" s="51"/>
      <c r="H10" s="51"/>
      <c r="I10" s="51"/>
    </row>
    <row r="11" spans="2:10" ht="17.25" customHeight="1" x14ac:dyDescent="0.4">
      <c r="C11" s="53" t="s">
        <v>10</v>
      </c>
      <c r="D11" s="53" t="s">
        <v>11</v>
      </c>
      <c r="E11" s="54" t="s">
        <v>12</v>
      </c>
      <c r="F11" s="53"/>
      <c r="G11" s="53"/>
      <c r="H11" s="53"/>
      <c r="I11" s="53"/>
    </row>
    <row r="12" spans="2:10" x14ac:dyDescent="0.25">
      <c r="B12" s="55" t="s">
        <v>13</v>
      </c>
      <c r="C12" s="56">
        <f>D7</f>
        <v>46272</v>
      </c>
      <c r="D12" s="125">
        <f>D4</f>
        <v>46022</v>
      </c>
      <c r="E12" s="125">
        <f>EOMONTH(D12,12)</f>
        <v>46387</v>
      </c>
      <c r="F12" s="125">
        <f>EOMONTH(E12,12)</f>
        <v>46752</v>
      </c>
      <c r="G12" s="125">
        <f>EOMONTH(F12,12)</f>
        <v>47118</v>
      </c>
      <c r="H12" s="125">
        <f>EOMONTH(G12,12)</f>
        <v>47483</v>
      </c>
      <c r="I12" s="125">
        <f>EOMONTH(H12,12)</f>
        <v>47848</v>
      </c>
    </row>
    <row r="13" spans="2:10" x14ac:dyDescent="0.25">
      <c r="B13" s="55"/>
      <c r="D13" s="96"/>
      <c r="E13" s="100"/>
      <c r="F13" s="100"/>
      <c r="G13" s="100"/>
      <c r="H13" s="100"/>
      <c r="I13" s="99"/>
    </row>
    <row r="14" spans="2:10" x14ac:dyDescent="0.25">
      <c r="B14" s="39" t="s">
        <v>337</v>
      </c>
      <c r="C14" s="92">
        <f>E14*(1-$D$8)+D14*$D$8</f>
        <v>265916935396.46994</v>
      </c>
      <c r="D14" s="97">
        <f>FSM!I96</f>
        <v>231514218000</v>
      </c>
      <c r="E14" s="97">
        <f>FSM!J96</f>
        <v>281859658092.39502</v>
      </c>
      <c r="F14" s="97">
        <f>FSM!K96</f>
        <v>330680156793.73914</v>
      </c>
      <c r="G14" s="97">
        <f>FSM!L96</f>
        <v>377042093115.15839</v>
      </c>
      <c r="H14" s="97">
        <f>FSM!M96</f>
        <v>421393067402.99731</v>
      </c>
      <c r="I14" s="97">
        <f>FSM!N96</f>
        <v>463666313725.66888</v>
      </c>
    </row>
    <row r="15" spans="2:10" x14ac:dyDescent="0.25">
      <c r="B15" s="55"/>
      <c r="D15" s="239"/>
      <c r="E15" s="239"/>
      <c r="F15" s="239"/>
      <c r="G15" s="239"/>
      <c r="H15" s="239"/>
      <c r="I15" s="239"/>
    </row>
    <row r="16" spans="2:10" x14ac:dyDescent="0.25">
      <c r="B16" s="39" t="s">
        <v>59</v>
      </c>
      <c r="C16" s="92">
        <f>E16*(1-$D$8)+D16*$D$8</f>
        <v>76346654417.429779</v>
      </c>
      <c r="D16" s="97">
        <f>FSM!I37</f>
        <v>82258815000</v>
      </c>
      <c r="E16" s="97">
        <f>FSM!J37</f>
        <v>73606872684.043564</v>
      </c>
      <c r="F16" s="97">
        <f>FSM!K37</f>
        <v>77006681760.548523</v>
      </c>
      <c r="G16" s="97">
        <f>FSM!L37</f>
        <v>79389944573.365662</v>
      </c>
      <c r="H16" s="97">
        <f>FSM!M37</f>
        <v>83057768456.837708</v>
      </c>
      <c r="I16" s="97">
        <f>FSM!N37</f>
        <v>87345489951.417603</v>
      </c>
    </row>
    <row r="17" spans="2:13" x14ac:dyDescent="0.25">
      <c r="B17" s="59" t="s">
        <v>14</v>
      </c>
      <c r="D17" s="98"/>
      <c r="E17" s="98">
        <f>E16/D16-1</f>
        <v>-0.1051795156051839</v>
      </c>
      <c r="F17" s="98">
        <f t="shared" ref="F17:I17" si="0">F16/E16-1</f>
        <v>4.6188745052361924E-2</v>
      </c>
      <c r="G17" s="98">
        <f t="shared" si="0"/>
        <v>3.094877948679664E-2</v>
      </c>
      <c r="H17" s="98">
        <f t="shared" si="0"/>
        <v>4.6200106363376348E-2</v>
      </c>
      <c r="I17" s="98">
        <f t="shared" si="0"/>
        <v>5.162336496926323E-2</v>
      </c>
    </row>
    <row r="18" spans="2:13" x14ac:dyDescent="0.25">
      <c r="B18" s="59"/>
      <c r="D18" s="98"/>
      <c r="E18" s="98"/>
      <c r="F18" s="98"/>
      <c r="G18" s="98"/>
      <c r="H18" s="98"/>
      <c r="I18" s="98"/>
    </row>
    <row r="19" spans="2:13" x14ac:dyDescent="0.25">
      <c r="B19" s="75" t="s">
        <v>381</v>
      </c>
      <c r="D19" s="98">
        <f>D16/D14</f>
        <v>0.35530783254098025</v>
      </c>
      <c r="E19" s="98">
        <f t="shared" ref="E19:I19" si="1">E16/E14</f>
        <v>0.26114724321390775</v>
      </c>
      <c r="F19" s="98">
        <f t="shared" si="1"/>
        <v>0.23287360967528883</v>
      </c>
      <c r="G19" s="98">
        <f t="shared" si="1"/>
        <v>0.2105598977489177</v>
      </c>
      <c r="H19" s="98">
        <f t="shared" si="1"/>
        <v>0.19710283552768038</v>
      </c>
      <c r="I19" s="98">
        <f t="shared" si="1"/>
        <v>0.18838006420948691</v>
      </c>
    </row>
    <row r="20" spans="2:13" x14ac:dyDescent="0.25">
      <c r="B20" s="75"/>
      <c r="D20" s="98"/>
      <c r="E20" s="98"/>
      <c r="F20" s="98"/>
      <c r="G20" s="98"/>
      <c r="H20" s="98"/>
      <c r="I20" s="98"/>
    </row>
    <row r="21" spans="2:13" x14ac:dyDescent="0.25">
      <c r="B21" s="75" t="s">
        <v>216</v>
      </c>
      <c r="D21" s="98">
        <f>$H$4</f>
        <v>0.15093239999999999</v>
      </c>
      <c r="E21" s="98">
        <f t="shared" ref="E21:I21" si="2">$H$4</f>
        <v>0.15093239999999999</v>
      </c>
      <c r="F21" s="98">
        <f t="shared" si="2"/>
        <v>0.15093239999999999</v>
      </c>
      <c r="G21" s="98">
        <f t="shared" si="2"/>
        <v>0.15093239999999999</v>
      </c>
      <c r="H21" s="98">
        <f t="shared" si="2"/>
        <v>0.15093239999999999</v>
      </c>
      <c r="I21" s="98">
        <f t="shared" si="2"/>
        <v>0.15093239999999999</v>
      </c>
    </row>
    <row r="22" spans="2:13" x14ac:dyDescent="0.25">
      <c r="B22" s="75"/>
      <c r="D22" s="98"/>
      <c r="E22" s="98"/>
      <c r="F22" s="98"/>
      <c r="G22" s="98"/>
      <c r="H22" s="98"/>
      <c r="I22" s="98"/>
    </row>
    <row r="23" spans="2:13" x14ac:dyDescent="0.25">
      <c r="B23" s="75" t="s">
        <v>382</v>
      </c>
      <c r="D23" s="98">
        <f>D19-D21</f>
        <v>0.20437543254098026</v>
      </c>
      <c r="E23" s="98">
        <f t="shared" ref="E23:I23" si="3">E19-E21</f>
        <v>0.11021484321390776</v>
      </c>
      <c r="F23" s="98">
        <f t="shared" si="3"/>
        <v>8.194120967528884E-2</v>
      </c>
      <c r="G23" s="98">
        <f t="shared" si="3"/>
        <v>5.9627497748917707E-2</v>
      </c>
      <c r="H23" s="98">
        <f t="shared" si="3"/>
        <v>4.6170435527680381E-2</v>
      </c>
      <c r="I23" s="98">
        <f t="shared" si="3"/>
        <v>3.7447664209486919E-2</v>
      </c>
    </row>
    <row r="24" spans="2:13" x14ac:dyDescent="0.25">
      <c r="B24" s="75"/>
      <c r="D24" s="98"/>
      <c r="E24" s="98"/>
      <c r="F24" s="98"/>
      <c r="G24" s="98"/>
      <c r="H24" s="98"/>
      <c r="I24" s="98"/>
    </row>
    <row r="25" spans="2:13" x14ac:dyDescent="0.25">
      <c r="B25" s="75" t="s">
        <v>383</v>
      </c>
      <c r="D25" s="263">
        <f>D21*D14</f>
        <v>34942996556.863197</v>
      </c>
      <c r="E25" s="263">
        <f>E21*E14</f>
        <v>42541754659.064598</v>
      </c>
      <c r="F25" s="263">
        <f t="shared" ref="E25:I25" si="4">F21*F14</f>
        <v>49910349697.255348</v>
      </c>
      <c r="G25" s="263">
        <f t="shared" si="4"/>
        <v>56907868014.894333</v>
      </c>
      <c r="H25" s="263">
        <f t="shared" si="4"/>
        <v>63601867006.496147</v>
      </c>
      <c r="I25" s="263">
        <f t="shared" si="4"/>
        <v>69982269529.768143</v>
      </c>
    </row>
    <row r="26" spans="2:13" x14ac:dyDescent="0.25">
      <c r="D26" s="240"/>
      <c r="E26" s="241"/>
      <c r="F26" s="241"/>
      <c r="G26" s="241"/>
      <c r="H26" s="241"/>
      <c r="I26" s="241"/>
      <c r="J26" s="58"/>
      <c r="K26" s="63"/>
      <c r="M26" s="48"/>
    </row>
    <row r="27" spans="2:13" s="60" customFormat="1" x14ac:dyDescent="0.25">
      <c r="B27" s="60" t="s">
        <v>340</v>
      </c>
      <c r="D27" s="14"/>
      <c r="E27" s="14">
        <f t="shared" ref="E27:I27" si="5">E16-E25</f>
        <v>31065118024.978966</v>
      </c>
      <c r="F27" s="14">
        <f t="shared" si="5"/>
        <v>27096332063.293175</v>
      </c>
      <c r="G27" s="14">
        <f t="shared" si="5"/>
        <v>22482076558.471329</v>
      </c>
      <c r="H27" s="14">
        <f t="shared" si="5"/>
        <v>19455901450.34156</v>
      </c>
      <c r="I27" s="14">
        <f t="shared" si="5"/>
        <v>17363220421.64946</v>
      </c>
      <c r="J27" s="242"/>
      <c r="K27" s="259"/>
      <c r="M27" s="260"/>
    </row>
    <row r="28" spans="2:13" x14ac:dyDescent="0.25">
      <c r="D28" s="261"/>
      <c r="E28" s="262"/>
      <c r="F28" s="262"/>
      <c r="G28" s="262"/>
      <c r="H28" s="262"/>
      <c r="I28" s="262"/>
      <c r="J28" s="58"/>
      <c r="K28" s="63"/>
      <c r="M28" s="48"/>
    </row>
    <row r="29" spans="2:13" x14ac:dyDescent="0.25">
      <c r="B29" s="50" t="str">
        <f>"Residual Income on "&amp;TEXT(D7,"mmm dd, yyyy")&amp;" valuation date"</f>
        <v>Residual Income on Sep 07, 2026 valuation date</v>
      </c>
      <c r="C29" s="51"/>
      <c r="D29" s="64"/>
      <c r="E29" s="51"/>
      <c r="F29" s="64"/>
      <c r="G29" s="64"/>
      <c r="H29" s="64"/>
      <c r="I29" s="64"/>
      <c r="J29" s="58"/>
    </row>
    <row r="30" spans="2:13" ht="17.25" customHeight="1" x14ac:dyDescent="0.4">
      <c r="B30" s="60"/>
      <c r="D30" s="65" t="s">
        <v>16</v>
      </c>
      <c r="E30" s="65" t="s">
        <v>17</v>
      </c>
      <c r="F30" s="66" t="s">
        <v>18</v>
      </c>
      <c r="G30" s="66" t="s">
        <v>19</v>
      </c>
      <c r="H30" s="66" t="s">
        <v>20</v>
      </c>
      <c r="I30" s="66" t="s">
        <v>21</v>
      </c>
      <c r="J30" s="58"/>
    </row>
    <row r="31" spans="2:13" x14ac:dyDescent="0.25">
      <c r="B31" s="39" t="s">
        <v>22</v>
      </c>
      <c r="D31" s="67">
        <f>D7</f>
        <v>46272</v>
      </c>
      <c r="E31" s="93">
        <f>IF($H$9=1,AVERAGE(E12,D31),E12)</f>
        <v>46329.5</v>
      </c>
      <c r="F31" s="93">
        <f>IF($H$9=1,AVERAGE(F12,E12),F12)</f>
        <v>46569.5</v>
      </c>
      <c r="G31" s="93">
        <f>IF($H$9=1,AVERAGE(G12,F12),G12)</f>
        <v>46935</v>
      </c>
      <c r="H31" s="93">
        <f>IF($H$9=1,AVERAGE(H12,G12),H12)</f>
        <v>47300.5</v>
      </c>
      <c r="I31" s="93">
        <f>IF($H$9=1,AVERAGE(I12,H12),I12)</f>
        <v>47665.5</v>
      </c>
      <c r="J31" s="58"/>
    </row>
    <row r="32" spans="2:13" x14ac:dyDescent="0.25">
      <c r="B32" s="39" t="s">
        <v>345</v>
      </c>
      <c r="C32" s="68">
        <f>D8</f>
        <v>0.31666666666666665</v>
      </c>
      <c r="D32" s="62"/>
      <c r="E32" s="69">
        <f>E27*C32</f>
        <v>9837287374.5766716</v>
      </c>
      <c r="F32" s="69">
        <f>F27</f>
        <v>27096332063.293175</v>
      </c>
      <c r="G32" s="69">
        <f t="shared" ref="G32:I32" si="6">G27</f>
        <v>22482076558.471329</v>
      </c>
      <c r="H32" s="69">
        <f t="shared" si="6"/>
        <v>19455901450.34156</v>
      </c>
      <c r="I32" s="69">
        <f t="shared" si="6"/>
        <v>17363220421.64946</v>
      </c>
      <c r="J32" s="57"/>
    </row>
    <row r="33" spans="2:10" ht="15" customHeight="1" x14ac:dyDescent="0.25">
      <c r="B33" s="60" t="s">
        <v>346</v>
      </c>
      <c r="C33" s="70"/>
      <c r="D33" s="61"/>
      <c r="E33" s="61">
        <f>E32/(1+$H$4)^((E31-$D$31)/365)</f>
        <v>9621835368.0101109</v>
      </c>
      <c r="F33" s="61">
        <f>F32/(1+$H$4)^((F31-$D$31)/365)</f>
        <v>24162992789.489685</v>
      </c>
      <c r="G33" s="61">
        <f>G32/(1+$H$4)^((G31-$D$31)/365)</f>
        <v>17415790619.931492</v>
      </c>
      <c r="H33" s="61">
        <f>H32/(1+$H$4)^((H31-$D$31)/365)</f>
        <v>13092563356.836004</v>
      </c>
      <c r="I33" s="61">
        <f>I32/(1+$H$4)^((I31-$D$31)/365)</f>
        <v>10152050954.183035</v>
      </c>
      <c r="J33" s="57"/>
    </row>
    <row r="35" spans="2:10" x14ac:dyDescent="0.25">
      <c r="B35" s="50" t="s">
        <v>23</v>
      </c>
      <c r="C35" s="50"/>
    </row>
    <row r="36" spans="2:10" x14ac:dyDescent="0.25">
      <c r="B36" s="39" t="s">
        <v>24</v>
      </c>
      <c r="C36" s="71">
        <v>0.1</v>
      </c>
      <c r="E36" s="62"/>
    </row>
    <row r="37" spans="2:10" x14ac:dyDescent="0.25">
      <c r="B37" s="243" t="s">
        <v>341</v>
      </c>
      <c r="C37" s="62">
        <f>I32*(1+C36)</f>
        <v>19099542463.814407</v>
      </c>
      <c r="E37" s="73"/>
    </row>
    <row r="38" spans="2:10" x14ac:dyDescent="0.25">
      <c r="B38" s="39" t="str">
        <f>"Terminal value in "&amp;YEAR(I12)</f>
        <v>Terminal value in 2030</v>
      </c>
      <c r="C38" s="62">
        <f>C37/(H4-C36)</f>
        <v>374997888648.76605</v>
      </c>
      <c r="E38" s="62"/>
    </row>
    <row r="39" spans="2:10" x14ac:dyDescent="0.25">
      <c r="B39" s="39" t="s">
        <v>25</v>
      </c>
      <c r="C39" s="62">
        <f>C38/(1+$H$4)^((I31-$D$31)/365)</f>
        <v>219256427138.74356</v>
      </c>
      <c r="E39" s="62"/>
    </row>
    <row r="40" spans="2:10" x14ac:dyDescent="0.25">
      <c r="B40" s="233" t="s">
        <v>342</v>
      </c>
      <c r="C40" s="57">
        <f>SUM(E33:I33)</f>
        <v>74445233088.450333</v>
      </c>
      <c r="E40" s="62"/>
    </row>
    <row r="41" spans="2:10" x14ac:dyDescent="0.25">
      <c r="B41" s="60" t="s">
        <v>335</v>
      </c>
      <c r="C41" s="74">
        <f>FSM!I96+C39+C40</f>
        <v>525215878227.19385</v>
      </c>
      <c r="E41" s="74"/>
    </row>
    <row r="43" spans="2:10" x14ac:dyDescent="0.25">
      <c r="B43" s="50" t="s">
        <v>38</v>
      </c>
      <c r="C43" s="83"/>
      <c r="E43" s="50" t="s">
        <v>26</v>
      </c>
      <c r="F43" s="51"/>
      <c r="G43" s="50"/>
      <c r="H43" s="51"/>
      <c r="I43" s="51"/>
    </row>
    <row r="44" spans="2:10" ht="17.25" x14ac:dyDescent="0.4">
      <c r="C44" s="237"/>
      <c r="D44" s="237"/>
    </row>
    <row r="45" spans="2:10" x14ac:dyDescent="0.25">
      <c r="B45" s="39" t="s">
        <v>39</v>
      </c>
      <c r="C45" s="82">
        <f>C41</f>
        <v>525215878227.19385</v>
      </c>
      <c r="D45" s="82"/>
      <c r="G45" s="76" t="s">
        <v>27</v>
      </c>
      <c r="H45" s="77" t="s">
        <v>30</v>
      </c>
      <c r="I45" s="77" t="s">
        <v>31</v>
      </c>
    </row>
    <row r="46" spans="2:10" x14ac:dyDescent="0.25">
      <c r="B46" s="39" t="s">
        <v>26</v>
      </c>
      <c r="C46" s="83">
        <f>I51</f>
        <v>3414759000</v>
      </c>
      <c r="D46" s="238"/>
      <c r="E46" s="39" t="s">
        <v>32</v>
      </c>
      <c r="G46" s="106" t="s">
        <v>28</v>
      </c>
      <c r="H46" s="46" t="s">
        <v>29</v>
      </c>
      <c r="I46" s="104">
        <v>3377936000</v>
      </c>
      <c r="J46" s="78"/>
    </row>
    <row r="47" spans="2:10" x14ac:dyDescent="0.25">
      <c r="B47" s="60" t="s">
        <v>40</v>
      </c>
      <c r="C47" s="84">
        <f>C45/C46</f>
        <v>153.8075976158768</v>
      </c>
      <c r="D47" s="84"/>
      <c r="E47" s="75" t="s">
        <v>33</v>
      </c>
      <c r="G47" s="106"/>
      <c r="H47" s="46"/>
      <c r="I47" s="104">
        <v>36823000</v>
      </c>
      <c r="J47" s="79"/>
    </row>
    <row r="48" spans="2:10" x14ac:dyDescent="0.25">
      <c r="C48" s="118"/>
      <c r="D48" s="118"/>
      <c r="E48" s="75" t="s">
        <v>35</v>
      </c>
      <c r="G48" s="46"/>
      <c r="H48" s="46"/>
      <c r="I48" s="104"/>
    </row>
    <row r="49" spans="2:10" ht="15" customHeight="1" x14ac:dyDescent="0.25">
      <c r="C49" s="164"/>
      <c r="D49" s="164"/>
      <c r="E49" s="39" t="s">
        <v>34</v>
      </c>
      <c r="G49" s="46"/>
      <c r="H49" s="46"/>
      <c r="I49" s="104"/>
    </row>
    <row r="50" spans="2:10" x14ac:dyDescent="0.25">
      <c r="B50" s="236"/>
      <c r="C50" s="235"/>
      <c r="E50" s="39" t="s">
        <v>36</v>
      </c>
      <c r="G50" s="46"/>
      <c r="H50" s="46"/>
      <c r="I50" s="104"/>
    </row>
    <row r="51" spans="2:10" ht="15" customHeight="1" x14ac:dyDescent="0.25">
      <c r="B51" s="234"/>
      <c r="C51" s="235"/>
      <c r="E51" s="80" t="s">
        <v>37</v>
      </c>
      <c r="I51" s="105">
        <f>SUM(I46:I50)</f>
        <v>3414759000</v>
      </c>
      <c r="J51" s="81"/>
    </row>
  </sheetData>
  <conditionalFormatting sqref="I8">
    <cfRule type="expression" dxfId="6" priority="1">
      <formula>$I8="SELL"</formula>
    </cfRule>
    <cfRule type="expression" dxfId="5" priority="2">
      <formula>$I8="HOLD"</formula>
    </cfRule>
    <cfRule type="expression" dxfId="4" priority="3">
      <formula>$I8="BUY"</formula>
    </cfRule>
  </conditionalFormatting>
  <dataValidations count="1">
    <dataValidation type="list" allowBlank="1" showInputMessage="1" showErrorMessage="1" sqref="H9" xr:uid="{7DB880D2-F063-4425-A4F7-E0FEAB030948}">
      <formula1>"0,1"</formula1>
    </dataValidation>
  </dataValidation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023E-7C7A-4D16-A306-78BD8605CE66}">
  <dimension ref="B1:M43"/>
  <sheetViews>
    <sheetView showGridLines="0" topLeftCell="A9" zoomScaleNormal="100" workbookViewId="0">
      <selection activeCell="H24" sqref="H24"/>
    </sheetView>
  </sheetViews>
  <sheetFormatPr defaultColWidth="9.140625" defaultRowHeight="15" x14ac:dyDescent="0.25"/>
  <cols>
    <col min="1" max="1" width="1.42578125" style="39" customWidth="1"/>
    <col min="2" max="2" width="54.42578125" style="39" customWidth="1"/>
    <col min="3" max="3" width="16.7109375" style="39" customWidth="1"/>
    <col min="4" max="4" width="15.5703125" style="39" bestFit="1" customWidth="1"/>
    <col min="5" max="9" width="16.42578125" style="39" customWidth="1"/>
    <col min="10" max="10" width="1.7109375" style="39" customWidth="1"/>
    <col min="11" max="11" width="12.140625" style="39" bestFit="1" customWidth="1"/>
    <col min="12" max="16" width="9.42578125" style="39" customWidth="1"/>
    <col min="17" max="17" width="9.140625" style="39" customWidth="1"/>
    <col min="18" max="16384" width="9.140625" style="39"/>
  </cols>
  <sheetData>
    <row r="1" spans="2:10" ht="15.75" customHeight="1" thickBot="1" x14ac:dyDescent="0.3"/>
    <row r="2" spans="2:10" ht="15.75" customHeight="1" thickBot="1" x14ac:dyDescent="0.3">
      <c r="B2" s="40" t="s">
        <v>344</v>
      </c>
      <c r="C2" s="41"/>
      <c r="D2" s="41"/>
      <c r="E2" s="41"/>
      <c r="F2" s="41"/>
      <c r="G2" s="41"/>
      <c r="H2" s="41"/>
      <c r="I2" s="41"/>
    </row>
    <row r="3" spans="2:10" x14ac:dyDescent="0.25">
      <c r="B3" s="101" t="str">
        <f>FSM!C3</f>
        <v>All amounts are shown in EGP, except per-share data, ratios, and shares outstanding</v>
      </c>
    </row>
    <row r="4" spans="2:10" x14ac:dyDescent="0.25">
      <c r="B4" s="39" t="s">
        <v>0</v>
      </c>
      <c r="C4" s="43"/>
      <c r="D4" s="43">
        <v>46022</v>
      </c>
      <c r="F4" s="39" t="s">
        <v>216</v>
      </c>
      <c r="H4" s="44">
        <f>+'Cost of equity (Ke​)'!C10</f>
        <v>0.15093239999999999</v>
      </c>
      <c r="I4" s="233" t="s">
        <v>336</v>
      </c>
    </row>
    <row r="5" spans="2:10" x14ac:dyDescent="0.25">
      <c r="B5" s="39" t="s">
        <v>1</v>
      </c>
      <c r="C5" s="45"/>
      <c r="D5" s="45">
        <f>EOMONTH(D4,12)</f>
        <v>46387</v>
      </c>
      <c r="F5" s="39" t="s">
        <v>2</v>
      </c>
      <c r="H5" s="165">
        <f>FSM!D7</f>
        <v>140.07</v>
      </c>
    </row>
    <row r="6" spans="2:10" x14ac:dyDescent="0.25">
      <c r="B6" s="39" t="s">
        <v>3</v>
      </c>
      <c r="C6" s="43"/>
      <c r="D6" s="43">
        <v>46022</v>
      </c>
      <c r="F6" s="39" t="s">
        <v>4</v>
      </c>
      <c r="H6" s="46">
        <v>46212</v>
      </c>
      <c r="J6" s="47"/>
    </row>
    <row r="7" spans="2:10" x14ac:dyDescent="0.25">
      <c r="B7" s="39" t="s">
        <v>5</v>
      </c>
      <c r="C7" s="43"/>
      <c r="D7" s="43">
        <v>46272</v>
      </c>
      <c r="E7" s="47"/>
      <c r="F7" s="117" t="s">
        <v>6</v>
      </c>
      <c r="G7" s="47"/>
      <c r="H7" s="164">
        <f>C39</f>
        <v>172.63270919577118</v>
      </c>
      <c r="J7" s="170"/>
    </row>
    <row r="8" spans="2:10" x14ac:dyDescent="0.25">
      <c r="B8" s="39" t="s">
        <v>7</v>
      </c>
      <c r="C8" s="85"/>
      <c r="D8" s="85">
        <f>YEARFRAC(D7,D5)</f>
        <v>0.31666666666666665</v>
      </c>
      <c r="F8" s="117" t="s">
        <v>8</v>
      </c>
      <c r="H8" s="112">
        <f>H7/H5-1</f>
        <v>0.23247454269844492</v>
      </c>
      <c r="I8" s="168" t="str">
        <f t="array" ref="I8">_xlfn.IFS(H8&gt;15%,"BUY",H8&gt;=0,"HOLD",H8&lt;0,"SELL")</f>
        <v>BUY</v>
      </c>
    </row>
    <row r="9" spans="2:10" x14ac:dyDescent="0.25">
      <c r="D9" s="49"/>
      <c r="F9" t="s">
        <v>9</v>
      </c>
      <c r="H9" s="129">
        <v>1</v>
      </c>
    </row>
    <row r="10" spans="2:10" x14ac:dyDescent="0.25">
      <c r="B10" s="50" t="s">
        <v>338</v>
      </c>
      <c r="C10" s="51"/>
      <c r="D10" s="52"/>
      <c r="F10" s="51"/>
      <c r="G10" s="51"/>
      <c r="H10" s="51"/>
      <c r="I10" s="51"/>
    </row>
    <row r="11" spans="2:10" ht="17.25" customHeight="1" x14ac:dyDescent="0.4">
      <c r="C11" s="53" t="s">
        <v>10</v>
      </c>
      <c r="D11" s="53" t="s">
        <v>11</v>
      </c>
      <c r="E11" s="54" t="s">
        <v>12</v>
      </c>
      <c r="F11" s="53"/>
      <c r="G11" s="53"/>
      <c r="H11" s="53"/>
      <c r="I11" s="53"/>
    </row>
    <row r="12" spans="2:10" x14ac:dyDescent="0.25">
      <c r="B12" s="55" t="s">
        <v>13</v>
      </c>
      <c r="C12" s="56">
        <f>D7</f>
        <v>46272</v>
      </c>
      <c r="D12" s="125">
        <f>D4</f>
        <v>46022</v>
      </c>
      <c r="E12" s="125">
        <f>EOMONTH(D12,12)</f>
        <v>46387</v>
      </c>
      <c r="F12" s="125">
        <f>EOMONTH(E12,12)</f>
        <v>46752</v>
      </c>
      <c r="G12" s="125">
        <f>EOMONTH(F12,12)</f>
        <v>47118</v>
      </c>
      <c r="H12" s="125">
        <f>EOMONTH(G12,12)</f>
        <v>47483</v>
      </c>
      <c r="I12" s="125">
        <f>EOMONTH(H12,12)</f>
        <v>47848</v>
      </c>
    </row>
    <row r="13" spans="2:10" x14ac:dyDescent="0.25">
      <c r="B13" s="55"/>
      <c r="D13" s="96"/>
      <c r="E13" s="100"/>
      <c r="F13" s="100"/>
      <c r="G13" s="100"/>
      <c r="H13" s="100"/>
      <c r="I13" s="99"/>
    </row>
    <row r="14" spans="2:10" x14ac:dyDescent="0.25">
      <c r="B14" s="39" t="s">
        <v>59</v>
      </c>
      <c r="C14" s="92"/>
      <c r="D14" s="97">
        <f>FSM!I37</f>
        <v>82258815000</v>
      </c>
      <c r="E14" s="97">
        <f>FSM!J37</f>
        <v>73606872684.043564</v>
      </c>
      <c r="F14" s="97">
        <f>FSM!K37</f>
        <v>77006681760.548523</v>
      </c>
      <c r="G14" s="97">
        <f>FSM!L37</f>
        <v>79389944573.365662</v>
      </c>
      <c r="H14" s="97">
        <f>FSM!M37</f>
        <v>83057768456.837708</v>
      </c>
      <c r="I14" s="97">
        <f>FSM!N37</f>
        <v>87345489951.417603</v>
      </c>
    </row>
    <row r="15" spans="2:10" x14ac:dyDescent="0.25">
      <c r="B15" s="59" t="s">
        <v>14</v>
      </c>
      <c r="D15" s="98"/>
      <c r="E15" s="98">
        <f>E14/D14-1</f>
        <v>-0.1051795156051839</v>
      </c>
      <c r="F15" s="98">
        <f t="shared" ref="F15:I15" si="0">F14/E14-1</f>
        <v>4.6188745052361924E-2</v>
      </c>
      <c r="G15" s="98">
        <f t="shared" si="0"/>
        <v>3.094877948679664E-2</v>
      </c>
      <c r="H15" s="98">
        <f t="shared" si="0"/>
        <v>4.6200106363376348E-2</v>
      </c>
      <c r="I15" s="98">
        <f t="shared" si="0"/>
        <v>5.162336496926323E-2</v>
      </c>
    </row>
    <row r="16" spans="2:10" x14ac:dyDescent="0.25">
      <c r="B16" s="59"/>
      <c r="D16" s="98"/>
      <c r="E16" s="98"/>
      <c r="F16" s="98"/>
      <c r="G16" s="98"/>
      <c r="H16" s="98"/>
      <c r="I16" s="98"/>
    </row>
    <row r="17" spans="2:13" x14ac:dyDescent="0.25">
      <c r="B17" s="39" t="s">
        <v>327</v>
      </c>
      <c r="C17" s="92"/>
      <c r="D17" s="230"/>
      <c r="E17" s="230">
        <f>FSM!J223</f>
        <v>0.25</v>
      </c>
      <c r="F17" s="230">
        <f>FSM!K223</f>
        <v>0.3</v>
      </c>
      <c r="G17" s="230">
        <f>FSM!L223</f>
        <v>0.35</v>
      </c>
      <c r="H17" s="230">
        <f>FSM!M223</f>
        <v>0.39999999999999997</v>
      </c>
      <c r="I17" s="230">
        <f>FSM!N223</f>
        <v>0.44999999999999996</v>
      </c>
    </row>
    <row r="18" spans="2:13" x14ac:dyDescent="0.25">
      <c r="C18" s="92"/>
      <c r="D18" s="97"/>
      <c r="E18" s="97"/>
      <c r="F18" s="97"/>
      <c r="G18" s="97"/>
      <c r="H18" s="97"/>
      <c r="I18" s="97"/>
    </row>
    <row r="19" spans="2:13" s="60" customFormat="1" x14ac:dyDescent="0.25">
      <c r="B19" s="60" t="s">
        <v>328</v>
      </c>
      <c r="C19" s="229"/>
      <c r="D19" s="231">
        <f>-FSM!I211</f>
        <v>14714434000</v>
      </c>
      <c r="E19" s="231">
        <f t="shared" ref="E19:I19" si="1">E14*E17</f>
        <v>18401718171.010891</v>
      </c>
      <c r="F19" s="231">
        <f t="shared" si="1"/>
        <v>23102004528.164555</v>
      </c>
      <c r="G19" s="231">
        <f t="shared" si="1"/>
        <v>27786480600.677979</v>
      </c>
      <c r="H19" s="231">
        <f t="shared" si="1"/>
        <v>33223107382.735081</v>
      </c>
      <c r="I19" s="231">
        <f t="shared" si="1"/>
        <v>39305470478.137917</v>
      </c>
    </row>
    <row r="20" spans="2:13" x14ac:dyDescent="0.25">
      <c r="E20" s="48"/>
      <c r="F20" s="48"/>
      <c r="G20" s="48"/>
      <c r="H20" s="48"/>
      <c r="I20" s="48"/>
      <c r="J20" s="58"/>
      <c r="K20" s="63"/>
      <c r="M20" s="48"/>
    </row>
    <row r="21" spans="2:13" x14ac:dyDescent="0.25">
      <c r="B21" s="50" t="str">
        <f>"Present Value of Dividends on "&amp;TEXT(D7,"mmm dd, yyyy")&amp;" valuation date"</f>
        <v>Present Value of Dividends on Sep 07, 2026 valuation date</v>
      </c>
      <c r="C21" s="51"/>
      <c r="D21" s="64"/>
      <c r="E21" s="51"/>
      <c r="F21" s="64"/>
      <c r="G21" s="64"/>
      <c r="H21" s="64"/>
      <c r="I21" s="64"/>
      <c r="J21" s="58"/>
    </row>
    <row r="22" spans="2:13" ht="17.25" customHeight="1" x14ac:dyDescent="0.4">
      <c r="B22" s="60"/>
      <c r="D22" s="65" t="s">
        <v>16</v>
      </c>
      <c r="E22" s="65" t="s">
        <v>17</v>
      </c>
      <c r="F22" s="66" t="s">
        <v>18</v>
      </c>
      <c r="G22" s="66" t="s">
        <v>19</v>
      </c>
      <c r="H22" s="66" t="s">
        <v>20</v>
      </c>
      <c r="I22" s="66" t="s">
        <v>21</v>
      </c>
      <c r="J22" s="58"/>
    </row>
    <row r="23" spans="2:13" x14ac:dyDescent="0.25">
      <c r="B23" s="39" t="s">
        <v>22</v>
      </c>
      <c r="D23" s="67">
        <f>D7</f>
        <v>46272</v>
      </c>
      <c r="E23" s="93">
        <f>IF($H$9=1,AVERAGE(E12,D23),E12)</f>
        <v>46329.5</v>
      </c>
      <c r="F23" s="93">
        <f>IF($H$9=1,AVERAGE(F12,E12),F12)</f>
        <v>46569.5</v>
      </c>
      <c r="G23" s="93">
        <f>IF($H$9=1,AVERAGE(G12,F12),G12)</f>
        <v>46935</v>
      </c>
      <c r="H23" s="93">
        <f>IF($H$9=1,AVERAGE(H12,G12),H12)</f>
        <v>47300.5</v>
      </c>
      <c r="I23" s="93">
        <f>IF($H$9=1,AVERAGE(I12,H12),I12)</f>
        <v>47665.5</v>
      </c>
      <c r="J23" s="58"/>
    </row>
    <row r="24" spans="2:13" x14ac:dyDescent="0.25">
      <c r="B24" s="39" t="s">
        <v>331</v>
      </c>
      <c r="C24" s="68">
        <f>D8</f>
        <v>0.31666666666666665</v>
      </c>
      <c r="D24" s="62"/>
      <c r="E24" s="69">
        <f>E19*C24</f>
        <v>5827210754.1534481</v>
      </c>
      <c r="F24" s="69">
        <f>F19</f>
        <v>23102004528.164555</v>
      </c>
      <c r="G24" s="69">
        <f t="shared" ref="G24:I24" si="2">G19</f>
        <v>27786480600.677979</v>
      </c>
      <c r="H24" s="69">
        <f t="shared" si="2"/>
        <v>33223107382.735081</v>
      </c>
      <c r="I24" s="69">
        <f t="shared" si="2"/>
        <v>39305470478.137917</v>
      </c>
      <c r="J24" s="57"/>
    </row>
    <row r="25" spans="2:13" ht="15" customHeight="1" x14ac:dyDescent="0.25">
      <c r="B25" s="60" t="s">
        <v>332</v>
      </c>
      <c r="C25" s="70"/>
      <c r="D25" s="61"/>
      <c r="E25" s="61">
        <f>E24/(1+$H$4)^((E23-$D$23)/365)</f>
        <v>5699585708.5628061</v>
      </c>
      <c r="F25" s="61">
        <f t="shared" ref="F25:I25" si="3">F24/(1+$H$4)^((F23-$D$23)/365)</f>
        <v>20601074991.732857</v>
      </c>
      <c r="G25" s="61">
        <f t="shared" si="3"/>
        <v>21524859011.471153</v>
      </c>
      <c r="H25" s="61">
        <f t="shared" si="3"/>
        <v>22357002549.053764</v>
      </c>
      <c r="I25" s="61">
        <f t="shared" si="3"/>
        <v>22981401455.61121</v>
      </c>
      <c r="J25" s="57"/>
    </row>
    <row r="27" spans="2:13" x14ac:dyDescent="0.25">
      <c r="B27" s="50" t="s">
        <v>23</v>
      </c>
      <c r="C27" s="50"/>
    </row>
    <row r="28" spans="2:13" x14ac:dyDescent="0.25">
      <c r="B28" s="39" t="s">
        <v>24</v>
      </c>
      <c r="C28" s="71">
        <v>0.1</v>
      </c>
      <c r="E28" s="62"/>
    </row>
    <row r="29" spans="2:13" x14ac:dyDescent="0.25">
      <c r="B29" s="72" t="s">
        <v>333</v>
      </c>
      <c r="C29" s="62">
        <f>I24*(1+C28)</f>
        <v>43236017525.951714</v>
      </c>
      <c r="E29" s="73"/>
    </row>
    <row r="30" spans="2:13" x14ac:dyDescent="0.25">
      <c r="B30" s="39" t="str">
        <f>"Terminal value in "&amp;YEAR(I12)</f>
        <v>Terminal value in 2030</v>
      </c>
      <c r="C30" s="62">
        <f>C29/(H4-C28)</f>
        <v>848890245226.05896</v>
      </c>
      <c r="E30" s="62"/>
    </row>
    <row r="31" spans="2:13" x14ac:dyDescent="0.25">
      <c r="B31" s="39" t="s">
        <v>25</v>
      </c>
      <c r="C31" s="62">
        <f>C30/(1+$H$4)^((I23-$D$23)/365)</f>
        <v>496335173704.21069</v>
      </c>
      <c r="E31" s="62"/>
    </row>
    <row r="32" spans="2:13" x14ac:dyDescent="0.25">
      <c r="B32" s="233" t="s">
        <v>334</v>
      </c>
      <c r="C32" s="57">
        <f>SUM(E25:I25)</f>
        <v>93163923716.431793</v>
      </c>
      <c r="E32" s="62"/>
    </row>
    <row r="33" spans="2:10" x14ac:dyDescent="0.25">
      <c r="B33" s="60" t="s">
        <v>335</v>
      </c>
      <c r="C33" s="74">
        <f>SUM(C31:C32)</f>
        <v>589499097420.64246</v>
      </c>
      <c r="E33" s="74"/>
    </row>
    <row r="35" spans="2:10" x14ac:dyDescent="0.25">
      <c r="B35" s="50" t="s">
        <v>38</v>
      </c>
      <c r="C35" s="83"/>
      <c r="E35" s="50" t="s">
        <v>26</v>
      </c>
      <c r="F35" s="51"/>
      <c r="G35" s="50"/>
      <c r="H35" s="51"/>
      <c r="I35" s="51"/>
    </row>
    <row r="36" spans="2:10" ht="17.25" x14ac:dyDescent="0.4">
      <c r="C36" s="237"/>
      <c r="D36" s="237"/>
    </row>
    <row r="37" spans="2:10" x14ac:dyDescent="0.25">
      <c r="B37" s="39" t="s">
        <v>39</v>
      </c>
      <c r="C37" s="82">
        <f>C33</f>
        <v>589499097420.64246</v>
      </c>
      <c r="D37" s="82"/>
      <c r="G37" s="76" t="s">
        <v>27</v>
      </c>
      <c r="H37" s="77" t="s">
        <v>30</v>
      </c>
      <c r="I37" s="77" t="s">
        <v>31</v>
      </c>
    </row>
    <row r="38" spans="2:10" x14ac:dyDescent="0.25">
      <c r="B38" s="39" t="s">
        <v>26</v>
      </c>
      <c r="C38" s="83">
        <f>I43</f>
        <v>3414759000</v>
      </c>
      <c r="D38" s="238"/>
      <c r="E38" s="39" t="s">
        <v>32</v>
      </c>
      <c r="G38" s="106" t="s">
        <v>28</v>
      </c>
      <c r="H38" s="46" t="s">
        <v>29</v>
      </c>
      <c r="I38" s="104">
        <v>3377936000</v>
      </c>
      <c r="J38" s="78"/>
    </row>
    <row r="39" spans="2:10" x14ac:dyDescent="0.25">
      <c r="B39" s="60" t="s">
        <v>40</v>
      </c>
      <c r="C39" s="84">
        <f>C37/C38</f>
        <v>172.63270919577118</v>
      </c>
      <c r="D39" s="84"/>
      <c r="E39" s="75" t="s">
        <v>33</v>
      </c>
      <c r="G39" s="106"/>
      <c r="H39" s="46"/>
      <c r="I39" s="104">
        <v>36823000</v>
      </c>
      <c r="J39" s="79"/>
    </row>
    <row r="40" spans="2:10" x14ac:dyDescent="0.25">
      <c r="C40" s="118"/>
      <c r="D40" s="118"/>
      <c r="E40" s="75" t="s">
        <v>35</v>
      </c>
      <c r="G40" s="46"/>
      <c r="H40" s="46"/>
      <c r="I40" s="102"/>
    </row>
    <row r="41" spans="2:10" ht="15" customHeight="1" x14ac:dyDescent="0.25">
      <c r="C41" s="164"/>
      <c r="D41" s="164"/>
      <c r="E41" s="39" t="s">
        <v>34</v>
      </c>
      <c r="G41" s="46"/>
      <c r="H41" s="46"/>
      <c r="I41" s="102"/>
    </row>
    <row r="42" spans="2:10" x14ac:dyDescent="0.25">
      <c r="B42" s="236"/>
      <c r="C42" s="235"/>
      <c r="E42" s="39" t="s">
        <v>36</v>
      </c>
      <c r="G42" s="46"/>
      <c r="H42" s="46"/>
      <c r="I42" s="102"/>
    </row>
    <row r="43" spans="2:10" ht="15" customHeight="1" x14ac:dyDescent="0.25">
      <c r="B43" s="234"/>
      <c r="C43" s="235"/>
      <c r="E43" s="80" t="s">
        <v>37</v>
      </c>
      <c r="I43" s="105">
        <f>SUM(I38:I42)</f>
        <v>3414759000</v>
      </c>
      <c r="J43" s="81"/>
    </row>
  </sheetData>
  <conditionalFormatting sqref="I8">
    <cfRule type="expression" dxfId="3" priority="1">
      <formula>$I8="SELL"</formula>
    </cfRule>
    <cfRule type="expression" dxfId="2" priority="2">
      <formula>$I8="HOLD"</formula>
    </cfRule>
    <cfRule type="expression" dxfId="1" priority="3">
      <formula>$I8="BUY"</formula>
    </cfRule>
  </conditionalFormatting>
  <dataValidations count="1">
    <dataValidation type="list" allowBlank="1" showInputMessage="1" showErrorMessage="1" sqref="H9" xr:uid="{D4994571-E04C-4EBB-8CB0-BF1B4D036F74}">
      <formula1>"0,1"</formula1>
    </dataValidation>
  </dataValidation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6"/>
  <sheetViews>
    <sheetView zoomScaleNormal="100" workbookViewId="0">
      <selection activeCell="C10" sqref="C10"/>
    </sheetView>
  </sheetViews>
  <sheetFormatPr defaultColWidth="9.140625" defaultRowHeight="15" x14ac:dyDescent="0.25"/>
  <cols>
    <col min="1" max="1" width="1.42578125" style="39" customWidth="1"/>
    <col min="2" max="2" width="50.28515625" style="39" customWidth="1"/>
    <col min="3" max="3" width="15.5703125" style="39" bestFit="1" customWidth="1"/>
    <col min="4" max="4" width="12.7109375" style="39" customWidth="1"/>
    <col min="5" max="5" width="16.85546875" style="39" customWidth="1"/>
    <col min="6" max="6" width="18" style="39" bestFit="1" customWidth="1"/>
    <col min="7" max="7" width="18.7109375" style="39" bestFit="1" customWidth="1"/>
    <col min="8" max="9" width="12.7109375" style="39" customWidth="1"/>
    <col min="10" max="10" width="1.7109375" style="39" customWidth="1"/>
    <col min="11" max="11" width="11" style="39" bestFit="1" customWidth="1"/>
    <col min="12" max="16" width="9.42578125" style="39" customWidth="1"/>
    <col min="17" max="17" width="9.140625" style="39" customWidth="1"/>
    <col min="18" max="16384" width="9.140625" style="39"/>
  </cols>
  <sheetData>
    <row r="1" spans="2:9" ht="15.75" customHeight="1" thickBot="1" x14ac:dyDescent="0.3"/>
    <row r="2" spans="2:9" ht="15.75" customHeight="1" thickBot="1" x14ac:dyDescent="0.3">
      <c r="B2" s="40" t="s">
        <v>216</v>
      </c>
      <c r="C2" s="41"/>
      <c r="D2" s="41"/>
      <c r="E2" s="41"/>
      <c r="F2" s="41"/>
      <c r="G2" s="41"/>
      <c r="H2" s="41"/>
      <c r="I2" s="41"/>
    </row>
    <row r="3" spans="2:9" x14ac:dyDescent="0.25">
      <c r="B3" s="42" t="str">
        <f>FSM!C3</f>
        <v>All amounts are shown in EGP, except per-share data, ratios, and shares outstanding</v>
      </c>
    </row>
    <row r="4" spans="2:9" ht="15" customHeight="1" x14ac:dyDescent="0.25">
      <c r="B4" s="86" t="s">
        <v>329</v>
      </c>
      <c r="C4" s="87"/>
      <c r="D4" s="87"/>
      <c r="E4" s="88"/>
      <c r="F4" s="89"/>
    </row>
    <row r="5" spans="2:9" x14ac:dyDescent="0.25">
      <c r="E5" s="76"/>
    </row>
    <row r="6" spans="2:9" x14ac:dyDescent="0.25">
      <c r="B6" s="39" t="s">
        <v>69</v>
      </c>
      <c r="C6" s="139">
        <f>23.06%*(1-H29)</f>
        <v>0.17871500000000001</v>
      </c>
      <c r="D6" s="112"/>
      <c r="E6" s="112"/>
    </row>
    <row r="7" spans="2:9" x14ac:dyDescent="0.25">
      <c r="B7" s="39" t="s">
        <v>70</v>
      </c>
      <c r="C7" s="169">
        <f>IF(C21="Observed",(2/3)*C23+(1/3),C24)</f>
        <v>0.70666666666666667</v>
      </c>
    </row>
    <row r="8" spans="2:9" ht="15" customHeight="1" x14ac:dyDescent="0.25">
      <c r="B8" s="39" t="s">
        <v>71</v>
      </c>
      <c r="C8" s="232">
        <v>0.1394</v>
      </c>
      <c r="D8" s="112"/>
    </row>
    <row r="10" spans="2:9" x14ac:dyDescent="0.25">
      <c r="B10" s="90" t="s">
        <v>216</v>
      </c>
      <c r="C10" s="91">
        <f>C6+C7*(C8-C6)</f>
        <v>0.15093239999999999</v>
      </c>
    </row>
    <row r="11" spans="2:9" x14ac:dyDescent="0.25">
      <c r="B11" s="59"/>
      <c r="C11" s="79"/>
    </row>
    <row r="12" spans="2:9" x14ac:dyDescent="0.25">
      <c r="B12" s="28" t="s">
        <v>330</v>
      </c>
      <c r="C12" s="29"/>
      <c r="D12" s="29"/>
      <c r="E12" s="29"/>
      <c r="F12" s="29"/>
    </row>
    <row r="13" spans="2:9" x14ac:dyDescent="0.25">
      <c r="D13" s="140" t="s">
        <v>72</v>
      </c>
      <c r="E13" s="141"/>
      <c r="F13" s="140"/>
    </row>
    <row r="14" spans="2:9" x14ac:dyDescent="0.25">
      <c r="C14" s="142">
        <f>C10</f>
        <v>0.15093239999999999</v>
      </c>
      <c r="D14" s="143">
        <f>E14-0.1</f>
        <v>0.60666666666666669</v>
      </c>
      <c r="E14" s="144">
        <v>0.70666666666666667</v>
      </c>
      <c r="F14" s="145">
        <f>E14+0.1</f>
        <v>0.80666666666666664</v>
      </c>
    </row>
    <row r="15" spans="2:9" x14ac:dyDescent="0.25">
      <c r="C15" s="146">
        <f>C16-0.005</f>
        <v>4.5000000000000005E-2</v>
      </c>
      <c r="D15" s="147">
        <f t="dataTable" ref="D15:F19" dt2D="1" dtr="1" r1="C7" r2="C8"/>
        <v>9.7594566666666674E-2</v>
      </c>
      <c r="E15" s="148">
        <v>8.4223066666666679E-2</v>
      </c>
      <c r="F15" s="148">
        <v>7.0851566666666685E-2</v>
      </c>
    </row>
    <row r="16" spans="2:9" x14ac:dyDescent="0.25">
      <c r="B16" s="149" t="s">
        <v>73</v>
      </c>
      <c r="C16" s="146">
        <f>C17-0.005</f>
        <v>0.05</v>
      </c>
      <c r="D16" s="148">
        <v>0.10062789999999999</v>
      </c>
      <c r="E16" s="148">
        <v>8.7756399999999998E-2</v>
      </c>
      <c r="F16" s="148">
        <v>7.488489999999999E-2</v>
      </c>
    </row>
    <row r="17" spans="2:9" x14ac:dyDescent="0.25">
      <c r="B17" s="149" t="s">
        <v>74</v>
      </c>
      <c r="C17" s="150">
        <v>5.5E-2</v>
      </c>
      <c r="D17" s="148">
        <v>0.10366123333333334</v>
      </c>
      <c r="E17" s="148">
        <v>9.1289733333333331E-2</v>
      </c>
      <c r="F17" s="148">
        <v>7.8918233333333337E-2</v>
      </c>
    </row>
    <row r="18" spans="2:9" x14ac:dyDescent="0.25">
      <c r="B18" s="149" t="s">
        <v>75</v>
      </c>
      <c r="C18" s="146">
        <f>C17+0.005</f>
        <v>0.06</v>
      </c>
      <c r="D18" s="148">
        <v>0.10669456666666667</v>
      </c>
      <c r="E18" s="148">
        <v>9.4823066666666664E-2</v>
      </c>
      <c r="F18" s="148">
        <v>8.2951566666666671E-2</v>
      </c>
    </row>
    <row r="19" spans="2:9" x14ac:dyDescent="0.25">
      <c r="C19" s="146">
        <f>C18+0.005</f>
        <v>6.5000000000000002E-2</v>
      </c>
      <c r="D19" s="148">
        <v>0.1097279</v>
      </c>
      <c r="E19" s="148">
        <v>9.835640000000001E-2</v>
      </c>
      <c r="F19" s="148">
        <v>8.6984900000000004E-2</v>
      </c>
    </row>
    <row r="20" spans="2:9" x14ac:dyDescent="0.25">
      <c r="C20" s="151"/>
      <c r="D20" s="148"/>
      <c r="E20" s="148"/>
      <c r="F20" s="148"/>
    </row>
    <row r="21" spans="2:9" x14ac:dyDescent="0.25">
      <c r="B21" t="s">
        <v>76</v>
      </c>
      <c r="C21" s="152" t="s">
        <v>77</v>
      </c>
    </row>
    <row r="23" spans="2:9" x14ac:dyDescent="0.25">
      <c r="B23" s="153" t="s">
        <v>77</v>
      </c>
      <c r="C23" s="160">
        <v>0.56000000000000005</v>
      </c>
    </row>
    <row r="24" spans="2:9" x14ac:dyDescent="0.25">
      <c r="B24" s="153" t="s">
        <v>78</v>
      </c>
      <c r="C24" s="160">
        <f>C36</f>
        <v>0.55249999999999999</v>
      </c>
    </row>
    <row r="26" spans="2:9" x14ac:dyDescent="0.25">
      <c r="B26" s="28" t="s">
        <v>78</v>
      </c>
      <c r="C26" s="28"/>
      <c r="D26" s="29"/>
      <c r="E26" s="29"/>
      <c r="F26" s="29"/>
      <c r="G26" s="29"/>
      <c r="H26" s="29"/>
      <c r="I26" s="29"/>
    </row>
    <row r="27" spans="2:9" x14ac:dyDescent="0.25">
      <c r="H27" s="155"/>
    </row>
    <row r="28" spans="2:9" ht="15.75" customHeight="1" thickBot="1" x14ac:dyDescent="0.3">
      <c r="C28" s="156" t="s">
        <v>79</v>
      </c>
      <c r="D28" s="156" t="s">
        <v>80</v>
      </c>
      <c r="E28" s="156" t="s">
        <v>81</v>
      </c>
      <c r="F28" s="156" t="s">
        <v>82</v>
      </c>
      <c r="G28" s="157" t="s">
        <v>83</v>
      </c>
      <c r="H28" s="156" t="s">
        <v>15</v>
      </c>
      <c r="I28" s="156" t="s">
        <v>84</v>
      </c>
    </row>
    <row r="29" spans="2:9" x14ac:dyDescent="0.25">
      <c r="B29" s="193" t="s">
        <v>373</v>
      </c>
      <c r="C29" s="161">
        <v>0.45</v>
      </c>
      <c r="D29" s="256">
        <v>24.5</v>
      </c>
      <c r="E29" s="103">
        <v>1250000000</v>
      </c>
      <c r="F29" s="103">
        <f>E29*D29</f>
        <v>30625000000</v>
      </c>
      <c r="G29" s="103">
        <v>0</v>
      </c>
      <c r="H29" s="162">
        <v>0.22500000000000001</v>
      </c>
      <c r="I29" s="95">
        <f>C29/(1+(1-H29)*(G29/F29))</f>
        <v>0.45</v>
      </c>
    </row>
    <row r="30" spans="2:9" x14ac:dyDescent="0.25">
      <c r="B30" s="193" t="s">
        <v>374</v>
      </c>
      <c r="C30" s="161">
        <v>0.38</v>
      </c>
      <c r="D30" s="256">
        <v>33.5</v>
      </c>
      <c r="E30" s="103">
        <v>2235178000</v>
      </c>
      <c r="F30" s="103">
        <f t="shared" ref="F30:F33" si="0">E30*D30</f>
        <v>74878463000</v>
      </c>
      <c r="G30" s="103">
        <v>0</v>
      </c>
      <c r="H30" s="162">
        <v>0.22500000000000001</v>
      </c>
      <c r="I30" s="95">
        <f t="shared" ref="I30:I32" si="1">C30/(1+(1-H30)*(G30/F30))</f>
        <v>0.38</v>
      </c>
    </row>
    <row r="31" spans="2:9" x14ac:dyDescent="0.25">
      <c r="B31" s="193" t="s">
        <v>375</v>
      </c>
      <c r="C31" s="161">
        <v>0.73</v>
      </c>
      <c r="D31" s="256">
        <v>52.05</v>
      </c>
      <c r="E31" s="103">
        <v>1500000000</v>
      </c>
      <c r="F31" s="103">
        <f t="shared" si="0"/>
        <v>78075000000</v>
      </c>
      <c r="G31" s="103">
        <v>0</v>
      </c>
      <c r="H31" s="162">
        <v>0.22500000000000001</v>
      </c>
      <c r="I31" s="95">
        <f t="shared" si="1"/>
        <v>0.73</v>
      </c>
    </row>
    <row r="32" spans="2:9" x14ac:dyDescent="0.25">
      <c r="B32" s="39" t="s">
        <v>376</v>
      </c>
      <c r="C32" s="161">
        <v>0.65</v>
      </c>
      <c r="D32" s="256">
        <v>96.4</v>
      </c>
      <c r="E32" s="103">
        <v>531300000</v>
      </c>
      <c r="F32" s="103">
        <f t="shared" si="0"/>
        <v>51217320000</v>
      </c>
      <c r="G32" s="103">
        <v>0</v>
      </c>
      <c r="H32" s="162">
        <v>0.22500000000000001</v>
      </c>
      <c r="I32" s="95">
        <f t="shared" si="1"/>
        <v>0.65</v>
      </c>
    </row>
    <row r="33" spans="2:9" x14ac:dyDescent="0.25">
      <c r="B33" s="257" t="s">
        <v>377</v>
      </c>
      <c r="C33" s="161">
        <v>0.56000000000000005</v>
      </c>
      <c r="D33" s="256">
        <v>140.07</v>
      </c>
      <c r="E33" s="103">
        <v>3414759000</v>
      </c>
      <c r="F33" s="103">
        <f t="shared" si="0"/>
        <v>478305293130</v>
      </c>
      <c r="G33" s="103">
        <v>0</v>
      </c>
      <c r="H33" s="162">
        <v>0.22500000000000001</v>
      </c>
      <c r="I33" s="95"/>
    </row>
    <row r="34" spans="2:9" x14ac:dyDescent="0.25">
      <c r="C34" s="154"/>
      <c r="F34" s="158"/>
      <c r="G34" s="158"/>
      <c r="H34" s="158"/>
      <c r="I34" s="159"/>
    </row>
    <row r="35" spans="2:9" x14ac:dyDescent="0.25">
      <c r="B35" t="s">
        <v>85</v>
      </c>
      <c r="C35" s="95">
        <f>AVERAGE(I29:I32)</f>
        <v>0.55249999999999999</v>
      </c>
    </row>
    <row r="36" spans="2:9" x14ac:dyDescent="0.25">
      <c r="B36" s="122" t="str">
        <f>FSM!Company_Name&amp;" beta"</f>
        <v>Commercial International Bank - Egypt - CIB S.A.E beta</v>
      </c>
      <c r="C36" s="163">
        <f>C35*(1+(1-H33)*(G33/F33))</f>
        <v>0.55249999999999999</v>
      </c>
    </row>
  </sheetData>
  <conditionalFormatting sqref="B11:C13">
    <cfRule type="expression" dxfId="0" priority="1">
      <formula>#REF!="Industry"</formula>
    </cfRule>
  </conditionalFormatting>
  <dataValidations count="1">
    <dataValidation type="list" allowBlank="1" showInputMessage="1" showErrorMessage="1" sqref="C21" xr:uid="{00000000-0002-0000-0200-000000000000}">
      <formula1>"Industry, Observed"</formula1>
    </dataValidation>
  </dataValidations>
  <pageMargins left="0.7" right="0.7" top="0.75" bottom="0.75" header="0.3" footer="0.3"/>
  <pageSetup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CE90-F6E2-454D-A2F3-2AF81EFF437C}">
  <dimension ref="B1:I77"/>
  <sheetViews>
    <sheetView showGridLines="0" topLeftCell="A48" zoomScaleNormal="100" workbookViewId="0">
      <selection activeCell="E66" sqref="E66"/>
    </sheetView>
  </sheetViews>
  <sheetFormatPr defaultRowHeight="15" x14ac:dyDescent="0.25"/>
  <cols>
    <col min="1" max="1" width="2" style="6" customWidth="1"/>
    <col min="2" max="2" width="38" style="6" customWidth="1"/>
    <col min="3" max="7" width="18.7109375" style="6" customWidth="1"/>
    <col min="8" max="8" width="2" style="6" customWidth="1"/>
    <col min="9" max="9" width="46" style="6" customWidth="1"/>
    <col min="10" max="16384" width="9.140625" style="6"/>
  </cols>
  <sheetData>
    <row r="1" spans="2:9" ht="15.75" thickBot="1" x14ac:dyDescent="0.3"/>
    <row r="2" spans="2:9" s="179" customFormat="1" ht="15.75" customHeight="1" thickBot="1" x14ac:dyDescent="0.3">
      <c r="B2" s="177" t="s">
        <v>97</v>
      </c>
      <c r="C2" s="178"/>
    </row>
    <row r="3" spans="2:9" x14ac:dyDescent="0.25">
      <c r="B3" s="180"/>
    </row>
    <row r="4" spans="2:9" x14ac:dyDescent="0.25">
      <c r="B4" s="33" t="s">
        <v>98</v>
      </c>
      <c r="C4" s="181">
        <v>46272</v>
      </c>
      <c r="I4" s="180"/>
    </row>
    <row r="6" spans="2:9" x14ac:dyDescent="0.25">
      <c r="B6" s="182" t="s">
        <v>99</v>
      </c>
      <c r="C6" s="183"/>
      <c r="D6" s="183"/>
      <c r="E6" s="183"/>
      <c r="F6" s="183"/>
      <c r="G6" s="183"/>
    </row>
    <row r="7" spans="2:9" x14ac:dyDescent="0.25">
      <c r="B7" s="27" t="s">
        <v>45</v>
      </c>
      <c r="C7" s="184" t="s">
        <v>349</v>
      </c>
      <c r="D7" s="184" t="s">
        <v>351</v>
      </c>
      <c r="E7" s="184" t="s">
        <v>353</v>
      </c>
      <c r="F7" s="184" t="s">
        <v>356</v>
      </c>
      <c r="G7" s="184" t="s">
        <v>352</v>
      </c>
    </row>
    <row r="8" spans="2:9" x14ac:dyDescent="0.25">
      <c r="B8" s="27" t="s">
        <v>100</v>
      </c>
      <c r="C8" s="185" t="s">
        <v>348</v>
      </c>
      <c r="D8" s="185" t="s">
        <v>350</v>
      </c>
      <c r="E8" s="185" t="s">
        <v>354</v>
      </c>
      <c r="F8" s="185" t="s">
        <v>355</v>
      </c>
      <c r="G8" s="185" t="s">
        <v>357</v>
      </c>
    </row>
    <row r="9" spans="2:9" x14ac:dyDescent="0.25">
      <c r="B9" s="27" t="s">
        <v>101</v>
      </c>
      <c r="C9" s="184" t="s">
        <v>347</v>
      </c>
      <c r="D9" s="184" t="s">
        <v>347</v>
      </c>
      <c r="E9" s="184" t="s">
        <v>347</v>
      </c>
      <c r="F9" s="184" t="s">
        <v>347</v>
      </c>
      <c r="G9" s="184" t="s">
        <v>347</v>
      </c>
    </row>
    <row r="10" spans="2:9" x14ac:dyDescent="0.25">
      <c r="B10" s="27" t="s">
        <v>102</v>
      </c>
      <c r="C10" s="181">
        <v>46022</v>
      </c>
      <c r="D10" s="181">
        <v>46022</v>
      </c>
      <c r="E10" s="181">
        <v>46022</v>
      </c>
      <c r="F10" s="181">
        <v>46022</v>
      </c>
      <c r="G10" s="181">
        <v>46022</v>
      </c>
    </row>
    <row r="11" spans="2:9" x14ac:dyDescent="0.25">
      <c r="B11" s="27" t="s">
        <v>103</v>
      </c>
      <c r="C11" s="244">
        <v>24.5</v>
      </c>
      <c r="D11" s="186">
        <v>33.5</v>
      </c>
      <c r="E11" s="186">
        <v>52.05</v>
      </c>
      <c r="F11" s="186">
        <v>96.4</v>
      </c>
      <c r="G11" s="186">
        <v>140.07</v>
      </c>
      <c r="I11" s="180"/>
    </row>
    <row r="12" spans="2:9" x14ac:dyDescent="0.25">
      <c r="B12" s="253" t="s">
        <v>104</v>
      </c>
      <c r="C12" s="255">
        <f>$C$4</f>
        <v>46272</v>
      </c>
      <c r="D12" s="255">
        <f t="shared" ref="D12:G12" si="0">$C$4</f>
        <v>46272</v>
      </c>
      <c r="E12" s="255">
        <f t="shared" si="0"/>
        <v>46272</v>
      </c>
      <c r="F12" s="255">
        <f t="shared" si="0"/>
        <v>46272</v>
      </c>
      <c r="G12" s="255">
        <f t="shared" si="0"/>
        <v>46272</v>
      </c>
    </row>
    <row r="14" spans="2:9" x14ac:dyDescent="0.25">
      <c r="B14" s="182" t="s">
        <v>105</v>
      </c>
      <c r="C14" s="183"/>
      <c r="D14" s="183"/>
      <c r="E14" s="183"/>
      <c r="F14" s="183"/>
      <c r="G14" s="183"/>
    </row>
    <row r="15" spans="2:9" x14ac:dyDescent="0.25">
      <c r="B15" s="27" t="s">
        <v>106</v>
      </c>
      <c r="C15" s="188">
        <v>1250000000</v>
      </c>
      <c r="D15" s="188">
        <v>2235178000</v>
      </c>
      <c r="E15" s="188">
        <v>1500000000</v>
      </c>
      <c r="F15" s="188">
        <v>531300000</v>
      </c>
      <c r="G15" s="187">
        <v>3377936000</v>
      </c>
    </row>
    <row r="16" spans="2:9" x14ac:dyDescent="0.25">
      <c r="B16" s="27" t="s">
        <v>107</v>
      </c>
      <c r="C16" s="188">
        <v>0</v>
      </c>
      <c r="D16" s="188">
        <v>0</v>
      </c>
      <c r="E16" s="188">
        <v>0</v>
      </c>
      <c r="F16" s="188">
        <v>0</v>
      </c>
      <c r="G16" s="187">
        <v>36823000</v>
      </c>
      <c r="I16" s="180"/>
    </row>
    <row r="17" spans="2:7" x14ac:dyDescent="0.25">
      <c r="B17" s="33" t="s">
        <v>108</v>
      </c>
      <c r="C17" s="189">
        <f>SUM(C15:C16)</f>
        <v>1250000000</v>
      </c>
      <c r="D17" s="189">
        <f t="shared" ref="D17:G17" si="1">SUM(D15:D16)</f>
        <v>2235178000</v>
      </c>
      <c r="E17" s="189">
        <f t="shared" si="1"/>
        <v>1500000000</v>
      </c>
      <c r="F17" s="189">
        <f t="shared" si="1"/>
        <v>531300000</v>
      </c>
      <c r="G17" s="189">
        <f t="shared" si="1"/>
        <v>3414759000</v>
      </c>
    </row>
    <row r="19" spans="2:7" x14ac:dyDescent="0.25">
      <c r="B19" s="182" t="s">
        <v>109</v>
      </c>
      <c r="C19" s="183"/>
      <c r="D19" s="183"/>
      <c r="E19" s="183"/>
      <c r="F19" s="183"/>
      <c r="G19" s="183"/>
    </row>
    <row r="20" spans="2:7" x14ac:dyDescent="0.25">
      <c r="B20" s="27" t="s">
        <v>359</v>
      </c>
      <c r="C20" s="246">
        <v>4200000000</v>
      </c>
      <c r="D20" s="246">
        <v>18200000000</v>
      </c>
      <c r="E20" s="246">
        <v>6100000000</v>
      </c>
      <c r="F20" s="246">
        <v>2800000000</v>
      </c>
      <c r="G20" s="247">
        <f>FSM!I78</f>
        <v>3353746000</v>
      </c>
    </row>
    <row r="21" spans="2:7" x14ac:dyDescent="0.25">
      <c r="B21" s="27" t="s">
        <v>360</v>
      </c>
      <c r="C21" s="246">
        <v>0</v>
      </c>
      <c r="D21" s="246">
        <v>6300000000</v>
      </c>
      <c r="E21" s="246">
        <v>2300000000</v>
      </c>
      <c r="F21" s="246">
        <v>1300000000</v>
      </c>
      <c r="G21" s="247">
        <f>FSM!I85</f>
        <v>30471499000</v>
      </c>
    </row>
    <row r="22" spans="2:7" x14ac:dyDescent="0.25">
      <c r="B22" s="27" t="s">
        <v>361</v>
      </c>
      <c r="C22" s="246">
        <v>0</v>
      </c>
      <c r="D22" s="246">
        <v>0</v>
      </c>
      <c r="E22" s="246">
        <v>0</v>
      </c>
      <c r="F22" s="246">
        <v>0</v>
      </c>
      <c r="G22" s="247">
        <f>FSM!I84</f>
        <v>4761558000</v>
      </c>
    </row>
    <row r="23" spans="2:7" s="13" customFormat="1" x14ac:dyDescent="0.25">
      <c r="B23" s="33" t="s">
        <v>358</v>
      </c>
      <c r="C23" s="248">
        <f>SUM(C20:C22)</f>
        <v>4200000000</v>
      </c>
      <c r="D23" s="248">
        <f>SUM(D20:D22)</f>
        <v>24500000000</v>
      </c>
      <c r="E23" s="248">
        <f>SUM(E20:E22)</f>
        <v>8400000000</v>
      </c>
      <c r="F23" s="248">
        <f>SUM(F20:F22)</f>
        <v>4100000000</v>
      </c>
      <c r="G23" s="248">
        <f>SUM(G20:G22)</f>
        <v>38586803000</v>
      </c>
    </row>
    <row r="24" spans="2:7" s="13" customFormat="1" x14ac:dyDescent="0.25">
      <c r="B24" s="33" t="s">
        <v>362</v>
      </c>
      <c r="C24" s="249">
        <v>17000</v>
      </c>
      <c r="D24" s="249">
        <v>432695000</v>
      </c>
      <c r="E24" s="249">
        <v>185000000</v>
      </c>
      <c r="F24" s="249">
        <v>28500000</v>
      </c>
      <c r="G24" s="250">
        <f>FSM!I95</f>
        <v>27876000</v>
      </c>
    </row>
    <row r="25" spans="2:7" x14ac:dyDescent="0.25">
      <c r="B25" s="27" t="s">
        <v>365</v>
      </c>
      <c r="C25" s="246">
        <v>8250000000</v>
      </c>
      <c r="D25" s="246">
        <v>71189334000</v>
      </c>
      <c r="E25" s="246">
        <v>18650000000</v>
      </c>
      <c r="F25" s="246">
        <v>14200000000</v>
      </c>
      <c r="G25" s="247">
        <f>FSM!I58</f>
        <v>88876452000</v>
      </c>
    </row>
    <row r="26" spans="2:7" x14ac:dyDescent="0.25">
      <c r="B26" s="27" t="s">
        <v>308</v>
      </c>
      <c r="C26" s="246">
        <v>12150000000</v>
      </c>
      <c r="D26" s="246">
        <v>123439113000</v>
      </c>
      <c r="E26" s="246">
        <v>31450000000</v>
      </c>
      <c r="F26" s="246">
        <v>21500000000</v>
      </c>
      <c r="G26" s="247">
        <f>FSM!I59</f>
        <v>135236549000</v>
      </c>
    </row>
    <row r="27" spans="2:7" x14ac:dyDescent="0.25">
      <c r="B27" s="27" t="s">
        <v>366</v>
      </c>
      <c r="C27" s="246">
        <v>15400000000</v>
      </c>
      <c r="D27" s="246">
        <v>131405754000</v>
      </c>
      <c r="E27" s="246">
        <v>32400000000</v>
      </c>
      <c r="F27" s="246">
        <v>32300000000</v>
      </c>
      <c r="G27" s="246">
        <v>144059016000</v>
      </c>
    </row>
    <row r="28" spans="2:7" s="33" customFormat="1" x14ac:dyDescent="0.25">
      <c r="B28" s="33" t="s">
        <v>363</v>
      </c>
      <c r="C28" s="248">
        <f>SUM(C25:C27)</f>
        <v>35800000000</v>
      </c>
      <c r="D28" s="248">
        <f t="shared" ref="D28:F28" si="2">SUM(D25:D27)</f>
        <v>326034201000</v>
      </c>
      <c r="E28" s="248">
        <f t="shared" si="2"/>
        <v>82500000000</v>
      </c>
      <c r="F28" s="248">
        <f t="shared" si="2"/>
        <v>68000000000</v>
      </c>
      <c r="G28" s="248">
        <f>SUM(G25:G27)</f>
        <v>368172017000</v>
      </c>
    </row>
    <row r="29" spans="2:7" s="13" customFormat="1" x14ac:dyDescent="0.25">
      <c r="B29" s="33" t="s">
        <v>242</v>
      </c>
      <c r="C29" s="249">
        <v>110200000000</v>
      </c>
      <c r="D29" s="249">
        <v>620000000000</v>
      </c>
      <c r="E29" s="249">
        <v>233402000000</v>
      </c>
      <c r="F29" s="249">
        <v>180000000000</v>
      </c>
      <c r="G29" s="250">
        <f>FSM!I79</f>
        <v>1110395693000</v>
      </c>
    </row>
    <row r="30" spans="2:7" s="13" customFormat="1" x14ac:dyDescent="0.25">
      <c r="B30" s="33" t="s">
        <v>54</v>
      </c>
      <c r="C30" s="249">
        <v>128500000000</v>
      </c>
      <c r="D30" s="249">
        <v>742000000000</v>
      </c>
      <c r="E30" s="249">
        <v>332000000000</v>
      </c>
      <c r="F30" s="249">
        <v>230000000000</v>
      </c>
      <c r="G30" s="250">
        <f>FSM!I73</f>
        <v>1442494120000</v>
      </c>
    </row>
    <row r="31" spans="2:7" s="13" customFormat="1" x14ac:dyDescent="0.25">
      <c r="B31" s="33" t="s">
        <v>174</v>
      </c>
      <c r="C31" s="249">
        <v>21450000000</v>
      </c>
      <c r="D31" s="249">
        <v>71200000000</v>
      </c>
      <c r="E31" s="249">
        <v>34500000000</v>
      </c>
      <c r="F31" s="249">
        <v>32800000000</v>
      </c>
      <c r="G31" s="250">
        <f>FSM!I94</f>
        <v>231486342000</v>
      </c>
    </row>
    <row r="32" spans="2:7" s="13" customFormat="1" x14ac:dyDescent="0.25">
      <c r="B32" s="33" t="s">
        <v>364</v>
      </c>
      <c r="C32" s="249">
        <v>21450000000</v>
      </c>
      <c r="D32" s="249">
        <v>71200000000</v>
      </c>
      <c r="E32" s="249">
        <v>34500000000</v>
      </c>
      <c r="F32" s="249">
        <v>32800000000</v>
      </c>
      <c r="G32" s="250">
        <f>FSM!I94</f>
        <v>231486342000</v>
      </c>
    </row>
    <row r="34" spans="2:7" x14ac:dyDescent="0.25">
      <c r="B34" s="182" t="s">
        <v>110</v>
      </c>
      <c r="C34" s="183"/>
      <c r="D34" s="183"/>
      <c r="E34" s="183"/>
      <c r="F34" s="183"/>
      <c r="G34" s="183"/>
    </row>
    <row r="35" spans="2:7" x14ac:dyDescent="0.25">
      <c r="B35" s="33" t="s">
        <v>111</v>
      </c>
      <c r="C35" s="258">
        <f>C17*C11</f>
        <v>30625000000</v>
      </c>
      <c r="D35" s="258">
        <f>D17*D11</f>
        <v>74878463000</v>
      </c>
      <c r="E35" s="258">
        <f>E17*E11</f>
        <v>78075000000</v>
      </c>
      <c r="F35" s="258">
        <f>F17*F11</f>
        <v>51217320000</v>
      </c>
      <c r="G35" s="258">
        <f>G17*G11</f>
        <v>478305293130</v>
      </c>
    </row>
    <row r="37" spans="2:7" x14ac:dyDescent="0.25">
      <c r="B37" s="182" t="s">
        <v>123</v>
      </c>
      <c r="C37" s="183"/>
      <c r="D37" s="183"/>
      <c r="E37" s="183"/>
      <c r="F37" s="183"/>
      <c r="G37" s="183"/>
    </row>
    <row r="38" spans="2:7" x14ac:dyDescent="0.25">
      <c r="B38" s="27" t="s">
        <v>367</v>
      </c>
      <c r="C38" s="188">
        <v>11650000000</v>
      </c>
      <c r="D38" s="188">
        <v>34200000000</v>
      </c>
      <c r="E38" s="188">
        <v>21800000000</v>
      </c>
      <c r="F38" s="188">
        <v>26400000000</v>
      </c>
      <c r="G38" s="187">
        <f>FSM!I41</f>
        <v>119711453000</v>
      </c>
    </row>
    <row r="39" spans="2:7" x14ac:dyDescent="0.25">
      <c r="B39" s="27" t="s">
        <v>378</v>
      </c>
      <c r="C39" s="188">
        <v>8600000000</v>
      </c>
      <c r="D39" s="188">
        <v>25100000000</v>
      </c>
      <c r="E39" s="188">
        <v>16100000000</v>
      </c>
      <c r="F39" s="188">
        <v>21200000000</v>
      </c>
      <c r="G39" s="187">
        <f>FSM!I41+FSM!I25+FSM!I26</f>
        <v>102754351000</v>
      </c>
    </row>
    <row r="40" spans="2:7" x14ac:dyDescent="0.25">
      <c r="B40" s="27" t="s">
        <v>368</v>
      </c>
      <c r="C40" s="188">
        <v>9450000000</v>
      </c>
      <c r="D40" s="188">
        <v>29400000000</v>
      </c>
      <c r="E40" s="188">
        <v>16800000000</v>
      </c>
      <c r="F40" s="188">
        <v>22100000000</v>
      </c>
      <c r="G40" s="187">
        <f>FSM!I32</f>
        <v>111582021000</v>
      </c>
    </row>
    <row r="41" spans="2:7" x14ac:dyDescent="0.25">
      <c r="B41" s="27" t="s">
        <v>369</v>
      </c>
      <c r="C41" s="188">
        <v>6949000000</v>
      </c>
      <c r="D41" s="188">
        <v>21850000000</v>
      </c>
      <c r="E41" s="188">
        <v>12600000000</v>
      </c>
      <c r="F41" s="188">
        <v>17206000000</v>
      </c>
      <c r="G41" s="187">
        <f>FSM!I38</f>
        <v>82238852000</v>
      </c>
    </row>
    <row r="42" spans="2:7" x14ac:dyDescent="0.25">
      <c r="B42" s="253" t="s">
        <v>370</v>
      </c>
      <c r="C42" s="254">
        <f>C41/C38</f>
        <v>0.59648068669527898</v>
      </c>
      <c r="D42" s="254">
        <f t="shared" ref="D42:G42" si="3">D41/D38</f>
        <v>0.63888888888888884</v>
      </c>
      <c r="E42" s="254">
        <f t="shared" si="3"/>
        <v>0.57798165137614677</v>
      </c>
      <c r="F42" s="254">
        <f t="shared" si="3"/>
        <v>0.65174242424242423</v>
      </c>
      <c r="G42" s="254">
        <f t="shared" si="3"/>
        <v>0.68697563966582209</v>
      </c>
    </row>
    <row r="44" spans="2:7" x14ac:dyDescent="0.25">
      <c r="B44" s="182" t="s">
        <v>112</v>
      </c>
      <c r="C44" s="183"/>
      <c r="D44" s="183"/>
      <c r="E44" s="183"/>
      <c r="F44" s="183"/>
      <c r="G44" s="183"/>
    </row>
    <row r="45" spans="2:7" x14ac:dyDescent="0.25">
      <c r="B45" s="33" t="s">
        <v>210</v>
      </c>
      <c r="C45" s="191">
        <f>C35/C41</f>
        <v>4.4071089365376315</v>
      </c>
      <c r="D45" s="191">
        <f>D35/D41</f>
        <v>3.4269319450800917</v>
      </c>
      <c r="E45" s="191">
        <f>E35/E41</f>
        <v>6.1964285714285712</v>
      </c>
      <c r="F45" s="191">
        <f>F35/F41</f>
        <v>2.9767127746135067</v>
      </c>
      <c r="G45" s="191">
        <f>G35/G41</f>
        <v>5.8160502183323279</v>
      </c>
    </row>
    <row r="46" spans="2:7" x14ac:dyDescent="0.25">
      <c r="B46" s="33" t="s">
        <v>211</v>
      </c>
      <c r="C46" s="191">
        <f>C35/C31</f>
        <v>1.4277389277389276</v>
      </c>
      <c r="D46" s="191">
        <f>D35/D31</f>
        <v>1.0516638061797752</v>
      </c>
      <c r="E46" s="191">
        <f>E35/E31</f>
        <v>2.2630434782608697</v>
      </c>
      <c r="F46" s="191">
        <f>F35/F31</f>
        <v>1.5615036585365853</v>
      </c>
      <c r="G46" s="191">
        <f>G35/G31</f>
        <v>2.066235480666069</v>
      </c>
    </row>
    <row r="47" spans="2:7" x14ac:dyDescent="0.25">
      <c r="B47" s="33" t="s">
        <v>212</v>
      </c>
      <c r="C47" s="191">
        <f>C35/C32</f>
        <v>1.4277389277389276</v>
      </c>
      <c r="D47" s="191">
        <f>D35/D32</f>
        <v>1.0516638061797752</v>
      </c>
      <c r="E47" s="191">
        <f>E35/E32</f>
        <v>2.2630434782608697</v>
      </c>
      <c r="F47" s="191">
        <f>F35/F32</f>
        <v>1.5615036585365853</v>
      </c>
      <c r="G47" s="191">
        <f>G35/G32</f>
        <v>2.066235480666069</v>
      </c>
    </row>
    <row r="48" spans="2:7" x14ac:dyDescent="0.25">
      <c r="B48" s="33" t="s">
        <v>213</v>
      </c>
      <c r="C48" s="112">
        <f>C41/C31</f>
        <v>0.32396270396270394</v>
      </c>
      <c r="D48" s="112">
        <f>D41/D31</f>
        <v>0.3068820224719101</v>
      </c>
      <c r="E48" s="112">
        <f>E41/E31</f>
        <v>0.36521739130434783</v>
      </c>
      <c r="F48" s="112">
        <f>F41/F31</f>
        <v>0.52457317073170728</v>
      </c>
      <c r="G48" s="112">
        <f>G41/G31</f>
        <v>0.35526438099747587</v>
      </c>
    </row>
    <row r="50" spans="2:7" x14ac:dyDescent="0.25">
      <c r="B50" s="182" t="s">
        <v>122</v>
      </c>
      <c r="C50" s="183"/>
      <c r="D50" s="183"/>
      <c r="E50" s="183"/>
      <c r="F50" s="183"/>
      <c r="G50" s="183"/>
    </row>
    <row r="51" spans="2:7" x14ac:dyDescent="0.25">
      <c r="C51" s="33" t="s">
        <v>113</v>
      </c>
      <c r="D51" s="33" t="s">
        <v>207</v>
      </c>
      <c r="E51" s="33" t="s">
        <v>208</v>
      </c>
      <c r="F51" s="33" t="s">
        <v>209</v>
      </c>
      <c r="G51" s="33"/>
    </row>
    <row r="52" spans="2:7" x14ac:dyDescent="0.25">
      <c r="B52" s="27" t="s">
        <v>114</v>
      </c>
      <c r="C52" s="190">
        <f>AVERAGE(C45:F45)</f>
        <v>4.2517955569149501</v>
      </c>
      <c r="D52" s="190">
        <f>AVERAGE(C46:F46)</f>
        <v>1.5759874676790395</v>
      </c>
      <c r="E52" s="190">
        <f>AVERAGE(C47:F47)</f>
        <v>1.5759874676790395</v>
      </c>
      <c r="F52" s="112">
        <f>AVERAGE(C48:F48)</f>
        <v>0.38015882211766727</v>
      </c>
      <c r="G52" s="190"/>
    </row>
    <row r="53" spans="2:7" s="13" customFormat="1" x14ac:dyDescent="0.25">
      <c r="B53" s="33" t="s">
        <v>115</v>
      </c>
      <c r="C53" s="191">
        <f>MEDIAN(C45:F45)</f>
        <v>3.9170204408088614</v>
      </c>
      <c r="D53" s="191">
        <f>MEDIAN(C46:F46)</f>
        <v>1.4946212931377565</v>
      </c>
      <c r="E53" s="191">
        <f>MEDIAN(C47:F47)</f>
        <v>1.4946212931377565</v>
      </c>
      <c r="F53" s="245">
        <f>MEDIAN(C48:F48)</f>
        <v>0.34459004763352585</v>
      </c>
      <c r="G53" s="191"/>
    </row>
    <row r="54" spans="2:7" x14ac:dyDescent="0.25">
      <c r="B54" s="27" t="s">
        <v>42</v>
      </c>
      <c r="C54" s="190">
        <f>MAX(C45:F45)</f>
        <v>6.1964285714285712</v>
      </c>
      <c r="D54" s="190">
        <f>MAX(C46:F46)</f>
        <v>2.2630434782608697</v>
      </c>
      <c r="E54" s="190">
        <f>MAX(C47:F47)</f>
        <v>2.2630434782608697</v>
      </c>
      <c r="F54" s="112">
        <f>MAX(C48:F48)</f>
        <v>0.52457317073170728</v>
      </c>
      <c r="G54" s="190"/>
    </row>
    <row r="55" spans="2:7" x14ac:dyDescent="0.25">
      <c r="B55" s="27" t="s">
        <v>41</v>
      </c>
      <c r="C55" s="190">
        <f>MIN(C45:F45)</f>
        <v>2.9767127746135067</v>
      </c>
      <c r="D55" s="190">
        <f>MIN(C46:F46)</f>
        <v>1.0516638061797752</v>
      </c>
      <c r="E55" s="190">
        <f>MIN(C47:F47)</f>
        <v>1.0516638061797752</v>
      </c>
      <c r="F55" s="112">
        <f>MIN(C48:F48)</f>
        <v>0.3068820224719101</v>
      </c>
      <c r="G55" s="190"/>
    </row>
    <row r="57" spans="2:7" x14ac:dyDescent="0.25">
      <c r="B57" s="182" t="s">
        <v>116</v>
      </c>
      <c r="C57" s="183"/>
      <c r="D57" s="183"/>
      <c r="E57" s="183"/>
      <c r="F57" s="183"/>
      <c r="G57" s="183"/>
    </row>
    <row r="58" spans="2:7" x14ac:dyDescent="0.25">
      <c r="B58" s="33" t="s">
        <v>118</v>
      </c>
    </row>
    <row r="59" spans="2:7" x14ac:dyDescent="0.25">
      <c r="B59" s="27" t="s">
        <v>119</v>
      </c>
      <c r="C59" s="190">
        <f>C53</f>
        <v>3.9170204408088614</v>
      </c>
    </row>
    <row r="60" spans="2:7" x14ac:dyDescent="0.25">
      <c r="B60" s="27" t="s">
        <v>120</v>
      </c>
      <c r="C60" s="192">
        <f>G41</f>
        <v>82238852000</v>
      </c>
    </row>
    <row r="61" spans="2:7" x14ac:dyDescent="0.25">
      <c r="B61" s="27" t="s">
        <v>117</v>
      </c>
      <c r="C61" s="192">
        <f>C59*C60</f>
        <v>322131264312.65472</v>
      </c>
    </row>
    <row r="62" spans="2:7" x14ac:dyDescent="0.25">
      <c r="B62" s="27" t="s">
        <v>108</v>
      </c>
      <c r="C62" s="252">
        <f>$G$17</f>
        <v>3414759000</v>
      </c>
    </row>
    <row r="63" spans="2:7" x14ac:dyDescent="0.25">
      <c r="B63" s="33" t="s">
        <v>371</v>
      </c>
      <c r="C63" s="251">
        <f>C61/C62</f>
        <v>94.334992399948206</v>
      </c>
    </row>
    <row r="65" spans="2:3" x14ac:dyDescent="0.25">
      <c r="B65" s="33" t="s">
        <v>214</v>
      </c>
    </row>
    <row r="66" spans="2:3" x14ac:dyDescent="0.25">
      <c r="B66" s="27" t="s">
        <v>215</v>
      </c>
      <c r="C66" s="190">
        <f>D53</f>
        <v>1.4946212931377565</v>
      </c>
    </row>
    <row r="67" spans="2:3" x14ac:dyDescent="0.25">
      <c r="B67" s="27" t="s">
        <v>372</v>
      </c>
      <c r="C67" s="192">
        <f>G31</f>
        <v>231486342000</v>
      </c>
    </row>
    <row r="68" spans="2:3" x14ac:dyDescent="0.25">
      <c r="B68" s="27" t="s">
        <v>117</v>
      </c>
      <c r="C68" s="192">
        <f>C66*C67</f>
        <v>345984415823.76898</v>
      </c>
    </row>
    <row r="69" spans="2:3" x14ac:dyDescent="0.25">
      <c r="B69" s="27" t="s">
        <v>108</v>
      </c>
      <c r="C69" s="252">
        <f>$G$17</f>
        <v>3414759000</v>
      </c>
    </row>
    <row r="70" spans="2:3" x14ac:dyDescent="0.25">
      <c r="B70" s="33" t="s">
        <v>371</v>
      </c>
      <c r="C70" s="251">
        <f>C68/C69</f>
        <v>101.32030278674688</v>
      </c>
    </row>
    <row r="72" spans="2:3" x14ac:dyDescent="0.25">
      <c r="B72" s="33" t="s">
        <v>121</v>
      </c>
    </row>
    <row r="73" spans="2:3" x14ac:dyDescent="0.25">
      <c r="B73" s="27" t="s">
        <v>113</v>
      </c>
      <c r="C73" s="190">
        <f>C45</f>
        <v>4.4071089365376315</v>
      </c>
    </row>
    <row r="74" spans="2:3" x14ac:dyDescent="0.25">
      <c r="B74" s="27" t="s">
        <v>120</v>
      </c>
      <c r="C74" s="19">
        <f>G41</f>
        <v>82238852000</v>
      </c>
    </row>
    <row r="75" spans="2:3" x14ac:dyDescent="0.25">
      <c r="B75" s="27" t="s">
        <v>117</v>
      </c>
      <c r="C75" s="19">
        <f>C73*C74</f>
        <v>362435579579.79565</v>
      </c>
    </row>
    <row r="76" spans="2:3" x14ac:dyDescent="0.25">
      <c r="B76" s="27" t="s">
        <v>108</v>
      </c>
      <c r="C76" s="252">
        <f>$G$17</f>
        <v>3414759000</v>
      </c>
    </row>
    <row r="77" spans="2:3" x14ac:dyDescent="0.25">
      <c r="B77" s="33" t="s">
        <v>371</v>
      </c>
      <c r="C77" s="251">
        <f>C75/C76</f>
        <v>106.13796744654474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FSM</vt:lpstr>
      <vt:lpstr>Residual Income</vt:lpstr>
      <vt:lpstr>DDM</vt:lpstr>
      <vt:lpstr>Cost of equity (Ke​)</vt:lpstr>
      <vt:lpstr>Trading Comps</vt:lpstr>
      <vt:lpstr>FSM!Company_Name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WAEL</dc:creator>
  <cp:lastModifiedBy>Ahmed Wael</cp:lastModifiedBy>
  <cp:revision>0</cp:revision>
  <dcterms:created xsi:type="dcterms:W3CDTF">2015-06-05T18:17:20Z</dcterms:created>
  <dcterms:modified xsi:type="dcterms:W3CDTF">2026-09-17T01:32:16Z</dcterms:modified>
  <dc:language>en-US</dc:language>
</cp:coreProperties>
</file>