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026"/>
  <workbookPr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1A1703C3-D021-4474-8B30-8C3CAEC1C049}" xr6:coauthVersionLast="47" xr6:coauthVersionMax="47" xr10:uidLastSave="{00000000-0000-0000-0000-000000000000}"/>
  <bookViews>
    <workbookView xWindow="-120" yWindow="-120" windowWidth="29040" windowHeight="15840" tabRatio="500" activeTab="1" xr2:uid="{00000000-000D-0000-FFFF-FFFF00000000}"/>
  </bookViews>
  <sheets>
    <sheet name="FSM" sheetId="1" r:id="rId1"/>
    <sheet name="DCF" sheetId="2" r:id="rId2"/>
    <sheet name="WACC" sheetId="3" r:id="rId3"/>
  </sheets>
  <definedNames>
    <definedName name="CIQWBGuid" localSheetId="1" hidden="1">"DCF_complete.xlsx"</definedName>
    <definedName name="CIQWBGuid" localSheetId="2" hidden="1">"DCF_complete.xlsx"</definedName>
    <definedName name="CIQWBGuid" hidden="1">"a611639b-bab1-425e-aaa5-008c326fdfdb"</definedName>
    <definedName name="Company_Name">FSM!$D$5</definedName>
    <definedName name="Hist_Yr">FSM!#REF!</definedName>
    <definedName name="IQ_CH">110000</definedName>
    <definedName name="IQ_CQ">5000</definedName>
    <definedName name="IQ_CY">10000</definedName>
    <definedName name="IQ_DAILY">500000</definedName>
    <definedName name="IQ_DNTM" hidden="1">700000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MTD" hidden="1">800000</definedName>
    <definedName name="IQ_NAMES_REVISION_DATE_" localSheetId="1" hidden="1">43549.6880671296</definedName>
    <definedName name="IQ_NAMES_REVISION_DATE_" localSheetId="2" hidden="1">43549.6880671296</definedName>
    <definedName name="IQ_NAMES_REVISION_DATE_" hidden="1">43588.5561574074</definedName>
    <definedName name="IQ_NTM">6000</definedName>
    <definedName name="IQ_QTD" hidden="1">750000</definedName>
    <definedName name="IQ_TODAY" hidden="1">0</definedName>
    <definedName name="IQ_WEEK">50000</definedName>
    <definedName name="IQ_YTD">3000</definedName>
    <definedName name="IQ_YTDMONTH" hidden="1">130000</definedName>
    <definedName name="MLNK841c85bef3244d5c8fb6b3f84988d79e" localSheetId="1" hidden="1">#REF!</definedName>
    <definedName name="MLNK841c85bef3244d5c8fb6b3f84988d79e" localSheetId="2" hidden="1">#REF!</definedName>
    <definedName name="MLNK841c85bef3244d5c8fb6b3f84988d79e" hidden="1">#REF!</definedName>
    <definedName name="MLNKa7775792bf444a4785f8ed5c82461a24" localSheetId="1" hidden="1">#REF!</definedName>
    <definedName name="MLNKa7775792bf444a4785f8ed5c82461a24" localSheetId="2" hidden="1">#REF!</definedName>
    <definedName name="MLNKa7775792bf444a4785f8ed5c82461a24" hidden="1">#REF!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loext="http://schemas.libreoffice.org/" uri="{7626C862-2A13-11E5-B345-FEFF819CDC9F}">
      <loext:extCalcPr stringRefSyntax="ExcelA1"/>
    </ext>
  </extLst>
</workbook>
</file>

<file path=xl/calcChain.xml><?xml version="1.0" encoding="utf-8"?>
<calcChain xmlns="http://schemas.openxmlformats.org/spreadsheetml/2006/main">
  <c r="H4" i="2" l="1"/>
  <c r="C18" i="2"/>
  <c r="C16" i="2"/>
  <c r="C14" i="2"/>
  <c r="C19" i="3"/>
  <c r="E19" i="3" s="1"/>
  <c r="C18" i="3"/>
  <c r="C11" i="3"/>
  <c r="C13" i="3" s="1"/>
  <c r="C8" i="3"/>
  <c r="D72" i="2"/>
  <c r="C72" i="2"/>
  <c r="D70" i="2"/>
  <c r="C70" i="2"/>
  <c r="C65" i="2"/>
  <c r="C63" i="2"/>
  <c r="C62" i="2"/>
  <c r="C60" i="2"/>
  <c r="C57" i="2"/>
  <c r="I61" i="2"/>
  <c r="I42" i="2"/>
  <c r="E18" i="3" l="1"/>
  <c r="E21" i="3" s="1"/>
  <c r="C43" i="2" l="1"/>
  <c r="C44" i="2" s="1"/>
  <c r="I38" i="2"/>
  <c r="H38" i="2"/>
  <c r="G38" i="2"/>
  <c r="F38" i="2"/>
  <c r="E38" i="2"/>
  <c r="I30" i="2"/>
  <c r="H30" i="2"/>
  <c r="G30" i="2"/>
  <c r="F30" i="2"/>
  <c r="E30" i="2"/>
  <c r="I25" i="2"/>
  <c r="H25" i="2"/>
  <c r="G25" i="2"/>
  <c r="F25" i="2"/>
  <c r="E25" i="2"/>
  <c r="D25" i="2"/>
  <c r="I28" i="2"/>
  <c r="H28" i="2"/>
  <c r="G28" i="2"/>
  <c r="F28" i="2"/>
  <c r="I27" i="2"/>
  <c r="H27" i="2"/>
  <c r="G27" i="2"/>
  <c r="F27" i="2"/>
  <c r="I26" i="2"/>
  <c r="H26" i="2"/>
  <c r="G26" i="2"/>
  <c r="F26" i="2"/>
  <c r="E26" i="2"/>
  <c r="I33" i="2"/>
  <c r="H33" i="2"/>
  <c r="G33" i="2"/>
  <c r="F33" i="2"/>
  <c r="E33" i="2"/>
  <c r="D33" i="2"/>
  <c r="I32" i="2"/>
  <c r="H32" i="2"/>
  <c r="G32" i="2"/>
  <c r="F32" i="2"/>
  <c r="E32" i="2"/>
  <c r="D32" i="2"/>
  <c r="E28" i="2"/>
  <c r="E27" i="2"/>
  <c r="I23" i="2"/>
  <c r="H23" i="2"/>
  <c r="G23" i="2"/>
  <c r="F23" i="2"/>
  <c r="E23" i="2"/>
  <c r="I22" i="2"/>
  <c r="I21" i="2" s="1"/>
  <c r="H22" i="2"/>
  <c r="H21" i="2" s="1"/>
  <c r="G22" i="2"/>
  <c r="G21" i="2" s="1"/>
  <c r="F22" i="2"/>
  <c r="F21" i="2" s="1"/>
  <c r="E22" i="2"/>
  <c r="E21" i="2" s="1"/>
  <c r="I18" i="2"/>
  <c r="I19" i="2" s="1"/>
  <c r="H18" i="2"/>
  <c r="H19" i="2" s="1"/>
  <c r="G18" i="2"/>
  <c r="G19" i="2" s="1"/>
  <c r="F18" i="2"/>
  <c r="I16" i="2"/>
  <c r="I17" i="2" s="1"/>
  <c r="H16" i="2"/>
  <c r="H17" i="2" s="1"/>
  <c r="G16" i="2"/>
  <c r="G17" i="2" s="1"/>
  <c r="F16" i="2"/>
  <c r="F17" i="2" s="1"/>
  <c r="I14" i="2"/>
  <c r="I15" i="2" s="1"/>
  <c r="H14" i="2"/>
  <c r="H15" i="2" s="1"/>
  <c r="G14" i="2"/>
  <c r="G15" i="2" s="1"/>
  <c r="F14" i="2"/>
  <c r="F15" i="2" s="1"/>
  <c r="E18" i="2"/>
  <c r="E16" i="2"/>
  <c r="E14" i="2"/>
  <c r="E15" i="2" s="1"/>
  <c r="D19" i="2"/>
  <c r="D17" i="2"/>
  <c r="K43" i="1"/>
  <c r="J43" i="1"/>
  <c r="I43" i="1"/>
  <c r="H43" i="1"/>
  <c r="G43" i="1"/>
  <c r="D23" i="2"/>
  <c r="D21" i="2"/>
  <c r="D22" i="2"/>
  <c r="D18" i="2"/>
  <c r="D16" i="2"/>
  <c r="D14" i="2"/>
  <c r="F19" i="2" l="1"/>
  <c r="E19" i="2"/>
  <c r="E17" i="2"/>
  <c r="D8" i="2"/>
  <c r="G44" i="1"/>
  <c r="H44" i="1" s="1"/>
  <c r="I44" i="1" s="1"/>
  <c r="J44" i="1" s="1"/>
  <c r="K44" i="1" s="1"/>
  <c r="H104" i="1"/>
  <c r="I104" i="1" s="1"/>
  <c r="J104" i="1" s="1"/>
  <c r="K104" i="1" s="1"/>
  <c r="G104" i="1"/>
  <c r="H246" i="1"/>
  <c r="I246" i="1" s="1"/>
  <c r="J246" i="1" s="1"/>
  <c r="K246" i="1" s="1"/>
  <c r="H218" i="1"/>
  <c r="K24" i="1"/>
  <c r="J24" i="1"/>
  <c r="I24" i="1"/>
  <c r="H24" i="1"/>
  <c r="G24" i="1"/>
  <c r="K23" i="1"/>
  <c r="J23" i="1"/>
  <c r="I23" i="1"/>
  <c r="H23" i="1"/>
  <c r="G23" i="1"/>
  <c r="K22" i="1"/>
  <c r="J22" i="1"/>
  <c r="I22" i="1"/>
  <c r="H22" i="1"/>
  <c r="G22" i="1"/>
  <c r="K21" i="1"/>
  <c r="J21" i="1"/>
  <c r="I21" i="1"/>
  <c r="H21" i="1"/>
  <c r="G21" i="1"/>
  <c r="K20" i="1"/>
  <c r="J20" i="1"/>
  <c r="I20" i="1"/>
  <c r="H20" i="1"/>
  <c r="G20" i="1"/>
  <c r="I157" i="1"/>
  <c r="J157" i="1" s="1"/>
  <c r="K157" i="1" s="1"/>
  <c r="H157" i="1"/>
  <c r="G132" i="1"/>
  <c r="G125" i="1"/>
  <c r="K137" i="1"/>
  <c r="J137" i="1"/>
  <c r="I137" i="1"/>
  <c r="H137" i="1"/>
  <c r="K125" i="1"/>
  <c r="J125" i="1"/>
  <c r="I125" i="1"/>
  <c r="H125" i="1"/>
  <c r="K121" i="1"/>
  <c r="J121" i="1"/>
  <c r="I121" i="1"/>
  <c r="H121" i="1"/>
  <c r="G143" i="1"/>
  <c r="G137" i="1"/>
  <c r="G133" i="1"/>
  <c r="G121" i="1"/>
  <c r="F37" i="1"/>
  <c r="E37" i="1"/>
  <c r="D37" i="1"/>
  <c r="F36" i="1"/>
  <c r="E36" i="1"/>
  <c r="D36" i="1"/>
  <c r="K164" i="1"/>
  <c r="J164" i="1"/>
  <c r="I164" i="1"/>
  <c r="H164" i="1"/>
  <c r="G164" i="1"/>
  <c r="F164" i="1"/>
  <c r="E164" i="1"/>
  <c r="D164" i="1"/>
  <c r="H106" i="1"/>
  <c r="I106" i="1" s="1"/>
  <c r="J106" i="1" s="1"/>
  <c r="K106" i="1" s="1"/>
  <c r="I105" i="1"/>
  <c r="J105" i="1" s="1"/>
  <c r="K105" i="1" s="1"/>
  <c r="H105" i="1"/>
  <c r="H103" i="1"/>
  <c r="I103" i="1" s="1"/>
  <c r="J103" i="1" s="1"/>
  <c r="K103" i="1" s="1"/>
  <c r="H102" i="1"/>
  <c r="I102" i="1" s="1"/>
  <c r="J102" i="1" s="1"/>
  <c r="K102" i="1" s="1"/>
  <c r="I101" i="1"/>
  <c r="J101" i="1" s="1"/>
  <c r="H101" i="1"/>
  <c r="I95" i="1"/>
  <c r="J95" i="1" s="1"/>
  <c r="K95" i="1" s="1"/>
  <c r="H95" i="1"/>
  <c r="H94" i="1"/>
  <c r="I94" i="1" s="1"/>
  <c r="J94" i="1" s="1"/>
  <c r="K94" i="1" s="1"/>
  <c r="I93" i="1"/>
  <c r="J93" i="1" s="1"/>
  <c r="K93" i="1" s="1"/>
  <c r="H93" i="1"/>
  <c r="H92" i="1"/>
  <c r="I92" i="1" s="1"/>
  <c r="J92" i="1" s="1"/>
  <c r="K92" i="1" s="1"/>
  <c r="G95" i="1"/>
  <c r="G94" i="1"/>
  <c r="G93" i="1"/>
  <c r="G92" i="1"/>
  <c r="K88" i="1"/>
  <c r="J88" i="1"/>
  <c r="I88" i="1"/>
  <c r="H88" i="1"/>
  <c r="I87" i="1"/>
  <c r="J87" i="1" s="1"/>
  <c r="K87" i="1" s="1"/>
  <c r="H87" i="1"/>
  <c r="K86" i="1"/>
  <c r="J86" i="1"/>
  <c r="I86" i="1"/>
  <c r="H86" i="1"/>
  <c r="K85" i="1"/>
  <c r="J85" i="1"/>
  <c r="I85" i="1"/>
  <c r="H85" i="1"/>
  <c r="H84" i="1"/>
  <c r="I84" i="1" s="1"/>
  <c r="J84" i="1" s="1"/>
  <c r="K84" i="1" s="1"/>
  <c r="G88" i="1"/>
  <c r="G87" i="1"/>
  <c r="G86" i="1"/>
  <c r="G85" i="1"/>
  <c r="G84" i="1"/>
  <c r="H76" i="1"/>
  <c r="I76" i="1" s="1"/>
  <c r="J76" i="1" s="1"/>
  <c r="K76" i="1" s="1"/>
  <c r="I75" i="1"/>
  <c r="J75" i="1" s="1"/>
  <c r="K75" i="1" s="1"/>
  <c r="H75" i="1"/>
  <c r="H74" i="1"/>
  <c r="I74" i="1" s="1"/>
  <c r="J74" i="1" s="1"/>
  <c r="K74" i="1" s="1"/>
  <c r="H73" i="1"/>
  <c r="I73" i="1" s="1"/>
  <c r="J73" i="1" s="1"/>
  <c r="K73" i="1" s="1"/>
  <c r="H72" i="1"/>
  <c r="I72" i="1" s="1"/>
  <c r="J72" i="1" s="1"/>
  <c r="K72" i="1" s="1"/>
  <c r="H71" i="1"/>
  <c r="I71" i="1" s="1"/>
  <c r="J71" i="1" s="1"/>
  <c r="K71" i="1" s="1"/>
  <c r="G76" i="1"/>
  <c r="G75" i="1"/>
  <c r="G74" i="1"/>
  <c r="G73" i="1"/>
  <c r="G72" i="1"/>
  <c r="G71" i="1"/>
  <c r="G70" i="1"/>
  <c r="H65" i="1"/>
  <c r="I65" i="1" s="1"/>
  <c r="J65" i="1" s="1"/>
  <c r="K65" i="1" s="1"/>
  <c r="H64" i="1"/>
  <c r="I64" i="1" s="1"/>
  <c r="J64" i="1" s="1"/>
  <c r="K64" i="1" s="1"/>
  <c r="K63" i="1"/>
  <c r="J63" i="1"/>
  <c r="I63" i="1"/>
  <c r="H63" i="1"/>
  <c r="K62" i="1"/>
  <c r="J62" i="1"/>
  <c r="I62" i="1"/>
  <c r="H62" i="1"/>
  <c r="K61" i="1"/>
  <c r="J61" i="1"/>
  <c r="I61" i="1"/>
  <c r="H61" i="1"/>
  <c r="K60" i="1"/>
  <c r="J60" i="1"/>
  <c r="I60" i="1"/>
  <c r="H60" i="1"/>
  <c r="K59" i="1"/>
  <c r="J59" i="1"/>
  <c r="I59" i="1"/>
  <c r="H59" i="1"/>
  <c r="G63" i="1"/>
  <c r="G65" i="1"/>
  <c r="G62" i="1"/>
  <c r="G61" i="1"/>
  <c r="G60" i="1"/>
  <c r="G59" i="1"/>
  <c r="H28" i="1"/>
  <c r="I28" i="1" s="1"/>
  <c r="J28" i="1" s="1"/>
  <c r="K28" i="1" s="1"/>
  <c r="G28" i="1"/>
  <c r="G27" i="1"/>
  <c r="H27" i="1" s="1"/>
  <c r="I27" i="1" s="1"/>
  <c r="J27" i="1" s="1"/>
  <c r="K27" i="1" s="1"/>
  <c r="F50" i="1"/>
  <c r="E50" i="1"/>
  <c r="F49" i="1"/>
  <c r="E49" i="1"/>
  <c r="F48" i="1"/>
  <c r="E48" i="1"/>
  <c r="F47" i="1"/>
  <c r="E47" i="1"/>
  <c r="F46" i="1"/>
  <c r="E46" i="1"/>
  <c r="D50" i="1"/>
  <c r="D49" i="1"/>
  <c r="G49" i="1" s="1"/>
  <c r="H49" i="1" s="1"/>
  <c r="I49" i="1" s="1"/>
  <c r="J49" i="1" s="1"/>
  <c r="K49" i="1" s="1"/>
  <c r="D48" i="1"/>
  <c r="G48" i="1" s="1"/>
  <c r="H48" i="1" s="1"/>
  <c r="I48" i="1" s="1"/>
  <c r="J48" i="1" s="1"/>
  <c r="K48" i="1" s="1"/>
  <c r="D47" i="1"/>
  <c r="D46" i="1"/>
  <c r="F45" i="1"/>
  <c r="E45" i="1"/>
  <c r="D45" i="1"/>
  <c r="G45" i="1" s="1"/>
  <c r="H45" i="1" s="1"/>
  <c r="I45" i="1" s="1"/>
  <c r="J45" i="1" s="1"/>
  <c r="K45" i="1" s="1"/>
  <c r="K39" i="1"/>
  <c r="J39" i="1"/>
  <c r="I39" i="1"/>
  <c r="H39" i="1"/>
  <c r="G39" i="1"/>
  <c r="F43" i="1"/>
  <c r="E43" i="1"/>
  <c r="F242" i="1"/>
  <c r="E242" i="1"/>
  <c r="D242" i="1"/>
  <c r="E241" i="1"/>
  <c r="F244" i="1"/>
  <c r="G241" i="1" s="1"/>
  <c r="E244" i="1"/>
  <c r="F241" i="1" s="1"/>
  <c r="D244" i="1"/>
  <c r="E234" i="1"/>
  <c r="F238" i="1"/>
  <c r="G234" i="1" s="1"/>
  <c r="E238" i="1"/>
  <c r="F234" i="1" s="1"/>
  <c r="D238" i="1"/>
  <c r="G102" i="1"/>
  <c r="G105" i="1"/>
  <c r="G106" i="1"/>
  <c r="G101" i="1"/>
  <c r="G103" i="1"/>
  <c r="G64" i="1"/>
  <c r="F221" i="1"/>
  <c r="E221" i="1"/>
  <c r="D221" i="1"/>
  <c r="K101" i="1" l="1"/>
  <c r="E222" i="1"/>
  <c r="E223" i="1" s="1"/>
  <c r="E226" i="1" s="1"/>
  <c r="G50" i="1"/>
  <c r="H50" i="1" s="1"/>
  <c r="I50" i="1" s="1"/>
  <c r="J50" i="1" s="1"/>
  <c r="K50" i="1" s="1"/>
  <c r="G46" i="1"/>
  <c r="H46" i="1" s="1"/>
  <c r="I46" i="1" s="1"/>
  <c r="J46" i="1" s="1"/>
  <c r="K46" i="1" s="1"/>
  <c r="G47" i="1"/>
  <c r="H47" i="1" s="1"/>
  <c r="I47" i="1" s="1"/>
  <c r="J47" i="1" s="1"/>
  <c r="K47" i="1" s="1"/>
  <c r="F222" i="1"/>
  <c r="F223" i="1" s="1"/>
  <c r="F226" i="1" s="1"/>
  <c r="G226" i="1" l="1"/>
  <c r="G29" i="1" s="1"/>
  <c r="F216" i="1" l="1"/>
  <c r="G215" i="1" s="1"/>
  <c r="E216" i="1"/>
  <c r="F215" i="1" s="1"/>
  <c r="D216" i="1"/>
  <c r="E215" i="1" s="1"/>
  <c r="F217" i="1" l="1"/>
  <c r="F218" i="1" s="1"/>
  <c r="F225" i="1" s="1"/>
  <c r="F227" i="1" s="1"/>
  <c r="G217" i="1"/>
  <c r="G216" i="1"/>
  <c r="E217" i="1"/>
  <c r="E218" i="1" s="1"/>
  <c r="I218" i="1" s="1"/>
  <c r="J218" i="1" s="1"/>
  <c r="K218" i="1" s="1"/>
  <c r="E225" i="1" l="1"/>
  <c r="E227" i="1" s="1"/>
  <c r="G225" i="1"/>
  <c r="H215" i="1"/>
  <c r="H216" i="1"/>
  <c r="F203" i="1"/>
  <c r="E203" i="1"/>
  <c r="F202" i="1"/>
  <c r="E202" i="1"/>
  <c r="E204" i="1" s="1"/>
  <c r="F201" i="1"/>
  <c r="E201" i="1"/>
  <c r="D203" i="1"/>
  <c r="D202" i="1"/>
  <c r="D201" i="1"/>
  <c r="D204" i="1" s="1"/>
  <c r="F197" i="1"/>
  <c r="E197" i="1"/>
  <c r="F196" i="1"/>
  <c r="E196" i="1"/>
  <c r="F195" i="1"/>
  <c r="E195" i="1"/>
  <c r="F194" i="1"/>
  <c r="E194" i="1"/>
  <c r="F193" i="1"/>
  <c r="E193" i="1"/>
  <c r="D197" i="1"/>
  <c r="D196" i="1"/>
  <c r="D195" i="1"/>
  <c r="D194" i="1"/>
  <c r="D193" i="1"/>
  <c r="F198" i="1" l="1"/>
  <c r="E198" i="1"/>
  <c r="D198" i="1"/>
  <c r="D206" i="1" s="1"/>
  <c r="E208" i="1" s="1"/>
  <c r="E206" i="1"/>
  <c r="I215" i="1"/>
  <c r="I216" i="1"/>
  <c r="H217" i="1"/>
  <c r="H225" i="1"/>
  <c r="G26" i="1"/>
  <c r="G227" i="1"/>
  <c r="F204" i="1"/>
  <c r="F206" i="1" s="1"/>
  <c r="F208" i="1" l="1"/>
  <c r="H26" i="1"/>
  <c r="J215" i="1"/>
  <c r="J216" i="1"/>
  <c r="I225" i="1"/>
  <c r="I217" i="1"/>
  <c r="J225" i="1" l="1"/>
  <c r="J217" i="1"/>
  <c r="I26" i="1"/>
  <c r="K215" i="1"/>
  <c r="K216" i="1"/>
  <c r="K225" i="1" l="1"/>
  <c r="K217" i="1"/>
  <c r="J26" i="1"/>
  <c r="K26" i="1" l="1"/>
  <c r="G176" i="1" l="1"/>
  <c r="H176" i="1" s="1"/>
  <c r="I176" i="1" s="1"/>
  <c r="J176" i="1" s="1"/>
  <c r="K176" i="1" s="1"/>
  <c r="G175" i="1"/>
  <c r="H175" i="1" s="1"/>
  <c r="I175" i="1" s="1"/>
  <c r="J175" i="1" s="1"/>
  <c r="K175" i="1" s="1"/>
  <c r="G174" i="1"/>
  <c r="H174" i="1" s="1"/>
  <c r="I174" i="1" s="1"/>
  <c r="J174" i="1" s="1"/>
  <c r="K174" i="1" s="1"/>
  <c r="G173" i="1"/>
  <c r="H173" i="1" s="1"/>
  <c r="I173" i="1" s="1"/>
  <c r="J173" i="1" s="1"/>
  <c r="K173" i="1" s="1"/>
  <c r="G172" i="1"/>
  <c r="H172" i="1" s="1"/>
  <c r="I172" i="1" s="1"/>
  <c r="J172" i="1" s="1"/>
  <c r="K172" i="1" s="1"/>
  <c r="G171" i="1"/>
  <c r="H171" i="1" s="1"/>
  <c r="I171" i="1" s="1"/>
  <c r="J171" i="1" s="1"/>
  <c r="K171" i="1" s="1"/>
  <c r="G170" i="1"/>
  <c r="H170" i="1" s="1"/>
  <c r="I170" i="1" s="1"/>
  <c r="F186" i="1"/>
  <c r="E186" i="1"/>
  <c r="F185" i="1"/>
  <c r="E185" i="1"/>
  <c r="F184" i="1"/>
  <c r="E184" i="1"/>
  <c r="F183" i="1"/>
  <c r="E183" i="1"/>
  <c r="F182" i="1"/>
  <c r="E182" i="1"/>
  <c r="F181" i="1"/>
  <c r="E181" i="1"/>
  <c r="F180" i="1"/>
  <c r="G177" i="1" l="1"/>
  <c r="G16" i="1" s="1"/>
  <c r="J170" i="1"/>
  <c r="I177" i="1"/>
  <c r="H177" i="1"/>
  <c r="G178" i="1"/>
  <c r="E180" i="1"/>
  <c r="D177" i="1"/>
  <c r="E177" i="1"/>
  <c r="F177" i="1"/>
  <c r="F162" i="1"/>
  <c r="F163" i="1" s="1"/>
  <c r="E162" i="1"/>
  <c r="E163" i="1" s="1"/>
  <c r="D162" i="1"/>
  <c r="D163" i="1" s="1"/>
  <c r="F158" i="1"/>
  <c r="E158" i="1"/>
  <c r="D158" i="1"/>
  <c r="F157" i="1"/>
  <c r="E157" i="1"/>
  <c r="D157" i="1"/>
  <c r="F155" i="1"/>
  <c r="G152" i="1" s="1"/>
  <c r="E155" i="1"/>
  <c r="F152" i="1" s="1"/>
  <c r="D155" i="1"/>
  <c r="E152" i="1" s="1"/>
  <c r="F108" i="1"/>
  <c r="F110" i="1" s="1"/>
  <c r="E108" i="1"/>
  <c r="E110" i="1" s="1"/>
  <c r="D108" i="1"/>
  <c r="D110" i="1" s="1"/>
  <c r="K96" i="1"/>
  <c r="J96" i="1"/>
  <c r="I96" i="1"/>
  <c r="H96" i="1"/>
  <c r="G96" i="1"/>
  <c r="F96" i="1"/>
  <c r="E96" i="1"/>
  <c r="D96" i="1"/>
  <c r="K89" i="1"/>
  <c r="J89" i="1"/>
  <c r="I89" i="1"/>
  <c r="H89" i="1"/>
  <c r="H98" i="1" s="1"/>
  <c r="G89" i="1"/>
  <c r="F89" i="1"/>
  <c r="F98" i="1" s="1"/>
  <c r="E89" i="1"/>
  <c r="E98" i="1" s="1"/>
  <c r="D89" i="1"/>
  <c r="D98" i="1" s="1"/>
  <c r="F67" i="1"/>
  <c r="E67" i="1"/>
  <c r="D67" i="1"/>
  <c r="G77" i="1"/>
  <c r="F77" i="1"/>
  <c r="E77" i="1"/>
  <c r="D77" i="1"/>
  <c r="F18" i="1"/>
  <c r="E18" i="1"/>
  <c r="F39" i="1"/>
  <c r="D18" i="1"/>
  <c r="I98" i="1" l="1"/>
  <c r="K98" i="1"/>
  <c r="J98" i="1"/>
  <c r="G98" i="1"/>
  <c r="E178" i="1"/>
  <c r="E207" i="1"/>
  <c r="F25" i="1"/>
  <c r="F30" i="1" s="1"/>
  <c r="F44" i="1"/>
  <c r="D178" i="1"/>
  <c r="D207" i="1"/>
  <c r="G207" i="1" s="1"/>
  <c r="H207" i="1" s="1"/>
  <c r="I207" i="1" s="1"/>
  <c r="J207" i="1" s="1"/>
  <c r="K207" i="1" s="1"/>
  <c r="E25" i="1"/>
  <c r="E30" i="1" s="1"/>
  <c r="E44" i="1"/>
  <c r="D25" i="1"/>
  <c r="D30" i="1" s="1"/>
  <c r="D44" i="1"/>
  <c r="F178" i="1"/>
  <c r="I203" i="1"/>
  <c r="G196" i="1"/>
  <c r="G194" i="1"/>
  <c r="H201" i="1"/>
  <c r="H202" i="1"/>
  <c r="H203" i="1"/>
  <c r="I194" i="1"/>
  <c r="I201" i="1"/>
  <c r="H193" i="1"/>
  <c r="I202" i="1"/>
  <c r="G203" i="1"/>
  <c r="H194" i="1"/>
  <c r="I197" i="1"/>
  <c r="H197" i="1"/>
  <c r="I196" i="1"/>
  <c r="G197" i="1"/>
  <c r="H195" i="1"/>
  <c r="G202" i="1"/>
  <c r="I195" i="1"/>
  <c r="I193" i="1"/>
  <c r="I198" i="1" s="1"/>
  <c r="J203" i="1"/>
  <c r="G195" i="1"/>
  <c r="H196" i="1"/>
  <c r="G193" i="1"/>
  <c r="G201" i="1"/>
  <c r="F207" i="1"/>
  <c r="G19" i="1"/>
  <c r="H16" i="1"/>
  <c r="H178" i="1" s="1"/>
  <c r="I16" i="1"/>
  <c r="I178" i="1" s="1"/>
  <c r="K170" i="1"/>
  <c r="K177" i="1" s="1"/>
  <c r="K202" i="1" s="1"/>
  <c r="J177" i="1"/>
  <c r="J196" i="1" s="1"/>
  <c r="E112" i="1"/>
  <c r="D79" i="1"/>
  <c r="D112" i="1"/>
  <c r="G158" i="1"/>
  <c r="E79" i="1"/>
  <c r="F79" i="1"/>
  <c r="G157" i="1"/>
  <c r="F112" i="1"/>
  <c r="G163" i="1"/>
  <c r="E32" i="1" l="1"/>
  <c r="E51" i="1"/>
  <c r="F32" i="1"/>
  <c r="F51" i="1"/>
  <c r="H204" i="1"/>
  <c r="D32" i="1"/>
  <c r="D33" i="1" s="1"/>
  <c r="D51" i="1"/>
  <c r="J197" i="1"/>
  <c r="J201" i="1"/>
  <c r="E33" i="1"/>
  <c r="E247" i="1"/>
  <c r="K197" i="1"/>
  <c r="J194" i="1"/>
  <c r="J195" i="1"/>
  <c r="K194" i="1"/>
  <c r="H198" i="1"/>
  <c r="I19" i="1"/>
  <c r="K201" i="1"/>
  <c r="J193" i="1"/>
  <c r="J202" i="1"/>
  <c r="I204" i="1"/>
  <c r="I206" i="1" s="1"/>
  <c r="K203" i="1"/>
  <c r="K196" i="1"/>
  <c r="F33" i="1"/>
  <c r="F247" i="1"/>
  <c r="H19" i="1"/>
  <c r="G204" i="1"/>
  <c r="K195" i="1"/>
  <c r="K193" i="1"/>
  <c r="G198" i="1"/>
  <c r="G206" i="1" s="1"/>
  <c r="J16" i="1"/>
  <c r="H158" i="1"/>
  <c r="H154" i="1" s="1"/>
  <c r="G154" i="1"/>
  <c r="G153" i="1"/>
  <c r="H163" i="1"/>
  <c r="G162" i="1"/>
  <c r="K16" i="1"/>
  <c r="F114" i="1"/>
  <c r="E114" i="1"/>
  <c r="D114" i="1"/>
  <c r="O90" i="2"/>
  <c r="P90" i="2" s="1"/>
  <c r="Q90" i="2" s="1"/>
  <c r="G90" i="2"/>
  <c r="F90" i="2" s="1"/>
  <c r="E90" i="2" s="1"/>
  <c r="K204" i="1" l="1"/>
  <c r="D247" i="1"/>
  <c r="H206" i="1"/>
  <c r="H208" i="1"/>
  <c r="G208" i="1"/>
  <c r="K198" i="1"/>
  <c r="K206" i="1" s="1"/>
  <c r="F235" i="1"/>
  <c r="F246" i="1"/>
  <c r="F40" i="1"/>
  <c r="G247" i="1"/>
  <c r="H247" i="1" s="1"/>
  <c r="I247" i="1" s="1"/>
  <c r="J247" i="1" s="1"/>
  <c r="K247" i="1" s="1"/>
  <c r="J19" i="1"/>
  <c r="G17" i="1"/>
  <c r="G18" i="1" s="1"/>
  <c r="G25" i="1" s="1"/>
  <c r="E235" i="1"/>
  <c r="E246" i="1"/>
  <c r="J204" i="1"/>
  <c r="J198" i="1"/>
  <c r="K19" i="1"/>
  <c r="G155" i="1"/>
  <c r="H152" i="1" s="1"/>
  <c r="I208" i="1"/>
  <c r="I163" i="1"/>
  <c r="H162" i="1"/>
  <c r="I158" i="1"/>
  <c r="K178" i="1"/>
  <c r="H153" i="1"/>
  <c r="H132" i="1" s="1"/>
  <c r="J178" i="1"/>
  <c r="H90" i="2"/>
  <c r="I90" i="2" s="1"/>
  <c r="N90" i="2"/>
  <c r="M90" i="2" s="1"/>
  <c r="G30" i="1" l="1"/>
  <c r="G31" i="1" s="1"/>
  <c r="G126" i="1" s="1"/>
  <c r="G36" i="1"/>
  <c r="G37" i="1" s="1"/>
  <c r="H155" i="1"/>
  <c r="H133" i="1"/>
  <c r="H17" i="1"/>
  <c r="H18" i="1" s="1"/>
  <c r="H25" i="1" s="1"/>
  <c r="H36" i="1" s="1"/>
  <c r="H37" i="1" s="1"/>
  <c r="J206" i="1"/>
  <c r="I153" i="1"/>
  <c r="J158" i="1"/>
  <c r="I154" i="1"/>
  <c r="J163" i="1"/>
  <c r="I162" i="1"/>
  <c r="G120" i="1" l="1"/>
  <c r="I132" i="1"/>
  <c r="I133" i="1" s="1"/>
  <c r="I152" i="1"/>
  <c r="I155" i="1" s="1"/>
  <c r="H70" i="1"/>
  <c r="H77" i="1" s="1"/>
  <c r="G32" i="1"/>
  <c r="G34" i="1" s="1"/>
  <c r="G33" i="1" s="1"/>
  <c r="G236" i="1" s="1"/>
  <c r="G138" i="1" s="1"/>
  <c r="K208" i="1"/>
  <c r="J208" i="1"/>
  <c r="I17" i="1"/>
  <c r="I18" i="1" s="1"/>
  <c r="I25" i="1" s="1"/>
  <c r="I36" i="1" s="1"/>
  <c r="I37" i="1" s="1"/>
  <c r="K158" i="1"/>
  <c r="K154" i="1" s="1"/>
  <c r="J154" i="1"/>
  <c r="K163" i="1"/>
  <c r="K162" i="1" s="1"/>
  <c r="J162" i="1"/>
  <c r="K153" i="1"/>
  <c r="J153" i="1"/>
  <c r="L102" i="2"/>
  <c r="D93" i="2"/>
  <c r="D102" i="2"/>
  <c r="L93" i="2"/>
  <c r="G122" i="1" l="1"/>
  <c r="G127" i="1" s="1"/>
  <c r="G128" i="1" s="1"/>
  <c r="G243" i="1"/>
  <c r="G139" i="1" s="1"/>
  <c r="G140" i="1" s="1"/>
  <c r="G242" i="1"/>
  <c r="K132" i="1"/>
  <c r="K133" i="1" s="1"/>
  <c r="J132" i="1"/>
  <c r="J133" i="1" s="1"/>
  <c r="J152" i="1"/>
  <c r="J155" i="1" s="1"/>
  <c r="I70" i="1"/>
  <c r="I77" i="1" s="1"/>
  <c r="G40" i="1"/>
  <c r="G235" i="1"/>
  <c r="G238" i="1" s="1"/>
  <c r="K17" i="1"/>
  <c r="K18" i="1" s="1"/>
  <c r="K25" i="1" s="1"/>
  <c r="K36" i="1" s="1"/>
  <c r="K37" i="1" s="1"/>
  <c r="J17" i="1"/>
  <c r="J18" i="1" s="1"/>
  <c r="J25" i="1" s="1"/>
  <c r="J36" i="1" s="1"/>
  <c r="J37" i="1" s="1"/>
  <c r="L94" i="2"/>
  <c r="L95" i="2" s="1"/>
  <c r="L92" i="2"/>
  <c r="L91" i="2" s="1"/>
  <c r="D92" i="2"/>
  <c r="D91" i="2" s="1"/>
  <c r="D94" i="2"/>
  <c r="D95" i="2" s="1"/>
  <c r="D103" i="2"/>
  <c r="D104" i="2" s="1"/>
  <c r="D101" i="2"/>
  <c r="D100" i="2" s="1"/>
  <c r="L101" i="2"/>
  <c r="L100" i="2" s="1"/>
  <c r="L103" i="2"/>
  <c r="L104" i="2" s="1"/>
  <c r="G142" i="1" l="1"/>
  <c r="G144" i="1" s="1"/>
  <c r="G244" i="1"/>
  <c r="K152" i="1"/>
  <c r="K155" i="1" s="1"/>
  <c r="K70" i="1" s="1"/>
  <c r="K77" i="1" s="1"/>
  <c r="J70" i="1"/>
  <c r="J77" i="1" s="1"/>
  <c r="H234" i="1"/>
  <c r="G107" i="1"/>
  <c r="G108" i="1" s="1"/>
  <c r="H241" i="1"/>
  <c r="G109" i="1"/>
  <c r="G66" i="1"/>
  <c r="G221" i="1" s="1"/>
  <c r="B3" i="2"/>
  <c r="Q130" i="2"/>
  <c r="O130" i="2"/>
  <c r="Q129" i="2"/>
  <c r="O129" i="2"/>
  <c r="G129" i="2"/>
  <c r="Q128" i="2"/>
  <c r="O128" i="2"/>
  <c r="G128" i="2"/>
  <c r="D130" i="2"/>
  <c r="E129" i="2"/>
  <c r="C129" i="2"/>
  <c r="B129" i="2"/>
  <c r="E128" i="2"/>
  <c r="C128" i="2"/>
  <c r="G146" i="1" l="1"/>
  <c r="H143" i="1"/>
  <c r="G67" i="1"/>
  <c r="G79" i="1" s="1"/>
  <c r="G110" i="1"/>
  <c r="G112" i="1" s="1"/>
  <c r="P129" i="2"/>
  <c r="D128" i="2"/>
  <c r="P128" i="2"/>
  <c r="P130" i="2"/>
  <c r="D129" i="2"/>
  <c r="G114" i="1" l="1"/>
  <c r="G222" i="1"/>
  <c r="H226" i="1"/>
  <c r="B3" i="3"/>
  <c r="B35" i="2"/>
  <c r="H29" i="1" l="1"/>
  <c r="H30" i="1" s="1"/>
  <c r="H227" i="1"/>
  <c r="C12" i="2"/>
  <c r="D37" i="2"/>
  <c r="D12" i="2"/>
  <c r="E12" i="2" s="1"/>
  <c r="D5" i="2"/>
  <c r="C38" i="2" s="1"/>
  <c r="H120" i="1" l="1"/>
  <c r="H31" i="1"/>
  <c r="H126" i="1" s="1"/>
  <c r="F12" i="2"/>
  <c r="H122" i="1" l="1"/>
  <c r="H127" i="1" s="1"/>
  <c r="H128" i="1" s="1"/>
  <c r="H32" i="1"/>
  <c r="G12" i="2"/>
  <c r="H34" i="1" l="1"/>
  <c r="H33" i="1" s="1"/>
  <c r="H12" i="2"/>
  <c r="H235" i="1" l="1"/>
  <c r="H236" i="1"/>
  <c r="H138" i="1" s="1"/>
  <c r="H40" i="1"/>
  <c r="H243" i="1"/>
  <c r="H139" i="1" s="1"/>
  <c r="H242" i="1"/>
  <c r="I12" i="2"/>
  <c r="H238" i="1" l="1"/>
  <c r="I234" i="1" s="1"/>
  <c r="H140" i="1"/>
  <c r="H142" i="1" s="1"/>
  <c r="H144" i="1" s="1"/>
  <c r="H244" i="1"/>
  <c r="B43" i="2"/>
  <c r="E44" i="2"/>
  <c r="B44" i="2"/>
  <c r="H107" i="1" l="1"/>
  <c r="H108" i="1" s="1"/>
  <c r="I241" i="1"/>
  <c r="H109" i="1"/>
  <c r="H66" i="1"/>
  <c r="F13" i="1"/>
  <c r="F54" i="1" s="1"/>
  <c r="F14" i="1"/>
  <c r="H110" i="1" l="1"/>
  <c r="H112" i="1" s="1"/>
  <c r="H146" i="1"/>
  <c r="H221" i="1"/>
  <c r="I143" i="1"/>
  <c r="H67" i="1"/>
  <c r="H79" i="1" s="1"/>
  <c r="H114" i="1" s="1"/>
  <c r="F230" i="1"/>
  <c r="F231" i="1"/>
  <c r="F212" i="1"/>
  <c r="F190" i="1"/>
  <c r="F211" i="1"/>
  <c r="F189" i="1"/>
  <c r="F168" i="1"/>
  <c r="F150" i="1"/>
  <c r="F167" i="1"/>
  <c r="F149" i="1"/>
  <c r="F55" i="1"/>
  <c r="G13" i="1"/>
  <c r="G54" i="1" s="1"/>
  <c r="E13" i="1"/>
  <c r="E54" i="1" s="1"/>
  <c r="I226" i="1" l="1"/>
  <c r="H222" i="1"/>
  <c r="E230" i="1"/>
  <c r="G230" i="1"/>
  <c r="G211" i="1"/>
  <c r="G189" i="1"/>
  <c r="E211" i="1"/>
  <c r="E189" i="1"/>
  <c r="G167" i="1"/>
  <c r="E149" i="1"/>
  <c r="E167" i="1"/>
  <c r="D13" i="1"/>
  <c r="D54" i="1" s="1"/>
  <c r="H13" i="1"/>
  <c r="H54" i="1" s="1"/>
  <c r="G149" i="1"/>
  <c r="G117" i="1"/>
  <c r="I29" i="1" l="1"/>
  <c r="I30" i="1" s="1"/>
  <c r="I227" i="1"/>
  <c r="D230" i="1"/>
  <c r="H230" i="1"/>
  <c r="D189" i="1"/>
  <c r="D211" i="1"/>
  <c r="H189" i="1"/>
  <c r="H211" i="1"/>
  <c r="H167" i="1"/>
  <c r="D167" i="1"/>
  <c r="D149" i="1"/>
  <c r="I13" i="1"/>
  <c r="I54" i="1" s="1"/>
  <c r="H149" i="1"/>
  <c r="H117" i="1"/>
  <c r="I120" i="1" l="1"/>
  <c r="I31" i="1"/>
  <c r="I126" i="1" s="1"/>
  <c r="I230" i="1"/>
  <c r="I211" i="1"/>
  <c r="I189" i="1"/>
  <c r="I167" i="1"/>
  <c r="J13" i="1"/>
  <c r="J54" i="1" s="1"/>
  <c r="I149" i="1"/>
  <c r="I117" i="1"/>
  <c r="I122" i="1" l="1"/>
  <c r="I127" i="1" s="1"/>
  <c r="I128" i="1" s="1"/>
  <c r="I32" i="1"/>
  <c r="J230" i="1"/>
  <c r="J211" i="1"/>
  <c r="J189" i="1"/>
  <c r="J167" i="1"/>
  <c r="K13" i="1"/>
  <c r="K54" i="1" s="1"/>
  <c r="J149" i="1"/>
  <c r="J117" i="1"/>
  <c r="I34" i="1" l="1"/>
  <c r="I33" i="1" s="1"/>
  <c r="K230" i="1"/>
  <c r="K211" i="1"/>
  <c r="K189" i="1"/>
  <c r="K167" i="1"/>
  <c r="K149" i="1"/>
  <c r="K117" i="1"/>
  <c r="I235" i="1" l="1"/>
  <c r="I236" i="1"/>
  <c r="I138" i="1" s="1"/>
  <c r="I40" i="1"/>
  <c r="I243" i="1"/>
  <c r="I139" i="1" s="1"/>
  <c r="I242" i="1"/>
  <c r="C2" i="1"/>
  <c r="G14" i="1"/>
  <c r="I238" i="1" l="1"/>
  <c r="J234" i="1" s="1"/>
  <c r="I244" i="1"/>
  <c r="I140" i="1"/>
  <c r="I142" i="1" s="1"/>
  <c r="I144" i="1" s="1"/>
  <c r="G231" i="1"/>
  <c r="G212" i="1"/>
  <c r="G190" i="1"/>
  <c r="G168" i="1"/>
  <c r="G150" i="1"/>
  <c r="G118" i="1"/>
  <c r="G55" i="1"/>
  <c r="H14" i="1"/>
  <c r="E14" i="1"/>
  <c r="I107" i="1" l="1"/>
  <c r="I108" i="1" s="1"/>
  <c r="I66" i="1"/>
  <c r="I221" i="1" s="1"/>
  <c r="J241" i="1"/>
  <c r="I109" i="1"/>
  <c r="E231" i="1"/>
  <c r="H231" i="1"/>
  <c r="E212" i="1"/>
  <c r="E190" i="1"/>
  <c r="H190" i="1"/>
  <c r="H212" i="1"/>
  <c r="H168" i="1"/>
  <c r="E168" i="1"/>
  <c r="E150" i="1"/>
  <c r="H150" i="1"/>
  <c r="H118" i="1"/>
  <c r="H55" i="1"/>
  <c r="E55" i="1"/>
  <c r="D14" i="1"/>
  <c r="I14" i="1"/>
  <c r="I110" i="1" l="1"/>
  <c r="I112" i="1" s="1"/>
  <c r="I146" i="1"/>
  <c r="J143" i="1"/>
  <c r="I67" i="1"/>
  <c r="I79" i="1" s="1"/>
  <c r="D231" i="1"/>
  <c r="I231" i="1"/>
  <c r="D190" i="1"/>
  <c r="D212" i="1"/>
  <c r="I212" i="1"/>
  <c r="I190" i="1"/>
  <c r="I168" i="1"/>
  <c r="D168" i="1"/>
  <c r="D150" i="1"/>
  <c r="I150" i="1"/>
  <c r="I118" i="1"/>
  <c r="I55" i="1"/>
  <c r="D55" i="1"/>
  <c r="J14" i="1"/>
  <c r="I114" i="1" l="1"/>
  <c r="J226" i="1"/>
  <c r="I222" i="1"/>
  <c r="J231" i="1"/>
  <c r="J212" i="1"/>
  <c r="J190" i="1"/>
  <c r="J168" i="1"/>
  <c r="J150" i="1"/>
  <c r="J118" i="1"/>
  <c r="J55" i="1"/>
  <c r="K14" i="1"/>
  <c r="J29" i="1" l="1"/>
  <c r="J30" i="1" s="1"/>
  <c r="J227" i="1"/>
  <c r="K231" i="1"/>
  <c r="K212" i="1"/>
  <c r="K190" i="1"/>
  <c r="K168" i="1"/>
  <c r="K150" i="1"/>
  <c r="K118" i="1"/>
  <c r="K55" i="1"/>
  <c r="J31" i="1" l="1"/>
  <c r="J126" i="1" s="1"/>
  <c r="J120" i="1"/>
  <c r="J122" i="1" l="1"/>
  <c r="J127" i="1" s="1"/>
  <c r="J128" i="1" s="1"/>
  <c r="J32" i="1"/>
  <c r="J34" i="1" l="1"/>
  <c r="J33" i="1" s="1"/>
  <c r="J40" i="1" l="1"/>
  <c r="J235" i="1"/>
  <c r="J236" i="1"/>
  <c r="J138" i="1" s="1"/>
  <c r="J242" i="1"/>
  <c r="J243" i="1"/>
  <c r="J244" i="1" l="1"/>
  <c r="J139" i="1"/>
  <c r="J140" i="1" s="1"/>
  <c r="J142" i="1" s="1"/>
  <c r="J144" i="1" s="1"/>
  <c r="J238" i="1"/>
  <c r="K234" i="1" l="1"/>
  <c r="J107" i="1"/>
  <c r="J108" i="1" s="1"/>
  <c r="J66" i="1"/>
  <c r="J221" i="1" s="1"/>
  <c r="K241" i="1"/>
  <c r="J109" i="1"/>
  <c r="J146" i="1" l="1"/>
  <c r="K143" i="1"/>
  <c r="J67" i="1"/>
  <c r="J79" i="1" s="1"/>
  <c r="J110" i="1"/>
  <c r="J112" i="1" s="1"/>
  <c r="J114" i="1" l="1"/>
  <c r="K226" i="1"/>
  <c r="J222" i="1"/>
  <c r="K29" i="1" l="1"/>
  <c r="K30" i="1" s="1"/>
  <c r="K227" i="1"/>
  <c r="K31" i="1" l="1"/>
  <c r="K126" i="1" s="1"/>
  <c r="K120" i="1"/>
  <c r="K122" i="1" l="1"/>
  <c r="K127" i="1" s="1"/>
  <c r="K128" i="1" s="1"/>
  <c r="K32" i="1"/>
  <c r="K34" i="1" l="1"/>
  <c r="K243" i="1" l="1"/>
  <c r="K139" i="1" s="1"/>
  <c r="K242" i="1"/>
  <c r="K33" i="1"/>
  <c r="K235" i="1" l="1"/>
  <c r="K40" i="1"/>
  <c r="K236" i="1"/>
  <c r="K138" i="1" s="1"/>
  <c r="K140" i="1" s="1"/>
  <c r="K142" i="1" s="1"/>
  <c r="K144" i="1" s="1"/>
  <c r="K66" i="1" s="1"/>
  <c r="K221" i="1" s="1"/>
  <c r="K244" i="1"/>
  <c r="K109" i="1" s="1"/>
  <c r="K146" i="1" l="1"/>
  <c r="K222" i="1"/>
  <c r="K67" i="1"/>
  <c r="K79" i="1" s="1"/>
  <c r="K238" i="1"/>
  <c r="K107" i="1" s="1"/>
  <c r="K108" i="1" s="1"/>
  <c r="K110" i="1" s="1"/>
  <c r="K112" i="1" s="1"/>
  <c r="K114" i="1" l="1"/>
  <c r="I44" i="2"/>
  <c r="I51" i="2" s="1"/>
  <c r="G99" i="2"/>
  <c r="F99" i="2" s="1"/>
  <c r="E99" i="2" s="1"/>
  <c r="O99" i="2"/>
  <c r="P99" i="2" s="1"/>
  <c r="Q99" i="2" s="1"/>
  <c r="G130" i="2" l="1"/>
  <c r="N99" i="2"/>
  <c r="M99" i="2" s="1"/>
  <c r="H99" i="2"/>
  <c r="I99" i="2" s="1"/>
  <c r="B128" i="2" s="1"/>
  <c r="H7" i="2"/>
  <c r="H8" i="2"/>
  <c r="E37" i="2"/>
  <c r="F37" i="2"/>
  <c r="G37" i="2"/>
  <c r="H37" i="2"/>
  <c r="I37" i="2"/>
  <c r="E39" i="2"/>
  <c r="F39" i="2"/>
  <c r="G39" i="2"/>
  <c r="H39" i="2"/>
  <c r="I39" i="2"/>
  <c r="C45" i="2"/>
  <c r="I45" i="2"/>
  <c r="C46" i="2"/>
  <c r="I46" i="2"/>
  <c r="C47" i="2"/>
  <c r="I47" i="2"/>
  <c r="C49" i="2"/>
  <c r="I49" i="2"/>
  <c r="C50" i="2"/>
  <c r="I50" i="2"/>
  <c r="C51" i="2"/>
  <c r="C69" i="2"/>
  <c r="D69" i="2"/>
  <c r="C71" i="2"/>
  <c r="D71" i="2"/>
  <c r="C73" i="2"/>
  <c r="D73" i="2"/>
  <c r="C77" i="2"/>
  <c r="D77" i="2"/>
  <c r="C78" i="2"/>
  <c r="D78" i="2"/>
  <c r="C79" i="2"/>
  <c r="D79" i="2"/>
  <c r="C82" i="2"/>
  <c r="D82" i="2"/>
  <c r="C83" i="2"/>
  <c r="D83" i="2"/>
  <c r="C84" i="2"/>
  <c r="D84" i="2"/>
  <c r="D90" i="2"/>
  <c r="L90" i="2"/>
  <c r="D99" i="2"/>
  <c r="L99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Wall Street Prep</author>
  </authors>
  <commentList>
    <comment ref="I51" authorId="0" shapeId="0" xr:uid="{B223808C-9D62-4E76-97B7-98CC8E4B6F88}">
      <text>
        <r>
          <rPr>
            <b/>
            <sz val="9"/>
            <color indexed="81"/>
            <rFont val="Tahoma"/>
            <family val="2"/>
          </rPr>
          <t>Wall Street Prep:</t>
        </r>
        <r>
          <rPr>
            <sz val="9"/>
            <color indexed="81"/>
            <rFont val="Tahoma"/>
            <family val="2"/>
          </rPr>
          <t xml:space="preserve">
Implied g = [r -FCF(t)/TV]/(1+FCF(t)/TV)</t>
        </r>
      </text>
    </comment>
  </commentList>
</comments>
</file>

<file path=xl/sharedStrings.xml><?xml version="1.0" encoding="utf-8"?>
<sst xmlns="http://schemas.openxmlformats.org/spreadsheetml/2006/main" count="348" uniqueCount="270">
  <si>
    <t>Company Name</t>
  </si>
  <si>
    <t>Ticker</t>
  </si>
  <si>
    <t>Last Historical Year</t>
  </si>
  <si>
    <t>ASSETS</t>
  </si>
  <si>
    <t>Current Assets</t>
  </si>
  <si>
    <t>Total Current Assets</t>
  </si>
  <si>
    <t>Non-Current Assets</t>
  </si>
  <si>
    <t>Total Non-Current Assets</t>
  </si>
  <si>
    <t>Total Assets</t>
  </si>
  <si>
    <t>LIABILITIES AND EQUITY</t>
  </si>
  <si>
    <t>Current Liabilities</t>
  </si>
  <si>
    <t>Total Current Liabilities</t>
  </si>
  <si>
    <t>Non-Current Liabilities</t>
  </si>
  <si>
    <t>Total Non-Current Liabilities</t>
  </si>
  <si>
    <t>Total Liabilities</t>
  </si>
  <si>
    <t>Equity</t>
  </si>
  <si>
    <t>Retained earnings</t>
  </si>
  <si>
    <t>Total Equity</t>
  </si>
  <si>
    <t>Total Liabilites &amp; Equity</t>
  </si>
  <si>
    <t>Balance Check</t>
  </si>
  <si>
    <t>Cash Generated from Operations</t>
  </si>
  <si>
    <t>CASH FLOWS FROM INVESTING ACTIVITIES</t>
  </si>
  <si>
    <t>CASH FLOWS FROM FINANCING ACTIVITIES</t>
  </si>
  <si>
    <t>Reconciliation Check vs BS Cash</t>
  </si>
  <si>
    <t>Depreciation &amp; amortization</t>
  </si>
  <si>
    <t>EBITDA</t>
  </si>
  <si>
    <t>Revenue growth</t>
  </si>
  <si>
    <t>Tax rate</t>
  </si>
  <si>
    <t>Growth Rates &amp; Margins</t>
  </si>
  <si>
    <t>Latest Closing Share Price</t>
  </si>
  <si>
    <t>Latest Closing Share Price Date</t>
  </si>
  <si>
    <t>Shares outstanding</t>
  </si>
  <si>
    <t>PROPERTY, PLANT &amp; EQUIPMENT</t>
  </si>
  <si>
    <t>Beginning of period</t>
  </si>
  <si>
    <t>Plus: Capital expenditures</t>
  </si>
  <si>
    <t>Less: Depreciation</t>
  </si>
  <si>
    <t>End of period</t>
  </si>
  <si>
    <t>IMPUTING TOTAL DEPRECIATION &amp; AMORTIZATION</t>
  </si>
  <si>
    <t>D&amp;A not related to PP&amp;E</t>
  </si>
  <si>
    <t>as % of revenue</t>
  </si>
  <si>
    <t xml:space="preserve">Depreciation &amp; Amortization - Total </t>
  </si>
  <si>
    <t>Dividend payout ratio</t>
  </si>
  <si>
    <t>% growth</t>
  </si>
  <si>
    <t>Basic EPS (EGP)</t>
  </si>
  <si>
    <t>INCOME STATEMENT</t>
  </si>
  <si>
    <t xml:space="preserve">Fiscal year  </t>
  </si>
  <si>
    <t>Fiscal year end date</t>
  </si>
  <si>
    <t>BALANCE SHEET</t>
  </si>
  <si>
    <t>CASH FLOW STATEMENT</t>
  </si>
  <si>
    <t>Discounted Cash Flow Valuation</t>
  </si>
  <si>
    <t>Most recent fiscal year end</t>
  </si>
  <si>
    <t>Discount rate (WACC)</t>
  </si>
  <si>
    <t>Link from WACC</t>
  </si>
  <si>
    <t>End of first fiscal year</t>
  </si>
  <si>
    <t>Share price (Public Co)</t>
  </si>
  <si>
    <t>Most recent quarter end date</t>
  </si>
  <si>
    <t>Share price date</t>
  </si>
  <si>
    <t xml:space="preserve">Valuation date </t>
  </si>
  <si>
    <t>Portion of First Year Cash Flows</t>
  </si>
  <si>
    <t>Unlevered Free Cash Flows</t>
  </si>
  <si>
    <t>LTM</t>
  </si>
  <si>
    <t>Actual</t>
  </si>
  <si>
    <t>Forecasts</t>
  </si>
  <si>
    <t>Fiscal year ended</t>
  </si>
  <si>
    <t>Revenue</t>
  </si>
  <si>
    <t>% margin</t>
  </si>
  <si>
    <t>EBIT</t>
  </si>
  <si>
    <t>Tax on EBIT</t>
  </si>
  <si>
    <t>NOPAT (aka EBIAT)</t>
  </si>
  <si>
    <t>Changes in net working capital</t>
  </si>
  <si>
    <t>Capital expenditures</t>
  </si>
  <si>
    <t>Unlevered free cash flows (UFCF)</t>
  </si>
  <si>
    <t>Net working capital (WC Assets - WC liabilities)</t>
  </si>
  <si>
    <t>Val date</t>
  </si>
  <si>
    <t xml:space="preserve">Yr 1 - Stub </t>
  </si>
  <si>
    <t>Year 2</t>
  </si>
  <si>
    <t>Year 3</t>
  </si>
  <si>
    <t>Year 4</t>
  </si>
  <si>
    <t>Year 5</t>
  </si>
  <si>
    <t>Date for discounting cash flows</t>
  </si>
  <si>
    <t>Unlevered free cash flows (UFCF) stub adjusted</t>
  </si>
  <si>
    <t>Present value of of unlevered free cash flows</t>
  </si>
  <si>
    <t>Terminal value - growth in perpetuity approach</t>
  </si>
  <si>
    <t>Terminal value - EBITDA multiple approach</t>
  </si>
  <si>
    <t>Long term growth rate</t>
  </si>
  <si>
    <t>Terminal year EBITDA</t>
  </si>
  <si>
    <t>EBITDA multiple</t>
  </si>
  <si>
    <t>Present value of terminal value</t>
  </si>
  <si>
    <t>Present value of stage 1 cash flows</t>
  </si>
  <si>
    <t>Total enterprise value (TEV)</t>
  </si>
  <si>
    <t>Enterprise value (stage 1 + 2)</t>
  </si>
  <si>
    <t>Terminal value as % of TEV</t>
  </si>
  <si>
    <t>Stage 1 cash flows as % of TEV</t>
  </si>
  <si>
    <t>Cash flows as % of TEV</t>
  </si>
  <si>
    <t>Implied TV exit EBITDA multiple</t>
  </si>
  <si>
    <t>Implied terminal growth rate</t>
  </si>
  <si>
    <t>Net debt</t>
  </si>
  <si>
    <t>Source doc</t>
  </si>
  <si>
    <t>Source date</t>
  </si>
  <si>
    <t>Date</t>
  </si>
  <si>
    <t>Shares</t>
  </si>
  <si>
    <t>Gross debt and equivalents</t>
  </si>
  <si>
    <t>Basic shares</t>
  </si>
  <si>
    <t>Debt</t>
  </si>
  <si>
    <t>Restricted stock / RSUs</t>
  </si>
  <si>
    <t>Convertible debt</t>
  </si>
  <si>
    <t>Options / warrants</t>
  </si>
  <si>
    <t>Preferred stock</t>
  </si>
  <si>
    <t>Noncontrolling (minority) interests</t>
  </si>
  <si>
    <t>Convertible preferred stock</t>
  </si>
  <si>
    <t>Nonoperating assets</t>
  </si>
  <si>
    <t>Net diluted shares outstanding</t>
  </si>
  <si>
    <t xml:space="preserve">Cash </t>
  </si>
  <si>
    <t xml:space="preserve">Equity investments </t>
  </si>
  <si>
    <t>Valuation</t>
  </si>
  <si>
    <t>Perpetuity</t>
  </si>
  <si>
    <t>Enterprise value</t>
  </si>
  <si>
    <t xml:space="preserve">Equity value </t>
  </si>
  <si>
    <t>Equity value per share</t>
  </si>
  <si>
    <t>Last twelve months (LTM)</t>
  </si>
  <si>
    <t>EV / Revenue</t>
  </si>
  <si>
    <t xml:space="preserve">EV / EBITDA </t>
  </si>
  <si>
    <t>EV / EBIT</t>
  </si>
  <si>
    <t>Year 1</t>
  </si>
  <si>
    <t>Outputs</t>
  </si>
  <si>
    <t>LTM EBITDA multiple</t>
  </si>
  <si>
    <t>Long term growth rate (g):</t>
  </si>
  <si>
    <t>WACC:</t>
  </si>
  <si>
    <t xml:space="preserve">Data </t>
  </si>
  <si>
    <t>Tables</t>
  </si>
  <si>
    <t>Exit EBITDA Multiple</t>
  </si>
  <si>
    <t>Equity value range</t>
  </si>
  <si>
    <t>Football field</t>
  </si>
  <si>
    <t>Low</t>
  </si>
  <si>
    <t>Diff.</t>
  </si>
  <si>
    <t>High</t>
  </si>
  <si>
    <t>52 Week Market High/Low</t>
  </si>
  <si>
    <t>WACC Buildup</t>
  </si>
  <si>
    <t>Cost of capital assumptions</t>
  </si>
  <si>
    <t>Cost of debt</t>
  </si>
  <si>
    <t>Cost of debt (after tax)</t>
  </si>
  <si>
    <t xml:space="preserve">Risk free rate </t>
  </si>
  <si>
    <t xml:space="preserve">Beta </t>
  </si>
  <si>
    <t>Market risk premium</t>
  </si>
  <si>
    <t>Cost of equity</t>
  </si>
  <si>
    <t>Capital weights (capital structure)</t>
  </si>
  <si>
    <t xml:space="preserve">Target </t>
  </si>
  <si>
    <t xml:space="preserve">Current </t>
  </si>
  <si>
    <t>(override)</t>
  </si>
  <si>
    <t>% of total</t>
  </si>
  <si>
    <t>Cost of capital (WACC)</t>
  </si>
  <si>
    <t>CapEx % of revenue</t>
  </si>
  <si>
    <t>All amounts are shown in Egyptian pounds, except per-share data, ratios, and shares outstanding</t>
  </si>
  <si>
    <t>EBITDA margin %</t>
  </si>
  <si>
    <t>Total Operating Revenue</t>
  </si>
  <si>
    <t>Implied Share Price</t>
  </si>
  <si>
    <t>Upside / (Downside)</t>
  </si>
  <si>
    <t>Finance income</t>
  </si>
  <si>
    <t>Finance costs</t>
  </si>
  <si>
    <t>Right of use assets</t>
  </si>
  <si>
    <t>Inventories</t>
  </si>
  <si>
    <t>Cash and cash equivalents</t>
  </si>
  <si>
    <t>Deferred tax liabilities</t>
  </si>
  <si>
    <t>Net finance costs</t>
  </si>
  <si>
    <t>Changes in Working Capital</t>
  </si>
  <si>
    <t>Net change in cash and cash equivalents</t>
  </si>
  <si>
    <t>Cash and cash equivalents at 1 January</t>
  </si>
  <si>
    <t>Cash and cash equivalents at 31 December</t>
  </si>
  <si>
    <t>REVENUE BUILD BY SEGMENT (EGP)</t>
  </si>
  <si>
    <t>WORKING CAPITAL SCHEDULE</t>
  </si>
  <si>
    <t>Operating Working Capital Assets</t>
  </si>
  <si>
    <t>Total Operating WC Assets</t>
  </si>
  <si>
    <t>Net Working Capital</t>
  </si>
  <si>
    <t>NWC as % of revenue</t>
  </si>
  <si>
    <t>Change in NWC (− = cash used)</t>
  </si>
  <si>
    <t>Operating Working Capital Liabilities</t>
  </si>
  <si>
    <t>Total Operating WC Liabilities</t>
  </si>
  <si>
    <t>DEBT &amp; INTEREST SCHEDULE</t>
  </si>
  <si>
    <t>Total debt (loans &amp; borrowings, incl. leases)</t>
  </si>
  <si>
    <t>Average debt</t>
  </si>
  <si>
    <t>Effective interest rate</t>
  </si>
  <si>
    <t>Interest income</t>
  </si>
  <si>
    <t>Average earning assets</t>
  </si>
  <si>
    <t>Effective yield</t>
  </si>
  <si>
    <t>EQUITY &amp; NCI ROLL-FORWARD</t>
  </si>
  <si>
    <t>Retained Earnings</t>
  </si>
  <si>
    <t>Plus: Net income to parent</t>
  </si>
  <si>
    <t>Less: Dividends &amp; distributions</t>
  </si>
  <si>
    <t>Other (FX-to-RE, reserve transfer)</t>
  </si>
  <si>
    <t>End of period (= BS)</t>
  </si>
  <si>
    <t>Non-controlling Interests</t>
  </si>
  <si>
    <t>Plus: NCI share of net income</t>
  </si>
  <si>
    <t>NCI dividends &amp; acquisitions (net)</t>
  </si>
  <si>
    <t>NCI % of total net income</t>
  </si>
  <si>
    <t>Debt securities (optional cash asset)</t>
  </si>
  <si>
    <t>Intangible assets</t>
  </si>
  <si>
    <t>Income tax payable</t>
  </si>
  <si>
    <t>Legal reserve</t>
  </si>
  <si>
    <t>Equity Attributable to Parent</t>
  </si>
  <si>
    <t>Depreciation and amortization</t>
  </si>
  <si>
    <t>Operating cash flow before working capital</t>
  </si>
  <si>
    <t>Income tax paid</t>
  </si>
  <si>
    <t>Proceeds (repayments) of loans &amp; facilities</t>
  </si>
  <si>
    <t>Dividends paid to parent shareholders</t>
  </si>
  <si>
    <t>Dividends paid to non-controlling interest</t>
  </si>
  <si>
    <t>Net cash flow from financing activities</t>
  </si>
  <si>
    <t>Net cash flows used in investing activities</t>
  </si>
  <si>
    <t>Net cash flows from operating activities</t>
  </si>
  <si>
    <t>PP&amp;E depreciation as % of revenue</t>
  </si>
  <si>
    <t>Net change in working capital</t>
  </si>
  <si>
    <t>Consolidated FS 2025</t>
  </si>
  <si>
    <t>12/31/2025</t>
  </si>
  <si>
    <t>Cost of sales</t>
  </si>
  <si>
    <t>Gross profit</t>
  </si>
  <si>
    <t>Other revenue</t>
  </si>
  <si>
    <t>General and administrative expenses</t>
  </si>
  <si>
    <t>Marketing and selling expenses</t>
  </si>
  <si>
    <t>Share based payment</t>
  </si>
  <si>
    <t>Expected credit loss of trade receivable and other debit balances (ECL)</t>
  </si>
  <si>
    <t>Other expenses</t>
  </si>
  <si>
    <t>Operating profit</t>
  </si>
  <si>
    <t>Finance cost</t>
  </si>
  <si>
    <t>Share of profit from equity-accounted investees ("Associates")</t>
  </si>
  <si>
    <t>Income from dividends FVTOCI</t>
  </si>
  <si>
    <t>Net profit for the year before tax</t>
  </si>
  <si>
    <t>Income tax expense</t>
  </si>
  <si>
    <t>Net profit for the year</t>
  </si>
  <si>
    <t>Owners of the company</t>
  </si>
  <si>
    <t>Non-controlling interest (NCI)</t>
  </si>
  <si>
    <t>Gross Margin % of Revenue</t>
  </si>
  <si>
    <t>Other Revenue %</t>
  </si>
  <si>
    <t>General and administrative expenses % of Revenue</t>
  </si>
  <si>
    <t>Marketing and selling expenses % of Revenue</t>
  </si>
  <si>
    <t>Share based payment %</t>
  </si>
  <si>
    <t>Other expenses %</t>
  </si>
  <si>
    <t>ECL %</t>
  </si>
  <si>
    <t>Fixed assets (Property, plant and equipments)</t>
  </si>
  <si>
    <t>Projects under construction</t>
  </si>
  <si>
    <t>Equity investment at FVOCI / FVTOCI</t>
  </si>
  <si>
    <t>Equity accounted investees (Associates)</t>
  </si>
  <si>
    <t>Prepaid employees' benefits</t>
  </si>
  <si>
    <t>Work in progress</t>
  </si>
  <si>
    <t>Trade receivables and other debit balances </t>
  </si>
  <si>
    <t>Income tax debit</t>
  </si>
  <si>
    <t>Due from related parties</t>
  </si>
  <si>
    <t>Financial investments at amortized cost</t>
  </si>
  <si>
    <t>Equity-investment at FVTPL</t>
  </si>
  <si>
    <t>Paid-up capital</t>
  </si>
  <si>
    <t>Share premium</t>
  </si>
  <si>
    <t>Treasury shares</t>
  </si>
  <si>
    <t>Other reserves</t>
  </si>
  <si>
    <t>Non-controlling interest</t>
  </si>
  <si>
    <t>Lease liability</t>
  </si>
  <si>
    <t>Borrowings</t>
  </si>
  <si>
    <t>Employee benefits liabilities </t>
  </si>
  <si>
    <t>Trade payables and other credit balances </t>
  </si>
  <si>
    <t>Due to related parties</t>
  </si>
  <si>
    <t>E-finance For Digital and Financial Investments</t>
  </si>
  <si>
    <t>EFIH.CA</t>
  </si>
  <si>
    <t>Check vs IS (row 16)</t>
  </si>
  <si>
    <t>Maintenance and network contracts revenue</t>
  </si>
  <si>
    <t>Cards Center Revenue</t>
  </si>
  <si>
    <t>Services and operations of cards revenue</t>
  </si>
  <si>
    <t>Integrated solutions revenue</t>
  </si>
  <si>
    <t>Hosting services revenue</t>
  </si>
  <si>
    <t>Installations and technical support revenue</t>
  </si>
  <si>
    <t>Interest-earning assets</t>
  </si>
  <si>
    <t>Profit for the year before income tax</t>
  </si>
  <si>
    <t>Payments for PP&amp;E, intangibles &amp; other (capex)</t>
  </si>
  <si>
    <t>Consolidated FS 2025 (Note 39)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</si>
</sst>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2">
    <numFmt numFmtId="164" formatCode="&quot;$&quot;#,##0.00_);\(&quot;$&quot;#,##0.00\)"/>
    <numFmt numFmtId="165" formatCode="_(* #,##0_);_(* \(#,##0\);_(* &quot;-&quot;_);_(@_)"/>
    <numFmt numFmtId="166" formatCode="&quot;FY&quot;yy"/>
    <numFmt numFmtId="167" formatCode="0.0%"/>
    <numFmt numFmtId="168" formatCode="_(* #,##0.00_);_(* \(#,##0.00\);_(* \-??_);_(@_)"/>
    <numFmt numFmtId="169" formatCode="_(* #,##0_);_(* \(#,##0\);_(* \-??_);_(@_)"/>
    <numFmt numFmtId="170" formatCode="_(* #,##0_);_(* \(#,##0\);_(* \-_);_(@_)"/>
    <numFmt numFmtId="171" formatCode="_(* #,##0_);_(* \(#,##0\);_(* &quot;-&quot;??_);_(@_)"/>
    <numFmt numFmtId="172" formatCode="#,##0.000_);\(#,##0.000\)"/>
    <numFmt numFmtId="173" formatCode="m/d/yy;@"/>
    <numFmt numFmtId="174" formatCode="0\A;[Red]0\A"/>
    <numFmt numFmtId="175" formatCode="0\P_);\(0\P\)"/>
    <numFmt numFmtId="176" formatCode="0.0%_);\(0.0%\);@_)"/>
    <numFmt numFmtId="177" formatCode="_(#,##0.0%_);\(#,##0.0%\);_(&quot;–&quot;_)_%;_(@_)_%"/>
    <numFmt numFmtId="178" formatCode="0000\A"/>
    <numFmt numFmtId="179" formatCode="0000\P"/>
    <numFmt numFmtId="180" formatCode="#,##0_);\(#,##0\);@_)"/>
    <numFmt numFmtId="181" formatCode="0.0\x_);\(0.0\x\);@_)"/>
    <numFmt numFmtId="182" formatCode="0.000%_);\(0.000%\);@_)"/>
    <numFmt numFmtId="183" formatCode="#,##0.000_);\(#,##0.000\);@_)"/>
    <numFmt numFmtId="184" formatCode="_([$$]#,##0_)_%;\([$$]#,##0\)_%;_(&quot;–&quot;_)_%;_(@_)_%"/>
    <numFmt numFmtId="185" formatCode="&quot;$&quot;#,##0.00_);\(&quot;$&quot;#,##0.00\);@_)"/>
    <numFmt numFmtId="186" formatCode="_(0.0\x_)_';_(\(0.0\x\)_';_(&quot;–&quot;_)_%;_(@_)_%"/>
    <numFmt numFmtId="187" formatCode="_(0.0_)_'_x;_(\(0.0\)_';_(&quot;–&quot;_)_%;_(@_)_%"/>
    <numFmt numFmtId="188" formatCode="#,##0.00_);\(#,##0.00\);\-_);@_)"/>
    <numFmt numFmtId="189" formatCode="#,##0.0_);\(#,##0.0\);\-_);@_)"/>
    <numFmt numFmtId="190" formatCode="_(#,##0.00%_);\(#,##0.00%\);_(&quot;–&quot;_)_%;_(@_)_%"/>
    <numFmt numFmtId="191" formatCode="[$EGP]\ #,##0.00_);\([$EGP]\ #,##0.00\)"/>
    <numFmt numFmtId="192" formatCode="[$EGP]\ #,##0.00_);[Red]\([$EGP]\ #,##0.00\)"/>
    <numFmt numFmtId="193" formatCode="_(* #,##0.0_);_(* \(#,##0.0\);_(* \-??_);_(@_)"/>
    <numFmt numFmtId="194" formatCode="[$EGP]\ #,##0.00;\-[$EGP]\ #,##0.00"/>
    <numFmt numFmtId="195" formatCode="d/m/yy;@"/>
  </numFmts>
  <fonts count="39" x14ac:knownFonts="1">
    <font>
      <sz val="11"/>
      <color theme="1"/>
      <name val="Calibri"/>
      <family val="2"/>
      <charset val="1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1"/>
    </font>
    <font>
      <b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00FF"/>
      <name val="Calibri"/>
      <family val="2"/>
      <scheme val="minor"/>
    </font>
    <font>
      <sz val="11"/>
      <color theme="1"/>
      <name val="Calibri"/>
      <family val="2"/>
    </font>
    <font>
      <i/>
      <sz val="11"/>
      <color theme="1"/>
      <name val="Calibri"/>
      <family val="2"/>
    </font>
    <font>
      <b/>
      <sz val="11"/>
      <color theme="0"/>
      <name val="Calibri"/>
      <family val="2"/>
    </font>
    <font>
      <sz val="11"/>
      <name val="Calibri"/>
      <family val="2"/>
    </font>
    <font>
      <sz val="11"/>
      <color theme="4" tint="-0.249977111117893"/>
      <name val="Calibri"/>
      <family val="2"/>
    </font>
    <font>
      <b/>
      <sz val="11"/>
      <color theme="1"/>
      <name val="Calibri"/>
      <family val="2"/>
    </font>
    <font>
      <b/>
      <sz val="11"/>
      <name val="Calibri"/>
      <family val="2"/>
    </font>
    <font>
      <b/>
      <sz val="11"/>
      <color rgb="FF000000"/>
      <name val="Calibri"/>
      <family val="2"/>
    </font>
    <font>
      <sz val="11"/>
      <color rgb="FF000000"/>
      <name val="Calibri"/>
      <family val="2"/>
    </font>
    <font>
      <b/>
      <i/>
      <sz val="11"/>
      <color theme="1"/>
      <name val="Calibri"/>
      <family val="2"/>
    </font>
    <font>
      <sz val="11"/>
      <color theme="0"/>
      <name val="Calibri"/>
      <family val="2"/>
    </font>
    <font>
      <i/>
      <sz val="11"/>
      <color theme="1"/>
      <name val="Calibri"/>
      <family val="2"/>
      <scheme val="minor"/>
    </font>
    <font>
      <i/>
      <sz val="11"/>
      <name val="Calibri"/>
      <family val="2"/>
    </font>
    <font>
      <i/>
      <sz val="9"/>
      <color rgb="FF000000"/>
      <name val="Calibri"/>
      <family val="2"/>
      <scheme val="minor"/>
    </font>
    <font>
      <sz val="10"/>
      <name val="Times New Roman"/>
      <family val="1"/>
    </font>
    <font>
      <sz val="11"/>
      <color rgb="FF008000"/>
      <name val="Calibri"/>
      <family val="2"/>
      <scheme val="minor"/>
    </font>
    <font>
      <u/>
      <sz val="11"/>
      <color theme="10"/>
      <name val="Calibri"/>
      <family val="2"/>
      <scheme val="minor"/>
    </font>
    <font>
      <u val="singleAccounting"/>
      <sz val="11"/>
      <color theme="1"/>
      <name val="Calibri"/>
      <family val="2"/>
      <scheme val="minor"/>
    </font>
    <font>
      <u val="singleAccounting"/>
      <sz val="11"/>
      <color rgb="FF000000"/>
      <name val="Calibri"/>
      <family val="2"/>
      <scheme val="minor"/>
    </font>
    <font>
      <b/>
      <sz val="11"/>
      <color rgb="FF000000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color rgb="FF0000FF"/>
      <name val="Calibri"/>
      <family val="2"/>
      <scheme val="minor"/>
    </font>
    <font>
      <b/>
      <u val="singleAccounting"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i/>
      <sz val="11"/>
      <color rgb="FF000000"/>
      <name val="Calibri"/>
      <family val="2"/>
    </font>
    <font>
      <sz val="11"/>
      <color theme="4" tint="-0.249977111117893"/>
      <name val="Calibri"/>
      <family val="2"/>
      <charset val="1"/>
    </font>
    <font>
      <sz val="11"/>
      <name val="Calibri"/>
      <family val="2"/>
      <charset val="1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1"/>
      <color rgb="FF0000FF"/>
      <name val="Calibri"/>
      <family val="2"/>
      <charset val="1"/>
    </font>
    <font>
      <sz val="11"/>
      <color theme="4" tint="-0.249977111117893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D2F2FF"/>
        <bgColor rgb="FF000000"/>
      </patternFill>
    </fill>
    <fill>
      <patternFill patternType="solid">
        <fgColor rgb="FFCCFFFF"/>
        <bgColor indexed="64"/>
      </patternFill>
    </fill>
    <fill>
      <patternFill patternType="solid">
        <fgColor rgb="FFC0C0C0"/>
        <bgColor indexed="64"/>
      </patternFill>
    </fill>
  </fills>
  <borders count="27">
    <border>
      <left/>
      <right/>
      <top/>
      <bottom/>
      <diagonal/>
    </border>
    <border>
      <left/>
      <right/>
      <top style="thin">
        <color theme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 style="hair">
        <color rgb="FF000000"/>
      </left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hair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indexed="64"/>
      </right>
      <top style="thin">
        <color rgb="FF000000"/>
      </top>
      <bottom style="thin">
        <color rgb="FF000000"/>
      </bottom>
      <diagonal/>
    </border>
  </borders>
  <cellStyleXfs count="6">
    <xf numFmtId="0" fontId="0" fillId="0" borderId="0"/>
    <xf numFmtId="168" fontId="4" fillId="0" borderId="0"/>
    <xf numFmtId="9" fontId="4" fillId="0" borderId="0"/>
    <xf numFmtId="0" fontId="3" fillId="0" borderId="0"/>
    <xf numFmtId="37" fontId="22" fillId="0" borderId="0"/>
    <xf numFmtId="0" fontId="24" fillId="0" borderId="0" applyNumberFormat="0" applyFill="0" applyBorder="0" applyAlignment="0" applyProtection="0"/>
  </cellStyleXfs>
  <cellXfs count="264">
    <xf numFmtId="0" fontId="0" fillId="0" borderId="0" xfId="0"/>
    <xf numFmtId="167" fontId="4" fillId="0" borderId="0" xfId="2" applyNumberFormat="1"/>
    <xf numFmtId="0" fontId="5" fillId="0" borderId="4" xfId="0" applyFont="1" applyBorder="1"/>
    <xf numFmtId="0" fontId="6" fillId="0" borderId="0" xfId="0" applyFont="1"/>
    <xf numFmtId="0" fontId="7" fillId="0" borderId="0" xfId="0" applyFont="1" applyAlignment="1">
      <alignment horizontal="center"/>
    </xf>
    <xf numFmtId="14" fontId="7" fillId="0" borderId="0" xfId="0" applyNumberFormat="1" applyFont="1" applyAlignment="1">
      <alignment horizontal="center"/>
    </xf>
    <xf numFmtId="0" fontId="8" fillId="0" borderId="0" xfId="0" applyFont="1"/>
    <xf numFmtId="0" fontId="9" fillId="0" borderId="0" xfId="0" applyFont="1" applyAlignment="1">
      <alignment horizontal="center" vertical="center"/>
    </xf>
    <xf numFmtId="0" fontId="8" fillId="0" borderId="4" xfId="0" applyFont="1" applyBorder="1"/>
    <xf numFmtId="0" fontId="8" fillId="0" borderId="5" xfId="0" applyFont="1" applyBorder="1"/>
    <xf numFmtId="170" fontId="12" fillId="0" borderId="0" xfId="1" applyNumberFormat="1" applyFont="1"/>
    <xf numFmtId="0" fontId="13" fillId="0" borderId="1" xfId="0" applyFont="1" applyBorder="1"/>
    <xf numFmtId="169" fontId="13" fillId="0" borderId="1" xfId="1" applyNumberFormat="1" applyFont="1" applyBorder="1"/>
    <xf numFmtId="0" fontId="13" fillId="0" borderId="0" xfId="0" applyFont="1"/>
    <xf numFmtId="169" fontId="13" fillId="0" borderId="0" xfId="1" applyNumberFormat="1" applyFont="1"/>
    <xf numFmtId="167" fontId="9" fillId="0" borderId="0" xfId="2" applyNumberFormat="1" applyFont="1"/>
    <xf numFmtId="0" fontId="13" fillId="0" borderId="3" xfId="0" applyFont="1" applyBorder="1"/>
    <xf numFmtId="0" fontId="8" fillId="0" borderId="0" xfId="0" applyFont="1" applyAlignment="1">
      <alignment horizontal="left" indent="1"/>
    </xf>
    <xf numFmtId="169" fontId="8" fillId="0" borderId="0" xfId="0" applyNumberFormat="1" applyFont="1"/>
    <xf numFmtId="169" fontId="8" fillId="0" borderId="0" xfId="1" applyNumberFormat="1" applyFont="1"/>
    <xf numFmtId="0" fontId="15" fillId="0" borderId="2" xfId="0" applyFont="1" applyBorder="1"/>
    <xf numFmtId="169" fontId="13" fillId="0" borderId="2" xfId="1" applyNumberFormat="1" applyFont="1" applyBorder="1"/>
    <xf numFmtId="167" fontId="8" fillId="0" borderId="0" xfId="2" applyNumberFormat="1" applyFont="1"/>
    <xf numFmtId="167" fontId="12" fillId="0" borderId="0" xfId="0" applyNumberFormat="1" applyFont="1"/>
    <xf numFmtId="1" fontId="8" fillId="0" borderId="0" xfId="2" applyNumberFormat="1" applyFont="1"/>
    <xf numFmtId="0" fontId="11" fillId="0" borderId="0" xfId="0" applyFont="1" applyAlignment="1">
      <alignment horizontal="left" indent="1"/>
    </xf>
    <xf numFmtId="169" fontId="13" fillId="0" borderId="0" xfId="0" applyNumberFormat="1" applyFont="1"/>
    <xf numFmtId="0" fontId="13" fillId="0" borderId="1" xfId="0" applyFont="1" applyBorder="1" applyAlignment="1">
      <alignment horizontal="left"/>
    </xf>
    <xf numFmtId="0" fontId="17" fillId="0" borderId="0" xfId="0" applyFont="1" applyAlignment="1">
      <alignment horizontal="center" vertical="center"/>
    </xf>
    <xf numFmtId="170" fontId="8" fillId="0" borderId="0" xfId="0" applyNumberFormat="1" applyFont="1"/>
    <xf numFmtId="0" fontId="8" fillId="0" borderId="0" xfId="0" applyFont="1" applyAlignment="1">
      <alignment horizontal="center" vertical="center"/>
    </xf>
    <xf numFmtId="0" fontId="8" fillId="0" borderId="0" xfId="0" applyFont="1" applyAlignment="1">
      <alignment horizontal="left" indent="2"/>
    </xf>
    <xf numFmtId="170" fontId="14" fillId="0" borderId="3" xfId="1" applyNumberFormat="1" applyFont="1" applyBorder="1"/>
    <xf numFmtId="0" fontId="18" fillId="0" borderId="0" xfId="0" applyFont="1"/>
    <xf numFmtId="0" fontId="10" fillId="0" borderId="0" xfId="0" applyFont="1"/>
    <xf numFmtId="0" fontId="18" fillId="0" borderId="0" xfId="0" applyFont="1" applyAlignment="1">
      <alignment horizontal="center" vertical="center"/>
    </xf>
    <xf numFmtId="166" fontId="10" fillId="0" borderId="0" xfId="0" applyNumberFormat="1" applyFont="1" applyAlignment="1">
      <alignment horizontal="center" vertical="center"/>
    </xf>
    <xf numFmtId="0" fontId="11" fillId="0" borderId="0" xfId="0" applyFont="1"/>
    <xf numFmtId="170" fontId="11" fillId="0" borderId="0" xfId="0" applyNumberFormat="1" applyFont="1" applyAlignment="1">
      <alignment horizontal="center" vertical="center"/>
    </xf>
    <xf numFmtId="10" fontId="8" fillId="0" borderId="0" xfId="2" applyNumberFormat="1" applyFont="1"/>
    <xf numFmtId="0" fontId="13" fillId="0" borderId="3" xfId="0" applyFont="1" applyBorder="1" applyAlignment="1">
      <alignment horizontal="left"/>
    </xf>
    <xf numFmtId="0" fontId="5" fillId="0" borderId="6" xfId="0" applyFont="1" applyBorder="1"/>
    <xf numFmtId="0" fontId="0" fillId="0" borderId="6" xfId="0" applyBorder="1"/>
    <xf numFmtId="174" fontId="5" fillId="0" borderId="0" xfId="0" applyNumberFormat="1" applyFont="1"/>
    <xf numFmtId="175" fontId="5" fillId="0" borderId="0" xfId="0" applyNumberFormat="1" applyFont="1"/>
    <xf numFmtId="0" fontId="19" fillId="0" borderId="6" xfId="0" applyFont="1" applyBorder="1"/>
    <xf numFmtId="173" fontId="19" fillId="0" borderId="2" xfId="0" applyNumberFormat="1" applyFont="1" applyBorder="1"/>
    <xf numFmtId="0" fontId="14" fillId="0" borderId="0" xfId="0" applyFont="1"/>
    <xf numFmtId="173" fontId="19" fillId="0" borderId="6" xfId="0" applyNumberFormat="1" applyFont="1" applyBorder="1"/>
    <xf numFmtId="0" fontId="20" fillId="0" borderId="0" xfId="0" applyFont="1" applyAlignment="1">
      <alignment horizontal="center" vertical="center"/>
    </xf>
    <xf numFmtId="166" fontId="14" fillId="0" borderId="0" xfId="0" applyNumberFormat="1" applyFont="1" applyAlignment="1">
      <alignment horizontal="center" vertical="center"/>
    </xf>
    <xf numFmtId="0" fontId="0" fillId="0" borderId="3" xfId="0" applyBorder="1"/>
    <xf numFmtId="174" fontId="5" fillId="0" borderId="3" xfId="0" applyNumberFormat="1" applyFont="1" applyBorder="1"/>
    <xf numFmtId="175" fontId="5" fillId="0" borderId="3" xfId="0" applyNumberFormat="1" applyFont="1" applyBorder="1"/>
    <xf numFmtId="0" fontId="3" fillId="0" borderId="0" xfId="3"/>
    <xf numFmtId="0" fontId="5" fillId="0" borderId="4" xfId="3" applyFont="1" applyBorder="1"/>
    <xf numFmtId="0" fontId="3" fillId="0" borderId="4" xfId="3" applyBorder="1"/>
    <xf numFmtId="0" fontId="21" fillId="0" borderId="5" xfId="3" applyFont="1" applyBorder="1"/>
    <xf numFmtId="14" fontId="7" fillId="0" borderId="0" xfId="4" applyNumberFormat="1" applyFont="1" applyAlignment="1">
      <alignment horizontal="right"/>
    </xf>
    <xf numFmtId="176" fontId="23" fillId="0" borderId="0" xfId="3" applyNumberFormat="1" applyFont="1"/>
    <xf numFmtId="14" fontId="6" fillId="0" borderId="0" xfId="4" applyNumberFormat="1" applyFont="1" applyAlignment="1">
      <alignment horizontal="right"/>
    </xf>
    <xf numFmtId="14" fontId="7" fillId="0" borderId="0" xfId="3" applyNumberFormat="1" applyFont="1" applyAlignment="1">
      <alignment horizontal="right"/>
    </xf>
    <xf numFmtId="0" fontId="24" fillId="0" borderId="0" xfId="5" applyBorder="1"/>
    <xf numFmtId="177" fontId="6" fillId="0" borderId="0" xfId="3" applyNumberFormat="1" applyFont="1"/>
    <xf numFmtId="164" fontId="23" fillId="0" borderId="0" xfId="3" applyNumberFormat="1" applyFont="1" applyAlignment="1">
      <alignment horizontal="right"/>
    </xf>
    <xf numFmtId="0" fontId="5" fillId="0" borderId="7" xfId="3" applyFont="1" applyBorder="1"/>
    <xf numFmtId="0" fontId="3" fillId="0" borderId="7" xfId="3" applyBorder="1"/>
    <xf numFmtId="164" fontId="23" fillId="0" borderId="7" xfId="3" applyNumberFormat="1" applyFont="1" applyBorder="1" applyAlignment="1">
      <alignment horizontal="right"/>
    </xf>
    <xf numFmtId="0" fontId="25" fillId="0" borderId="0" xfId="3" applyFont="1" applyAlignment="1">
      <alignment horizontal="centerContinuous"/>
    </xf>
    <xf numFmtId="0" fontId="26" fillId="0" borderId="8" xfId="3" applyFont="1" applyBorder="1" applyAlignment="1">
      <alignment horizontal="centerContinuous"/>
    </xf>
    <xf numFmtId="0" fontId="19" fillId="0" borderId="0" xfId="3" applyFont="1"/>
    <xf numFmtId="14" fontId="3" fillId="0" borderId="0" xfId="3" applyNumberFormat="1" applyAlignment="1">
      <alignment horizontal="center"/>
    </xf>
    <xf numFmtId="180" fontId="6" fillId="0" borderId="0" xfId="3" applyNumberFormat="1" applyFont="1"/>
    <xf numFmtId="180" fontId="23" fillId="0" borderId="0" xfId="3" applyNumberFormat="1" applyFont="1"/>
    <xf numFmtId="0" fontId="3" fillId="0" borderId="0" xfId="3" applyAlignment="1">
      <alignment horizontal="left" indent="1"/>
    </xf>
    <xf numFmtId="0" fontId="5" fillId="0" borderId="0" xfId="3" applyFont="1"/>
    <xf numFmtId="180" fontId="27" fillId="0" borderId="0" xfId="3" applyNumberFormat="1" applyFont="1"/>
    <xf numFmtId="180" fontId="3" fillId="0" borderId="0" xfId="3" applyNumberFormat="1"/>
    <xf numFmtId="37" fontId="6" fillId="0" borderId="0" xfId="3" applyNumberFormat="1" applyFont="1"/>
    <xf numFmtId="180" fontId="23" fillId="0" borderId="7" xfId="3" applyNumberFormat="1" applyFont="1" applyBorder="1"/>
    <xf numFmtId="180" fontId="26" fillId="0" borderId="7" xfId="3" applyNumberFormat="1" applyFont="1" applyBorder="1" applyAlignment="1">
      <alignment horizontal="center"/>
    </xf>
    <xf numFmtId="180" fontId="26" fillId="0" borderId="0" xfId="3" applyNumberFormat="1" applyFont="1"/>
    <xf numFmtId="14" fontId="3" fillId="0" borderId="0" xfId="3" applyNumberFormat="1"/>
    <xf numFmtId="177" fontId="3" fillId="0" borderId="0" xfId="3" applyNumberFormat="1" applyAlignment="1">
      <alignment horizontal="center"/>
    </xf>
    <xf numFmtId="180" fontId="6" fillId="0" borderId="7" xfId="3" applyNumberFormat="1" applyFont="1" applyBorder="1"/>
    <xf numFmtId="0" fontId="27" fillId="0" borderId="0" xfId="3" applyFont="1"/>
    <xf numFmtId="177" fontId="7" fillId="0" borderId="0" xfId="3" applyNumberFormat="1" applyFont="1"/>
    <xf numFmtId="179" fontId="3" fillId="0" borderId="0" xfId="3" applyNumberFormat="1"/>
    <xf numFmtId="181" fontId="7" fillId="0" borderId="0" xfId="3" applyNumberFormat="1" applyFont="1"/>
    <xf numFmtId="180" fontId="5" fillId="0" borderId="0" xfId="3" applyNumberFormat="1" applyFont="1"/>
    <xf numFmtId="0" fontId="19" fillId="0" borderId="0" xfId="3" applyFont="1" applyAlignment="1">
      <alignment horizontal="left"/>
    </xf>
    <xf numFmtId="177" fontId="19" fillId="0" borderId="0" xfId="3" applyNumberFormat="1" applyFont="1"/>
    <xf numFmtId="182" fontId="19" fillId="0" borderId="0" xfId="3" applyNumberFormat="1" applyFont="1"/>
    <xf numFmtId="177" fontId="3" fillId="0" borderId="0" xfId="3" applyNumberFormat="1"/>
    <xf numFmtId="181" fontId="19" fillId="0" borderId="0" xfId="3" applyNumberFormat="1" applyFont="1"/>
    <xf numFmtId="176" fontId="3" fillId="0" borderId="0" xfId="3" quotePrefix="1" applyNumberFormat="1"/>
    <xf numFmtId="0" fontId="3" fillId="0" borderId="0" xfId="3" applyAlignment="1">
      <alignment horizontal="left"/>
    </xf>
    <xf numFmtId="0" fontId="28" fillId="0" borderId="0" xfId="3" applyFont="1"/>
    <xf numFmtId="0" fontId="28" fillId="0" borderId="0" xfId="3" applyFont="1" applyAlignment="1">
      <alignment horizontal="right"/>
    </xf>
    <xf numFmtId="0" fontId="28" fillId="0" borderId="0" xfId="3" applyFont="1" applyAlignment="1">
      <alignment horizontal="left" vertical="center"/>
    </xf>
    <xf numFmtId="14" fontId="6" fillId="0" borderId="0" xfId="3" applyNumberFormat="1" applyFont="1"/>
    <xf numFmtId="183" fontId="7" fillId="0" borderId="0" xfId="3" applyNumberFormat="1" applyFont="1"/>
    <xf numFmtId="172" fontId="7" fillId="0" borderId="0" xfId="3" applyNumberFormat="1" applyFont="1"/>
    <xf numFmtId="37" fontId="23" fillId="0" borderId="0" xfId="3" applyNumberFormat="1" applyFont="1"/>
    <xf numFmtId="172" fontId="23" fillId="0" borderId="0" xfId="3" applyNumberFormat="1" applyFont="1" applyAlignment="1">
      <alignment horizontal="right"/>
    </xf>
    <xf numFmtId="0" fontId="6" fillId="0" borderId="0" xfId="3" applyFont="1" applyAlignment="1">
      <alignment horizontal="left" indent="1"/>
    </xf>
    <xf numFmtId="0" fontId="5" fillId="0" borderId="0" xfId="3" applyFont="1" applyAlignment="1">
      <alignment horizontal="left"/>
    </xf>
    <xf numFmtId="184" fontId="7" fillId="0" borderId="0" xfId="3" applyNumberFormat="1" applyFont="1"/>
    <xf numFmtId="0" fontId="3" fillId="0" borderId="0" xfId="3" applyAlignment="1">
      <alignment horizontal="left" vertical="center" indent="1"/>
    </xf>
    <xf numFmtId="172" fontId="3" fillId="0" borderId="0" xfId="3" applyNumberFormat="1"/>
    <xf numFmtId="183" fontId="29" fillId="0" borderId="0" xfId="3" applyNumberFormat="1" applyFont="1"/>
    <xf numFmtId="0" fontId="5" fillId="0" borderId="0" xfId="3" applyFont="1" applyAlignment="1">
      <alignment vertical="center"/>
    </xf>
    <xf numFmtId="0" fontId="25" fillId="0" borderId="0" xfId="3" applyFont="1" applyAlignment="1">
      <alignment horizontal="right"/>
    </xf>
    <xf numFmtId="180" fontId="3" fillId="0" borderId="0" xfId="3" applyNumberFormat="1" applyAlignment="1">
      <alignment horizontal="right"/>
    </xf>
    <xf numFmtId="37" fontId="19" fillId="0" borderId="7" xfId="3" applyNumberFormat="1" applyFont="1" applyBorder="1" applyAlignment="1">
      <alignment horizontal="right"/>
    </xf>
    <xf numFmtId="37" fontId="3" fillId="0" borderId="0" xfId="3" applyNumberFormat="1" applyAlignment="1">
      <alignment horizontal="right"/>
    </xf>
    <xf numFmtId="187" fontId="3" fillId="0" borderId="0" xfId="3" applyNumberFormat="1" applyAlignment="1">
      <alignment horizontal="right"/>
    </xf>
    <xf numFmtId="0" fontId="6" fillId="2" borderId="0" xfId="3" applyFont="1" applyFill="1"/>
    <xf numFmtId="0" fontId="30" fillId="0" borderId="0" xfId="3" applyFont="1" applyAlignment="1">
      <alignment horizontal="centerContinuous"/>
    </xf>
    <xf numFmtId="0" fontId="25" fillId="0" borderId="9" xfId="3" applyFont="1" applyBorder="1" applyAlignment="1">
      <alignment horizontal="centerContinuous"/>
    </xf>
    <xf numFmtId="0" fontId="3" fillId="0" borderId="0" xfId="3" applyAlignment="1">
      <alignment horizontal="centerContinuous"/>
    </xf>
    <xf numFmtId="0" fontId="3" fillId="0" borderId="9" xfId="3" applyBorder="1" applyAlignment="1">
      <alignment horizontal="centerContinuous"/>
    </xf>
    <xf numFmtId="0" fontId="3" fillId="0" borderId="0" xfId="3" applyAlignment="1">
      <alignment horizontal="right"/>
    </xf>
    <xf numFmtId="167" fontId="7" fillId="3" borderId="11" xfId="3" applyNumberFormat="1" applyFont="1" applyFill="1" applyBorder="1"/>
    <xf numFmtId="181" fontId="3" fillId="0" borderId="12" xfId="3" applyNumberFormat="1" applyBorder="1" applyAlignment="1">
      <alignment horizontal="right"/>
    </xf>
    <xf numFmtId="188" fontId="3" fillId="0" borderId="0" xfId="3" applyNumberFormat="1"/>
    <xf numFmtId="188" fontId="3" fillId="0" borderId="9" xfId="3" applyNumberFormat="1" applyBorder="1"/>
    <xf numFmtId="181" fontId="3" fillId="0" borderId="0" xfId="3" applyNumberFormat="1" applyAlignment="1">
      <alignment horizontal="right"/>
    </xf>
    <xf numFmtId="167" fontId="7" fillId="3" borderId="14" xfId="3" applyNumberFormat="1" applyFont="1" applyFill="1" applyBorder="1" applyAlignment="1">
      <alignment horizontal="right"/>
    </xf>
    <xf numFmtId="0" fontId="27" fillId="2" borderId="0" xfId="3" applyFont="1" applyFill="1" applyAlignment="1">
      <alignment horizontal="center"/>
    </xf>
    <xf numFmtId="189" fontId="3" fillId="0" borderId="0" xfId="3" applyNumberFormat="1"/>
    <xf numFmtId="181" fontId="7" fillId="3" borderId="11" xfId="3" applyNumberFormat="1" applyFont="1" applyFill="1" applyBorder="1"/>
    <xf numFmtId="0" fontId="3" fillId="0" borderId="9" xfId="3" applyBorder="1"/>
    <xf numFmtId="0" fontId="5" fillId="4" borderId="0" xfId="3" applyFont="1" applyFill="1"/>
    <xf numFmtId="0" fontId="5" fillId="4" borderId="9" xfId="3" applyFont="1" applyFill="1" applyBorder="1"/>
    <xf numFmtId="190" fontId="3" fillId="0" borderId="0" xfId="3" applyNumberFormat="1"/>
    <xf numFmtId="0" fontId="3" fillId="0" borderId="10" xfId="3" applyBorder="1"/>
    <xf numFmtId="0" fontId="3" fillId="0" borderId="11" xfId="3" applyBorder="1" applyAlignment="1">
      <alignment horizontal="right"/>
    </xf>
    <xf numFmtId="0" fontId="3" fillId="0" borderId="13" xfId="3" applyBorder="1" applyAlignment="1">
      <alignment horizontal="right"/>
    </xf>
    <xf numFmtId="0" fontId="3" fillId="0" borderId="11" xfId="3" applyBorder="1"/>
    <xf numFmtId="0" fontId="3" fillId="0" borderId="15" xfId="3" applyBorder="1"/>
    <xf numFmtId="177" fontId="6" fillId="0" borderId="0" xfId="0" applyNumberFormat="1" applyFont="1"/>
    <xf numFmtId="0" fontId="27" fillId="0" borderId="7" xfId="3" applyFont="1" applyBorder="1"/>
    <xf numFmtId="0" fontId="6" fillId="0" borderId="7" xfId="3" applyFont="1" applyBorder="1"/>
    <xf numFmtId="0" fontId="27" fillId="0" borderId="7" xfId="3" applyFont="1" applyBorder="1" applyAlignment="1">
      <alignment horizontal="right"/>
    </xf>
    <xf numFmtId="0" fontId="28" fillId="0" borderId="0" xfId="3" applyFont="1" applyAlignment="1">
      <alignment horizontal="left"/>
    </xf>
    <xf numFmtId="0" fontId="5" fillId="0" borderId="6" xfId="3" applyFont="1" applyBorder="1"/>
    <xf numFmtId="0" fontId="5" fillId="0" borderId="10" xfId="3" applyFont="1" applyBorder="1"/>
    <xf numFmtId="10" fontId="7" fillId="0" borderId="0" xfId="3" applyNumberFormat="1" applyFont="1"/>
    <xf numFmtId="190" fontId="23" fillId="0" borderId="7" xfId="3" applyNumberFormat="1" applyFont="1" applyBorder="1"/>
    <xf numFmtId="190" fontId="6" fillId="0" borderId="0" xfId="3" applyNumberFormat="1" applyFont="1"/>
    <xf numFmtId="10" fontId="7" fillId="0" borderId="7" xfId="3" applyNumberFormat="1" applyFont="1" applyBorder="1"/>
    <xf numFmtId="10" fontId="6" fillId="0" borderId="0" xfId="3" applyNumberFormat="1" applyFont="1"/>
    <xf numFmtId="167" fontId="6" fillId="0" borderId="0" xfId="3" applyNumberFormat="1" applyFont="1"/>
    <xf numFmtId="0" fontId="3" fillId="0" borderId="6" xfId="3" applyBorder="1"/>
    <xf numFmtId="167" fontId="26" fillId="0" borderId="0" xfId="3" applyNumberFormat="1" applyFont="1" applyAlignment="1">
      <alignment horizontal="right"/>
    </xf>
    <xf numFmtId="9" fontId="7" fillId="0" borderId="0" xfId="3" applyNumberFormat="1" applyFont="1"/>
    <xf numFmtId="176" fontId="3" fillId="0" borderId="0" xfId="3" applyNumberFormat="1"/>
    <xf numFmtId="9" fontId="6" fillId="0" borderId="0" xfId="3" applyNumberFormat="1" applyFont="1"/>
    <xf numFmtId="0" fontId="5" fillId="0" borderId="11" xfId="3" applyFont="1" applyBorder="1"/>
    <xf numFmtId="176" fontId="5" fillId="0" borderId="13" xfId="3" applyNumberFormat="1" applyFont="1" applyBorder="1"/>
    <xf numFmtId="191" fontId="7" fillId="0" borderId="0" xfId="3" applyNumberFormat="1" applyFont="1"/>
    <xf numFmtId="180" fontId="6" fillId="0" borderId="0" xfId="0" applyNumberFormat="1" applyFont="1"/>
    <xf numFmtId="14" fontId="0" fillId="0" borderId="0" xfId="0" applyNumberFormat="1"/>
    <xf numFmtId="39" fontId="7" fillId="0" borderId="0" xfId="3" applyNumberFormat="1" applyFont="1"/>
    <xf numFmtId="170" fontId="14" fillId="0" borderId="0" xfId="1" applyNumberFormat="1" applyFont="1"/>
    <xf numFmtId="170" fontId="13" fillId="0" borderId="0" xfId="0" applyNumberFormat="1" applyFont="1"/>
    <xf numFmtId="192" fontId="7" fillId="0" borderId="0" xfId="0" applyNumberFormat="1" applyFont="1" applyAlignment="1">
      <alignment horizontal="center"/>
    </xf>
    <xf numFmtId="185" fontId="0" fillId="0" borderId="6" xfId="0" applyNumberFormat="1" applyBorder="1" applyAlignment="1">
      <alignment horizontal="right"/>
    </xf>
    <xf numFmtId="185" fontId="0" fillId="0" borderId="12" xfId="0" applyNumberFormat="1" applyBorder="1"/>
    <xf numFmtId="181" fontId="31" fillId="3" borderId="11" xfId="3" applyNumberFormat="1" applyFont="1" applyFill="1" applyBorder="1"/>
    <xf numFmtId="0" fontId="0" fillId="0" borderId="16" xfId="0" quotePrefix="1" applyBorder="1"/>
    <xf numFmtId="39" fontId="0" fillId="0" borderId="0" xfId="0" applyNumberFormat="1"/>
    <xf numFmtId="39" fontId="0" fillId="0" borderId="17" xfId="0" applyNumberFormat="1" applyBorder="1"/>
    <xf numFmtId="0" fontId="0" fillId="0" borderId="16" xfId="0" applyBorder="1"/>
    <xf numFmtId="0" fontId="0" fillId="0" borderId="18" xfId="0" applyBorder="1"/>
    <xf numFmtId="39" fontId="0" fillId="0" borderId="6" xfId="0" applyNumberFormat="1" applyBorder="1"/>
    <xf numFmtId="39" fontId="6" fillId="0" borderId="6" xfId="0" applyNumberFormat="1" applyFont="1" applyBorder="1"/>
    <xf numFmtId="39" fontId="0" fillId="0" borderId="12" xfId="0" applyNumberFormat="1" applyBorder="1"/>
    <xf numFmtId="0" fontId="0" fillId="0" borderId="9" xfId="0" applyBorder="1"/>
    <xf numFmtId="39" fontId="6" fillId="0" borderId="0" xfId="0" applyNumberFormat="1" applyFont="1"/>
    <xf numFmtId="39" fontId="6" fillId="0" borderId="17" xfId="0" applyNumberFormat="1" applyFont="1" applyBorder="1"/>
    <xf numFmtId="0" fontId="0" fillId="0" borderId="19" xfId="0" applyBorder="1"/>
    <xf numFmtId="39" fontId="6" fillId="0" borderId="12" xfId="0" applyNumberFormat="1" applyFont="1" applyBorder="1"/>
    <xf numFmtId="178" fontId="5" fillId="0" borderId="20" xfId="3" applyNumberFormat="1" applyFont="1" applyBorder="1"/>
    <xf numFmtId="180" fontId="23" fillId="0" borderId="21" xfId="3" applyNumberFormat="1" applyFont="1" applyBorder="1"/>
    <xf numFmtId="9" fontId="4" fillId="0" borderId="21" xfId="2" applyBorder="1"/>
    <xf numFmtId="180" fontId="6" fillId="0" borderId="21" xfId="3" applyNumberFormat="1" applyFont="1" applyBorder="1"/>
    <xf numFmtId="176" fontId="23" fillId="0" borderId="21" xfId="3" applyNumberFormat="1" applyFont="1" applyBorder="1"/>
    <xf numFmtId="180" fontId="27" fillId="0" borderId="22" xfId="3" applyNumberFormat="1" applyFont="1" applyBorder="1"/>
    <xf numFmtId="179" fontId="5" fillId="0" borderId="23" xfId="3" applyNumberFormat="1" applyFont="1" applyBorder="1"/>
    <xf numFmtId="180" fontId="23" fillId="0" borderId="24" xfId="3" applyNumberFormat="1" applyFont="1" applyBorder="1"/>
    <xf numFmtId="179" fontId="5" fillId="0" borderId="20" xfId="3" applyNumberFormat="1" applyFont="1" applyBorder="1"/>
    <xf numFmtId="14" fontId="21" fillId="0" borderId="5" xfId="3" applyNumberFormat="1" applyFont="1" applyBorder="1"/>
    <xf numFmtId="169" fontId="4" fillId="0" borderId="0" xfId="1" applyNumberFormat="1"/>
    <xf numFmtId="170" fontId="8" fillId="0" borderId="0" xfId="0" applyNumberFormat="1" applyFont="1" applyAlignment="1">
      <alignment horizontal="center" vertical="center"/>
    </xf>
    <xf numFmtId="170" fontId="0" fillId="0" borderId="0" xfId="0" applyNumberFormat="1"/>
    <xf numFmtId="169" fontId="33" fillId="0" borderId="0" xfId="1" applyNumberFormat="1" applyFont="1"/>
    <xf numFmtId="180" fontId="7" fillId="0" borderId="0" xfId="3" applyNumberFormat="1" applyFont="1"/>
    <xf numFmtId="3" fontId="5" fillId="0" borderId="0" xfId="3" applyNumberFormat="1" applyFont="1"/>
    <xf numFmtId="14" fontId="7" fillId="0" borderId="0" xfId="3" applyNumberFormat="1" applyFont="1" applyAlignment="1">
      <alignment horizontal="left" vertical="center"/>
    </xf>
    <xf numFmtId="0" fontId="7" fillId="0" borderId="0" xfId="3" applyFont="1" applyAlignment="1">
      <alignment horizontal="left" vertical="center"/>
    </xf>
    <xf numFmtId="167" fontId="6" fillId="3" borderId="14" xfId="0" applyNumberFormat="1" applyFont="1" applyFill="1" applyBorder="1" applyAlignment="1">
      <alignment horizontal="right"/>
    </xf>
    <xf numFmtId="167" fontId="6" fillId="3" borderId="25" xfId="0" applyNumberFormat="1" applyFont="1" applyFill="1" applyBorder="1" applyAlignment="1">
      <alignment horizontal="right"/>
    </xf>
    <xf numFmtId="167" fontId="6" fillId="3" borderId="10" xfId="0" applyNumberFormat="1" applyFont="1" applyFill="1" applyBorder="1"/>
    <xf numFmtId="167" fontId="6" fillId="3" borderId="11" xfId="0" applyNumberFormat="1" applyFont="1" applyFill="1" applyBorder="1"/>
    <xf numFmtId="0" fontId="7" fillId="0" borderId="0" xfId="0" applyFont="1" applyAlignment="1">
      <alignment horizontal="left" vertical="center"/>
    </xf>
    <xf numFmtId="193" fontId="4" fillId="0" borderId="0" xfId="1" applyNumberFormat="1"/>
    <xf numFmtId="0" fontId="13" fillId="0" borderId="0" xfId="0" applyFont="1" applyAlignment="1">
      <alignment horizontal="left"/>
    </xf>
    <xf numFmtId="171" fontId="12" fillId="0" borderId="0" xfId="0" applyNumberFormat="1" applyFont="1"/>
    <xf numFmtId="165" fontId="13" fillId="0" borderId="0" xfId="0" applyNumberFormat="1" applyFont="1" applyAlignment="1">
      <alignment horizontal="center" vertical="center"/>
    </xf>
    <xf numFmtId="165" fontId="11" fillId="0" borderId="0" xfId="1" applyNumberFormat="1" applyFont="1"/>
    <xf numFmtId="165" fontId="8" fillId="0" borderId="0" xfId="0" applyNumberFormat="1" applyFont="1" applyAlignment="1">
      <alignment horizontal="center" vertical="center"/>
    </xf>
    <xf numFmtId="165" fontId="8" fillId="0" borderId="0" xfId="0" applyNumberFormat="1" applyFont="1"/>
    <xf numFmtId="165" fontId="14" fillId="0" borderId="0" xfId="1" applyNumberFormat="1" applyFont="1"/>
    <xf numFmtId="165" fontId="13" fillId="0" borderId="0" xfId="1" applyNumberFormat="1" applyFont="1"/>
    <xf numFmtId="165" fontId="17" fillId="0" borderId="0" xfId="0" applyNumberFormat="1" applyFont="1" applyAlignment="1">
      <alignment horizontal="center" vertical="center"/>
    </xf>
    <xf numFmtId="165" fontId="9" fillId="0" borderId="0" xfId="0" applyNumberFormat="1" applyFont="1" applyAlignment="1">
      <alignment horizontal="center" vertical="center"/>
    </xf>
    <xf numFmtId="165" fontId="11" fillId="0" borderId="0" xfId="0" applyNumberFormat="1" applyFont="1"/>
    <xf numFmtId="165" fontId="20" fillId="0" borderId="0" xfId="0" applyNumberFormat="1" applyFont="1" applyAlignment="1">
      <alignment horizontal="center" vertical="center"/>
    </xf>
    <xf numFmtId="165" fontId="14" fillId="0" borderId="0" xfId="0" applyNumberFormat="1" applyFont="1" applyAlignment="1">
      <alignment horizontal="center" vertical="center"/>
    </xf>
    <xf numFmtId="9" fontId="4" fillId="0" borderId="0" xfId="2"/>
    <xf numFmtId="165" fontId="14" fillId="0" borderId="3" xfId="1" applyNumberFormat="1" applyFont="1" applyBorder="1"/>
    <xf numFmtId="9" fontId="33" fillId="0" borderId="0" xfId="2" applyFont="1"/>
    <xf numFmtId="167" fontId="11" fillId="0" borderId="3" xfId="2" applyNumberFormat="1" applyFont="1" applyBorder="1"/>
    <xf numFmtId="167" fontId="6" fillId="0" borderId="0" xfId="0" applyNumberFormat="1" applyFont="1"/>
    <xf numFmtId="167" fontId="33" fillId="0" borderId="0" xfId="2" applyNumberFormat="1" applyFont="1"/>
    <xf numFmtId="167" fontId="34" fillId="0" borderId="0" xfId="2" applyNumberFormat="1" applyFont="1"/>
    <xf numFmtId="170" fontId="13" fillId="0" borderId="0" xfId="0" applyNumberFormat="1" applyFont="1" applyAlignment="1">
      <alignment horizontal="center" vertical="center"/>
    </xf>
    <xf numFmtId="0" fontId="2" fillId="0" borderId="0" xfId="3" applyFont="1"/>
    <xf numFmtId="37" fontId="2" fillId="0" borderId="0" xfId="3" applyNumberFormat="1" applyFont="1" applyAlignment="1">
      <alignment horizontal="right"/>
    </xf>
    <xf numFmtId="169" fontId="13" fillId="0" borderId="0" xfId="0" applyNumberFormat="1" applyFont="1" applyAlignment="1">
      <alignment horizontal="center" vertical="center"/>
    </xf>
    <xf numFmtId="169" fontId="14" fillId="0" borderId="0" xfId="0" applyNumberFormat="1" applyFont="1" applyAlignment="1">
      <alignment horizontal="center" vertical="center"/>
    </xf>
    <xf numFmtId="169" fontId="14" fillId="0" borderId="0" xfId="1" applyNumberFormat="1" applyFont="1"/>
    <xf numFmtId="176" fontId="0" fillId="0" borderId="0" xfId="0" quotePrefix="1" applyNumberFormat="1"/>
    <xf numFmtId="194" fontId="5" fillId="0" borderId="0" xfId="3" applyNumberFormat="1" applyFont="1" applyAlignment="1">
      <alignment horizontal="right"/>
    </xf>
    <xf numFmtId="167" fontId="6" fillId="3" borderId="26" xfId="0" applyNumberFormat="1" applyFont="1" applyFill="1" applyBorder="1"/>
    <xf numFmtId="181" fontId="6" fillId="0" borderId="0" xfId="3" applyNumberFormat="1" applyFont="1"/>
    <xf numFmtId="181" fontId="31" fillId="3" borderId="26" xfId="3" applyNumberFormat="1" applyFont="1" applyFill="1" applyBorder="1"/>
    <xf numFmtId="0" fontId="5" fillId="0" borderId="0" xfId="0" applyFont="1"/>
    <xf numFmtId="165" fontId="19" fillId="0" borderId="0" xfId="0" applyNumberFormat="1" applyFont="1"/>
    <xf numFmtId="169" fontId="11" fillId="0" borderId="0" xfId="1" applyNumberFormat="1" applyFont="1"/>
    <xf numFmtId="171" fontId="8" fillId="0" borderId="0" xfId="0" applyNumberFormat="1" applyFont="1"/>
    <xf numFmtId="167" fontId="8" fillId="0" borderId="0" xfId="2" applyNumberFormat="1" applyFont="1" applyAlignment="1">
      <alignment horizontal="left"/>
    </xf>
    <xf numFmtId="0" fontId="8" fillId="0" borderId="0" xfId="0" applyFont="1" applyAlignment="1">
      <alignment horizontal="left"/>
    </xf>
    <xf numFmtId="169" fontId="34" fillId="0" borderId="0" xfId="1" applyNumberFormat="1" applyFont="1"/>
    <xf numFmtId="171" fontId="13" fillId="0" borderId="0" xfId="1" applyNumberFormat="1" applyFont="1"/>
    <xf numFmtId="0" fontId="15" fillId="0" borderId="0" xfId="0" applyFont="1" applyAlignment="1">
      <alignment horizontal="left"/>
    </xf>
    <xf numFmtId="0" fontId="32" fillId="0" borderId="0" xfId="0" applyFont="1" applyAlignment="1">
      <alignment horizontal="left"/>
    </xf>
    <xf numFmtId="0" fontId="16" fillId="0" borderId="0" xfId="0" applyFont="1" applyAlignment="1">
      <alignment horizontal="left"/>
    </xf>
    <xf numFmtId="168" fontId="8" fillId="0" borderId="0" xfId="1" applyFont="1"/>
    <xf numFmtId="0" fontId="13" fillId="0" borderId="0" xfId="0" applyFont="1" applyAlignment="1">
      <alignment horizontal="left" indent="1"/>
    </xf>
    <xf numFmtId="195" fontId="19" fillId="0" borderId="2" xfId="0" applyNumberFormat="1" applyFont="1" applyBorder="1"/>
    <xf numFmtId="195" fontId="1" fillId="0" borderId="2" xfId="0" applyNumberFormat="1" applyFont="1" applyBorder="1" applyAlignment="1">
      <alignment horizontal="center"/>
    </xf>
    <xf numFmtId="170" fontId="13" fillId="0" borderId="3" xfId="0" applyNumberFormat="1" applyFont="1" applyBorder="1" applyAlignment="1">
      <alignment horizontal="center" vertical="center"/>
    </xf>
    <xf numFmtId="10" fontId="4" fillId="0" borderId="0" xfId="2" applyNumberFormat="1"/>
    <xf numFmtId="14" fontId="21" fillId="0" borderId="0" xfId="0" applyNumberFormat="1" applyFont="1" applyAlignment="1">
      <alignment horizontal="left"/>
    </xf>
    <xf numFmtId="169" fontId="37" fillId="0" borderId="0" xfId="1" applyNumberFormat="1" applyFont="1"/>
    <xf numFmtId="170" fontId="11" fillId="0" borderId="0" xfId="1" applyNumberFormat="1" applyFont="1"/>
    <xf numFmtId="170" fontId="12" fillId="0" borderId="0" xfId="0" applyNumberFormat="1" applyFont="1"/>
    <xf numFmtId="167" fontId="11" fillId="0" borderId="0" xfId="0" applyNumberFormat="1" applyFont="1"/>
    <xf numFmtId="190" fontId="38" fillId="0" borderId="7" xfId="3" applyNumberFormat="1" applyFont="1" applyBorder="1"/>
    <xf numFmtId="186" fontId="0" fillId="0" borderId="0" xfId="0" applyNumberFormat="1" applyAlignment="1">
      <alignment horizontal="right"/>
    </xf>
    <xf numFmtId="187" fontId="0" fillId="0" borderId="0" xfId="0" applyNumberFormat="1" applyAlignment="1">
      <alignment horizontal="right"/>
    </xf>
  </cellXfs>
  <cellStyles count="6">
    <cellStyle name="Comma" xfId="1" builtinId="3"/>
    <cellStyle name="Hyperlink" xfId="5" builtinId="8"/>
    <cellStyle name="Normal" xfId="0" builtinId="0"/>
    <cellStyle name="Normal 2" xfId="3" xr:uid="{937EC6E3-AE83-4BBC-ACEF-6FAAD38BC45D}"/>
    <cellStyle name="Normal_DCF_Model" xfId="4" xr:uid="{EB47B55B-6DFA-4D8F-B164-61C0BEC4F72F}"/>
    <cellStyle name="Percent" xfId="2" builtinId="5"/>
  </cellStyles>
  <dxfs count="3">
    <dxf>
      <font>
        <b/>
        <i val="0"/>
      </font>
      <fill>
        <patternFill patternType="solid">
          <bgColor theme="2"/>
        </patternFill>
      </fill>
      <border>
        <left/>
        <right/>
        <top/>
        <bottom/>
      </border>
    </dxf>
    <dxf>
      <font>
        <color rgb="FF9C0006"/>
      </font>
      <fill>
        <patternFill>
          <bgColor rgb="FFFFC7CE"/>
        </patternFill>
      </fill>
    </dxf>
    <dxf>
      <fill>
        <patternFill>
          <bgColor rgb="FF4BACC6"/>
        </patternFill>
      </fill>
      <border>
        <left/>
        <right/>
        <top style="thin">
          <color rgb="FF9C0006"/>
        </top>
        <bottom style="thin">
          <color rgb="FF9C0006"/>
        </bottom>
        <vertical/>
        <horizontal/>
      </border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CC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99CCFF"/>
      <rgbColor rgb="FFFF99CC"/>
      <rgbColor rgb="FFCC99FF"/>
      <rgbColor rgb="FFFFCC99"/>
      <rgbColor rgb="FF2E75B6"/>
      <rgbColor rgb="FF33CCCC"/>
      <rgbColor rgb="FF99CC00"/>
      <rgbColor rgb="FFFFCC00"/>
      <rgbColor rgb="FFFF9900"/>
      <rgbColor rgb="FFFF6600"/>
      <rgbColor rgb="FF666699"/>
      <rgbColor rgb="FF969696"/>
      <rgbColor rgb="FF003366"/>
      <rgbColor rgb="FF339966"/>
      <rgbColor rgb="FF003300"/>
      <rgbColor rgb="FF333300"/>
      <rgbColor rgb="FF993300"/>
      <rgbColor rgb="FF993366"/>
      <rgbColor rgb="FF333F4F"/>
      <rgbColor rgb="FF222A35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DCF Equity Valuation Range </a:t>
            </a:r>
          </a:p>
        </c:rich>
      </c:tx>
      <c:layout>
        <c:manualLayout>
          <c:xMode val="edge"/>
          <c:yMode val="edge"/>
          <c:x val="0.31291626892699836"/>
          <c:y val="0"/>
        </c:manualLayout>
      </c:layout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DCF!$B$128:$B$130</c:f>
              <c:strCache>
                <c:ptCount val="3"/>
                <c:pt idx="0">
                  <c:v>DCF Value at 7.0x-9.0x Exit EBITDA Range at 23.1% WACC</c:v>
                </c:pt>
                <c:pt idx="1">
                  <c:v>DCF Value at 9.0%-11.0% Perpetuity Range at 23.1% WACC</c:v>
                </c:pt>
                <c:pt idx="2">
                  <c:v>52 Week Market High/Low</c:v>
                </c:pt>
              </c:strCache>
            </c:strRef>
          </c:cat>
          <c:val>
            <c:numRef>
              <c:f>DCF!$C$128:$C$130</c:f>
              <c:numCache>
                <c:formatCode>#,##0.00_);\(#,##0.00\)</c:formatCode>
                <c:ptCount val="3"/>
                <c:pt idx="0">
                  <c:v>8.9441944489321461</c:v>
                </c:pt>
                <c:pt idx="1">
                  <c:v>6.7187557188317584</c:v>
                </c:pt>
                <c:pt idx="2">
                  <c:v>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B83-4E91-8D66-944AAAC33F38}"/>
            </c:ext>
          </c:extLst>
        </c:ser>
        <c:ser>
          <c:idx val="1"/>
          <c:order val="1"/>
          <c:invertIfNegative val="0"/>
          <c:cat>
            <c:strRef>
              <c:f>DCF!$B$128:$B$130</c:f>
              <c:strCache>
                <c:ptCount val="3"/>
                <c:pt idx="0">
                  <c:v>DCF Value at 7.0x-9.0x Exit EBITDA Range at 23.1% WACC</c:v>
                </c:pt>
                <c:pt idx="1">
                  <c:v>DCF Value at 9.0%-11.0% Perpetuity Range at 23.1% WACC</c:v>
                </c:pt>
                <c:pt idx="2">
                  <c:v>52 Week Market High/Low</c:v>
                </c:pt>
              </c:strCache>
            </c:strRef>
          </c:cat>
          <c:val>
            <c:numRef>
              <c:f>DCF!$D$128:$D$130</c:f>
              <c:numCache>
                <c:formatCode>#,##0.00_);\(#,##0.00\)</c:formatCode>
                <c:ptCount val="3"/>
                <c:pt idx="0">
                  <c:v>0.77929604869641267</c:v>
                </c:pt>
                <c:pt idx="1">
                  <c:v>0.2774893485160348</c:v>
                </c:pt>
                <c:pt idx="2">
                  <c:v>0.80000000000000071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B83-4E91-8D66-944AAAC33F38}"/>
            </c:ext>
          </c:extLst>
        </c:ser>
        <c:ser>
          <c:idx val="2"/>
          <c:order val="2"/>
          <c:spPr>
            <a:noFill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DCF!$B$128:$B$130</c:f>
              <c:strCache>
                <c:ptCount val="3"/>
                <c:pt idx="0">
                  <c:v>DCF Value at 7.0x-9.0x Exit EBITDA Range at 23.1% WACC</c:v>
                </c:pt>
                <c:pt idx="1">
                  <c:v>DCF Value at 9.0%-11.0% Perpetuity Range at 23.1% WACC</c:v>
                </c:pt>
                <c:pt idx="2">
                  <c:v>52 Week Market High/Low</c:v>
                </c:pt>
              </c:strCache>
            </c:strRef>
          </c:cat>
          <c:val>
            <c:numRef>
              <c:f>DCF!$E$128:$E$130</c:f>
              <c:numCache>
                <c:formatCode>#,##0.00_);\(#,##0.00\)</c:formatCode>
                <c:ptCount val="3"/>
                <c:pt idx="0">
                  <c:v>9.7234904976285588</c:v>
                </c:pt>
                <c:pt idx="1">
                  <c:v>6.9962450673477932</c:v>
                </c:pt>
                <c:pt idx="2">
                  <c:v>21.8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B83-4E91-8D66-944AAAC33F3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9639680"/>
        <c:axId val="99641216"/>
      </c:barChart>
      <c:catAx>
        <c:axId val="99639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9641216"/>
        <c:crosses val="autoZero"/>
        <c:auto val="1"/>
        <c:lblAlgn val="ctr"/>
        <c:lblOffset val="100"/>
        <c:noMultiLvlLbl val="0"/>
      </c:catAx>
      <c:valAx>
        <c:axId val="99641216"/>
        <c:scaling>
          <c:orientation val="minMax"/>
          <c:max val="400"/>
          <c:min val="100"/>
        </c:scaling>
        <c:delete val="0"/>
        <c:axPos val="l"/>
        <c:numFmt formatCode="#,##0.00_);\(#,##0.00\)" sourceLinked="1"/>
        <c:majorTickMark val="out"/>
        <c:minorTickMark val="none"/>
        <c:tickLblPos val="nextTo"/>
        <c:crossAx val="9963968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/>
            </a:pPr>
            <a:r>
              <a:rPr lang="en-US" sz="1100"/>
              <a:t>LTM EBITDA Multiple Range</a:t>
            </a:r>
          </a:p>
        </c:rich>
      </c:tx>
      <c:layout>
        <c:manualLayout>
          <c:xMode val="edge"/>
          <c:yMode val="edge"/>
          <c:x val="0.31291626892699836"/>
          <c:y val="0"/>
        </c:manualLayout>
      </c:layout>
      <c:overlay val="0"/>
    </c:title>
    <c:autoTitleDeleted val="0"/>
    <c:plotArea>
      <c:layout/>
      <c:barChart>
        <c:barDir val="col"/>
        <c:grouping val="stacked"/>
        <c:varyColors val="0"/>
        <c:ser>
          <c:idx val="0"/>
          <c:order val="0"/>
          <c:spPr>
            <a:noFill/>
          </c:spPr>
          <c:invertIfNegative val="0"/>
          <c:dLbls>
            <c:numFmt formatCode="#,##0.0\x;\-#,##0.0\x" sourceLinked="0"/>
            <c:spPr>
              <a:noFill/>
              <a:ln>
                <a:noFill/>
              </a:ln>
              <a:effectLst/>
            </c:sp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DCF!$G$128:$G$130</c:f>
              <c:strCache>
                <c:ptCount val="3"/>
                <c:pt idx="0">
                  <c:v>LTM EBITDA Purchase Multiple at 9.0%-11.0% Perpetuity Growth at 23.1% WACC</c:v>
                </c:pt>
                <c:pt idx="1">
                  <c:v>LTM EBITDA Purchase Multiple at 8.2x-9.0x Exit EBITDA Multiple at 23.1% WACC</c:v>
                </c:pt>
                <c:pt idx="2">
                  <c:v>LTM EBITDA Purchase Multiple at 21.1%-25.1% WACC at 8.0x Exit EBITDA</c:v>
                </c:pt>
              </c:strCache>
            </c:strRef>
          </c:cat>
          <c:val>
            <c:numRef>
              <c:f>DCF!$O$128:$O$130</c:f>
              <c:numCache>
                <c:formatCode>#,##0.00_);\(#,##0.00\)</c:formatCode>
                <c:ptCount val="3"/>
                <c:pt idx="0">
                  <c:v>5.627462269074317</c:v>
                </c:pt>
                <c:pt idx="1">
                  <c:v>8.1556132891556548</c:v>
                </c:pt>
                <c:pt idx="2">
                  <c:v>7.2161510503228978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2D5-4FE9-8BD7-0E0161403D7A}"/>
            </c:ext>
          </c:extLst>
        </c:ser>
        <c:ser>
          <c:idx val="1"/>
          <c:order val="1"/>
          <c:spPr>
            <a:solidFill>
              <a:schemeClr val="tx2"/>
            </a:solidFill>
          </c:spPr>
          <c:invertIfNegative val="0"/>
          <c:cat>
            <c:strRef>
              <c:f>DCF!$G$128:$G$130</c:f>
              <c:strCache>
                <c:ptCount val="3"/>
                <c:pt idx="0">
                  <c:v>LTM EBITDA Purchase Multiple at 9.0%-11.0% Perpetuity Growth at 23.1% WACC</c:v>
                </c:pt>
                <c:pt idx="1">
                  <c:v>LTM EBITDA Purchase Multiple at 8.2x-9.0x Exit EBITDA Multiple at 23.1% WACC</c:v>
                </c:pt>
                <c:pt idx="2">
                  <c:v>LTM EBITDA Purchase Multiple at 21.1%-25.1% WACC at 8.0x Exit EBITDA</c:v>
                </c:pt>
              </c:strCache>
            </c:strRef>
          </c:cat>
          <c:val>
            <c:numRef>
              <c:f>DCF!$P$128:$P$130</c:f>
              <c:numCache>
                <c:formatCode>#,##0.00_);\(#,##0.00\)</c:formatCode>
                <c:ptCount val="3"/>
                <c:pt idx="0">
                  <c:v>0.31523446142274825</c:v>
                </c:pt>
                <c:pt idx="1">
                  <c:v>0.88529873854056618</c:v>
                </c:pt>
                <c:pt idx="2">
                  <c:v>1.03894877370446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2D5-4FE9-8BD7-0E0161403D7A}"/>
            </c:ext>
          </c:extLst>
        </c:ser>
        <c:ser>
          <c:idx val="2"/>
          <c:order val="2"/>
          <c:spPr>
            <a:noFill/>
          </c:spPr>
          <c:invertIfNegative val="0"/>
          <c:dLbls>
            <c:numFmt formatCode="#,##0.0\x;\-#,##0.0\x" sourceLinked="0"/>
            <c:spPr>
              <a:noFill/>
              <a:ln>
                <a:noFill/>
              </a:ln>
              <a:effectLst/>
            </c:spPr>
            <c:dLblPos val="inBase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DCF!$G$128:$G$130</c:f>
              <c:strCache>
                <c:ptCount val="3"/>
                <c:pt idx="0">
                  <c:v>LTM EBITDA Purchase Multiple at 9.0%-11.0% Perpetuity Growth at 23.1% WACC</c:v>
                </c:pt>
                <c:pt idx="1">
                  <c:v>LTM EBITDA Purchase Multiple at 8.2x-9.0x Exit EBITDA Multiple at 23.1% WACC</c:v>
                </c:pt>
                <c:pt idx="2">
                  <c:v>LTM EBITDA Purchase Multiple at 21.1%-25.1% WACC at 8.0x Exit EBITDA</c:v>
                </c:pt>
              </c:strCache>
            </c:strRef>
          </c:cat>
          <c:val>
            <c:numRef>
              <c:f>DCF!$Q$128:$Q$130</c:f>
              <c:numCache>
                <c:formatCode>#,##0.00_);\(#,##0.00\)</c:formatCode>
                <c:ptCount val="3"/>
                <c:pt idx="0">
                  <c:v>5.9426967304970653</c:v>
                </c:pt>
                <c:pt idx="1">
                  <c:v>9.0409120276962209</c:v>
                </c:pt>
                <c:pt idx="2">
                  <c:v>8.2550998240273579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2D5-4FE9-8BD7-0E0161403D7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99639680"/>
        <c:axId val="99641216"/>
      </c:barChart>
      <c:catAx>
        <c:axId val="9963968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99641216"/>
        <c:crosses val="autoZero"/>
        <c:auto val="1"/>
        <c:lblAlgn val="ctr"/>
        <c:lblOffset val="100"/>
        <c:noMultiLvlLbl val="0"/>
      </c:catAx>
      <c:valAx>
        <c:axId val="99641216"/>
        <c:scaling>
          <c:orientation val="minMax"/>
          <c:max val="20"/>
          <c:min val="10"/>
        </c:scaling>
        <c:delete val="0"/>
        <c:axPos val="l"/>
        <c:numFmt formatCode="#,##0.0\x;\-#,##0.0\x" sourceLinked="0"/>
        <c:majorTickMark val="out"/>
        <c:minorTickMark val="none"/>
        <c:tickLblPos val="nextTo"/>
        <c:crossAx val="99639680"/>
        <c:crosses val="autoZero"/>
        <c:crossBetween val="between"/>
      </c:valAx>
    </c:plotArea>
    <c:plotVisOnly val="1"/>
    <c:dispBlanksAs val="gap"/>
    <c:showDLblsOverMax val="0"/>
  </c:chart>
  <c:spPr>
    <a:ln>
      <a:noFill/>
    </a:ln>
  </c:spPr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53578</xdr:colOff>
      <xdr:row>106</xdr:row>
      <xdr:rowOff>149424</xdr:rowOff>
    </xdr:from>
    <xdr:to>
      <xdr:col>4</xdr:col>
      <xdr:colOff>654844</xdr:colOff>
      <xdr:row>125</xdr:row>
      <xdr:rowOff>53578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A7529BCA-2888-434E-AC7E-5B03FCA5B59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47228</xdr:colOff>
      <xdr:row>106</xdr:row>
      <xdr:rowOff>149424</xdr:rowOff>
    </xdr:from>
    <xdr:to>
      <xdr:col>15</xdr:col>
      <xdr:colOff>657225</xdr:colOff>
      <xdr:row>125</xdr:row>
      <xdr:rowOff>47228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5A38233F-A324-4062-8E99-2AF6A530E0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rgbClr val="000000"/>
      </a:dk1>
      <a:lt1>
        <a:srgbClr val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</a:majorFont>
      <a:minorFont>
        <a:latin typeface="Calibri" panose="020F0502020204030204"/>
        <a:ea typeface=""/>
        <a:cs typeface=""/>
      </a:minorFont>
    </a:fontScheme>
    <a:fmtScheme>
      <a:fillStyleLst>
        <a:solidFill>
          <a:schemeClr val="phClr"/>
        </a:solidFill>
        <a:gradFill>
          <a:gsLst>
            <a:gs pos="0">
              <a:schemeClr val="phClr">
                <a:lumMod val="110000"/>
                <a:tint val="67000"/>
              </a:schemeClr>
            </a:gs>
            <a:gs pos="50000">
              <a:schemeClr val="phClr">
                <a:lumMod val="105000"/>
                <a:tint val="73000"/>
              </a:schemeClr>
            </a:gs>
            <a:gs pos="100000">
              <a:schemeClr val="phClr">
                <a:lumMod val="105000"/>
                <a:tint val="81000"/>
              </a:schemeClr>
            </a:gs>
          </a:gsLst>
          <a:lin ang="5400000" scaled="0"/>
          <a:tileRect/>
        </a:gradFill>
        <a:gradFill>
          <a:gsLst>
            <a:gs pos="0">
              <a:schemeClr val="phClr">
                <a:lumMod val="102000"/>
                <a:tint val="94000"/>
              </a:schemeClr>
            </a:gs>
            <a:gs pos="50000">
              <a:schemeClr val="phClr">
                <a:lumMod val="100000"/>
                <a:shade val="100000"/>
              </a:schemeClr>
            </a:gs>
            <a:gs pos="100000">
              <a:schemeClr val="phClr">
                <a:lumMod val="99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prstDash val="solid"/>
          <a:miter lim="800000"/>
        </a:ln>
        <a:ln w="12700" cap="flat" cmpd="sng" algn="ctr">
          <a:prstDash val="solid"/>
          <a:miter lim="800000"/>
        </a:ln>
        <a:ln w="19050" cap="flat" cmpd="sng" algn="ctr"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>
            <a:tint val="95000"/>
          </a:schemeClr>
        </a:solidFill>
        <a:gradFill>
          <a:gsLst>
            <a:gs pos="0">
              <a:schemeClr val="phClr">
                <a:tint val="93000"/>
                <a:shade val="98000"/>
                <a:lumMod val="102000"/>
              </a:schemeClr>
            </a:gs>
            <a:gs pos="50000">
              <a:schemeClr val="phClr">
                <a:tint val="98000"/>
                <a:shade val="90000"/>
                <a:lumMod val="103000"/>
              </a:schemeClr>
            </a:gs>
            <a:gs pos="100000">
              <a:schemeClr val="phClr">
                <a:shade val="63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247"/>
  <sheetViews>
    <sheetView showGridLines="0" zoomScaleNormal="100" workbookViewId="0">
      <selection activeCell="D10" sqref="D10"/>
    </sheetView>
  </sheetViews>
  <sheetFormatPr defaultColWidth="9.140625" defaultRowHeight="15" x14ac:dyDescent="0.25"/>
  <cols>
    <col min="1" max="2" width="1.7109375" style="6" customWidth="1"/>
    <col min="3" max="3" width="66.42578125" style="6" bestFit="1" customWidth="1"/>
    <col min="4" max="4" width="17.140625" style="7" customWidth="1"/>
    <col min="5" max="11" width="17.140625" style="6" customWidth="1"/>
    <col min="12" max="12" width="2.7109375" style="6" customWidth="1"/>
    <col min="13" max="16384" width="9.140625" style="6"/>
  </cols>
  <sheetData>
    <row r="1" spans="3:11" ht="15" customHeight="1" thickBot="1" x14ac:dyDescent="0.3"/>
    <row r="2" spans="3:11" ht="15.75" thickBot="1" x14ac:dyDescent="0.3">
      <c r="C2" s="2" t="str">
        <f>Company_Name&amp;" - Financial Statement Model"</f>
        <v>E-finance For Digital and Financial Investments - Financial Statement Model</v>
      </c>
      <c r="D2" s="8"/>
      <c r="E2" s="8"/>
      <c r="F2" s="8"/>
      <c r="G2" s="8"/>
      <c r="H2" s="8"/>
      <c r="I2" s="8"/>
      <c r="J2" s="8"/>
      <c r="K2" s="8"/>
    </row>
    <row r="3" spans="3:11" x14ac:dyDescent="0.25">
      <c r="C3" s="256" t="s">
        <v>152</v>
      </c>
      <c r="D3" s="9"/>
      <c r="E3" s="9"/>
      <c r="F3" s="9"/>
      <c r="G3" s="9"/>
      <c r="H3" s="9"/>
    </row>
    <row r="4" spans="3:11" ht="15" customHeight="1" x14ac:dyDescent="0.25"/>
    <row r="5" spans="3:11" x14ac:dyDescent="0.25">
      <c r="C5" s="3" t="s">
        <v>0</v>
      </c>
      <c r="D5" s="206" t="s">
        <v>257</v>
      </c>
    </row>
    <row r="6" spans="3:11" x14ac:dyDescent="0.25">
      <c r="C6" s="3" t="s">
        <v>1</v>
      </c>
      <c r="D6" s="4" t="s">
        <v>258</v>
      </c>
    </row>
    <row r="7" spans="3:11" x14ac:dyDescent="0.25">
      <c r="C7" s="6" t="s">
        <v>29</v>
      </c>
      <c r="D7" s="167">
        <v>21.6</v>
      </c>
    </row>
    <row r="8" spans="3:11" x14ac:dyDescent="0.25">
      <c r="C8" s="6" t="s">
        <v>30</v>
      </c>
      <c r="D8" s="5">
        <v>46180</v>
      </c>
    </row>
    <row r="9" spans="3:11" x14ac:dyDescent="0.25">
      <c r="C9" s="3" t="s">
        <v>2</v>
      </c>
      <c r="D9" s="5">
        <v>46022</v>
      </c>
    </row>
    <row r="10" spans="3:11" ht="15" customHeight="1" x14ac:dyDescent="0.25">
      <c r="C10" s="6" t="s">
        <v>31</v>
      </c>
      <c r="D10" s="257">
        <v>3466666667</v>
      </c>
    </row>
    <row r="11" spans="3:11" ht="15" customHeight="1" x14ac:dyDescent="0.25"/>
    <row r="12" spans="3:11" customFormat="1" x14ac:dyDescent="0.25">
      <c r="C12" s="41" t="s">
        <v>44</v>
      </c>
      <c r="D12" s="42"/>
      <c r="E12" s="42"/>
      <c r="F12" s="42"/>
      <c r="G12" s="42"/>
      <c r="H12" s="42"/>
      <c r="I12" s="42"/>
      <c r="J12" s="42"/>
      <c r="K12" s="42"/>
    </row>
    <row r="13" spans="3:11" customFormat="1" x14ac:dyDescent="0.25">
      <c r="C13" t="s">
        <v>45</v>
      </c>
      <c r="D13" s="43">
        <f>E13-1</f>
        <v>2023</v>
      </c>
      <c r="E13" s="43">
        <f>F13-1</f>
        <v>2024</v>
      </c>
      <c r="F13" s="43">
        <f>YEAR(D9)</f>
        <v>2025</v>
      </c>
      <c r="G13" s="44">
        <f>F13+1</f>
        <v>2026</v>
      </c>
      <c r="H13" s="44">
        <f>G13+1</f>
        <v>2027</v>
      </c>
      <c r="I13" s="44">
        <f>H13+1</f>
        <v>2028</v>
      </c>
      <c r="J13" s="44">
        <f>I13+1</f>
        <v>2029</v>
      </c>
      <c r="K13" s="44">
        <f>J13+1</f>
        <v>2030</v>
      </c>
    </row>
    <row r="14" spans="3:11" customFormat="1" x14ac:dyDescent="0.25">
      <c r="C14" s="45" t="s">
        <v>46</v>
      </c>
      <c r="D14" s="252">
        <f>EOMONTH(E14,-12)</f>
        <v>45291</v>
      </c>
      <c r="E14" s="252">
        <f>EOMONTH(F14,-12)</f>
        <v>45657</v>
      </c>
      <c r="F14" s="252">
        <f>D9</f>
        <v>46022</v>
      </c>
      <c r="G14" s="252">
        <f>EOMONTH(F14,12)</f>
        <v>46387</v>
      </c>
      <c r="H14" s="252">
        <f>EOMONTH(G14,12)</f>
        <v>46752</v>
      </c>
      <c r="I14" s="252">
        <f>EOMONTH(H14,12)</f>
        <v>47118</v>
      </c>
      <c r="J14" s="252">
        <f>EOMONTH(I14,12)</f>
        <v>47483</v>
      </c>
      <c r="K14" s="252">
        <f>EOMONTH(J14,12)</f>
        <v>47848</v>
      </c>
    </row>
    <row r="15" spans="3:11" ht="15" customHeight="1" x14ac:dyDescent="0.25"/>
    <row r="16" spans="3:11" ht="15" customHeight="1" x14ac:dyDescent="0.25">
      <c r="C16" s="6" t="s">
        <v>64</v>
      </c>
      <c r="D16" s="10">
        <v>3898604874</v>
      </c>
      <c r="E16" s="10">
        <v>5209457706</v>
      </c>
      <c r="F16" s="10">
        <v>6773084743</v>
      </c>
      <c r="G16" s="258">
        <f>G177</f>
        <v>8650570774.5100002</v>
      </c>
      <c r="H16" s="258">
        <f t="shared" ref="H16:K16" si="0">H177</f>
        <v>10804847473.887901</v>
      </c>
      <c r="I16" s="258">
        <f t="shared" si="0"/>
        <v>13193920125.57682</v>
      </c>
      <c r="J16" s="258">
        <f t="shared" si="0"/>
        <v>15599691688.378994</v>
      </c>
      <c r="K16" s="258">
        <f t="shared" si="0"/>
        <v>17927936014.026058</v>
      </c>
    </row>
    <row r="17" spans="3:11" ht="15" customHeight="1" x14ac:dyDescent="0.25">
      <c r="C17" s="6" t="s">
        <v>212</v>
      </c>
      <c r="D17" s="10">
        <v>-1778699745</v>
      </c>
      <c r="E17" s="10">
        <v>-2422195580</v>
      </c>
      <c r="F17" s="10">
        <v>-2954258956</v>
      </c>
      <c r="G17" s="258">
        <f>-G16*(1-G44)</f>
        <v>-3914030127.2474017</v>
      </c>
      <c r="H17" s="258">
        <f t="shared" ref="H17:K17" si="1">-H16*(1-H44)</f>
        <v>-4888752388.1920633</v>
      </c>
      <c r="I17" s="258">
        <f t="shared" si="1"/>
        <v>-5969710232.3203239</v>
      </c>
      <c r="J17" s="258">
        <f t="shared" si="1"/>
        <v>-7058223652.0161638</v>
      </c>
      <c r="K17" s="258">
        <f t="shared" si="1"/>
        <v>-8111659161.8472023</v>
      </c>
    </row>
    <row r="18" spans="3:11" s="13" customFormat="1" ht="15" customHeight="1" x14ac:dyDescent="0.25">
      <c r="C18" s="13" t="s">
        <v>213</v>
      </c>
      <c r="D18" s="14">
        <f>SUM(D16:D17)</f>
        <v>2119905129</v>
      </c>
      <c r="E18" s="14">
        <f t="shared" ref="E18" si="2">SUM(E16:E17)</f>
        <v>2787262126</v>
      </c>
      <c r="F18" s="14">
        <f t="shared" ref="F18" si="3">SUM(F16:F17)</f>
        <v>3818825787</v>
      </c>
      <c r="G18" s="14">
        <f t="shared" ref="G18" si="4">SUM(G16:G17)</f>
        <v>4736540647.262598</v>
      </c>
      <c r="H18" s="14">
        <f t="shared" ref="H18" si="5">SUM(H16:H17)</f>
        <v>5916095085.695838</v>
      </c>
      <c r="I18" s="14">
        <f t="shared" ref="I18" si="6">SUM(I16:I17)</f>
        <v>7224209893.2564964</v>
      </c>
      <c r="J18" s="14">
        <f t="shared" ref="J18" si="7">SUM(J16:J17)</f>
        <v>8541468036.3628302</v>
      </c>
      <c r="K18" s="14">
        <f t="shared" ref="K18" si="8">SUM(K16:K17)</f>
        <v>9816276852.1788559</v>
      </c>
    </row>
    <row r="19" spans="3:11" s="15" customFormat="1" ht="15" customHeight="1" x14ac:dyDescent="0.25">
      <c r="C19" s="243" t="s">
        <v>214</v>
      </c>
      <c r="D19" s="197">
        <v>8263022</v>
      </c>
      <c r="E19" s="197">
        <v>8950943</v>
      </c>
      <c r="F19" s="197">
        <v>24691663</v>
      </c>
      <c r="G19" s="241">
        <f>G16*G45</f>
        <v>21578123.284861717</v>
      </c>
      <c r="H19" s="241">
        <f t="shared" ref="H19:K19" si="9">H16*H45</f>
        <v>26951785.835066613</v>
      </c>
      <c r="I19" s="241">
        <f t="shared" si="9"/>
        <v>32911127.196279287</v>
      </c>
      <c r="J19" s="241">
        <f t="shared" si="9"/>
        <v>38912122.590747952</v>
      </c>
      <c r="K19" s="241">
        <f t="shared" si="9"/>
        <v>44719732.794242047</v>
      </c>
    </row>
    <row r="20" spans="3:11" s="15" customFormat="1" ht="15" customHeight="1" x14ac:dyDescent="0.25">
      <c r="C20" s="243" t="s">
        <v>215</v>
      </c>
      <c r="D20" s="197">
        <v>-346104516</v>
      </c>
      <c r="E20" s="197">
        <v>-463303530</v>
      </c>
      <c r="F20" s="197">
        <v>-573978325</v>
      </c>
      <c r="G20" s="241">
        <f>-G$16*G46</f>
        <v>-756796880.83045363</v>
      </c>
      <c r="H20" s="241">
        <f t="shared" ref="H20:K20" si="10">-H$16*H46</f>
        <v>-945264200.39033198</v>
      </c>
      <c r="I20" s="241">
        <f t="shared" si="10"/>
        <v>-1154272689.8882899</v>
      </c>
      <c r="J20" s="241">
        <f t="shared" si="10"/>
        <v>-1364742086.9001212</v>
      </c>
      <c r="K20" s="241">
        <f t="shared" si="10"/>
        <v>-1568428998.3641462</v>
      </c>
    </row>
    <row r="21" spans="3:11" s="15" customFormat="1" ht="15" customHeight="1" x14ac:dyDescent="0.25">
      <c r="C21" s="243" t="s">
        <v>216</v>
      </c>
      <c r="D21" s="197">
        <v>-84950307</v>
      </c>
      <c r="E21" s="197">
        <v>-101901687</v>
      </c>
      <c r="F21" s="197">
        <v>-153303204</v>
      </c>
      <c r="G21" s="241">
        <f t="shared" ref="G21:K21" si="11">-G$16*G47</f>
        <v>-184502267.5258778</v>
      </c>
      <c r="H21" s="241">
        <f t="shared" si="11"/>
        <v>-230449401.68314973</v>
      </c>
      <c r="I21" s="241">
        <f t="shared" si="11"/>
        <v>-281404342.4622609</v>
      </c>
      <c r="J21" s="241">
        <f t="shared" si="11"/>
        <v>-332715443.2042138</v>
      </c>
      <c r="K21" s="241">
        <f t="shared" si="11"/>
        <v>-382373017.09539711</v>
      </c>
    </row>
    <row r="22" spans="3:11" s="15" customFormat="1" ht="15" customHeight="1" x14ac:dyDescent="0.25">
      <c r="C22" s="243" t="s">
        <v>217</v>
      </c>
      <c r="D22" s="197">
        <v>-306629075</v>
      </c>
      <c r="E22" s="197">
        <v>-369178136</v>
      </c>
      <c r="F22" s="197">
        <v>-449723540</v>
      </c>
      <c r="G22" s="241">
        <f t="shared" ref="G22:K22" si="12">-G$16*G48</f>
        <v>-622600342.81687474</v>
      </c>
      <c r="H22" s="241">
        <f t="shared" si="12"/>
        <v>-777648309.76805663</v>
      </c>
      <c r="I22" s="241">
        <f t="shared" si="12"/>
        <v>-949595050.70899701</v>
      </c>
      <c r="J22" s="241">
        <f t="shared" si="12"/>
        <v>-1122743648.5047956</v>
      </c>
      <c r="K22" s="241">
        <f t="shared" si="12"/>
        <v>-1290312442.8762183</v>
      </c>
    </row>
    <row r="23" spans="3:11" s="15" customFormat="1" ht="15" customHeight="1" x14ac:dyDescent="0.25">
      <c r="C23" s="243" t="s">
        <v>218</v>
      </c>
      <c r="D23" s="197">
        <v>-153369471</v>
      </c>
      <c r="E23" s="197">
        <v>-6477400</v>
      </c>
      <c r="F23" s="197">
        <v>-116310083</v>
      </c>
      <c r="G23" s="241">
        <f t="shared" ref="G23:K23" si="13">-G$16*G49</f>
        <v>-166538957.42461431</v>
      </c>
      <c r="H23" s="241">
        <f t="shared" si="13"/>
        <v>-208012636.43036258</v>
      </c>
      <c r="I23" s="241">
        <f t="shared" si="13"/>
        <v>-254006557.40911654</v>
      </c>
      <c r="J23" s="241">
        <f t="shared" si="13"/>
        <v>-300321962.28984869</v>
      </c>
      <c r="K23" s="241">
        <f t="shared" si="13"/>
        <v>-345144829.21159804</v>
      </c>
    </row>
    <row r="24" spans="3:11" s="13" customFormat="1" ht="15" customHeight="1" x14ac:dyDescent="0.25">
      <c r="C24" s="6" t="s">
        <v>219</v>
      </c>
      <c r="D24" s="197">
        <v>-8367333</v>
      </c>
      <c r="E24" s="197">
        <v>-8982363</v>
      </c>
      <c r="F24" s="197">
        <v>-11551713</v>
      </c>
      <c r="G24" s="241">
        <f t="shared" ref="G24:K24" si="14">-G$16*G50</f>
        <v>-16078560.025859362</v>
      </c>
      <c r="H24" s="241">
        <f t="shared" si="14"/>
        <v>-20082650.406267788</v>
      </c>
      <c r="I24" s="241">
        <f t="shared" si="14"/>
        <v>-24523149.078275375</v>
      </c>
      <c r="J24" s="241">
        <f t="shared" si="14"/>
        <v>-28994685.522436921</v>
      </c>
      <c r="K24" s="241">
        <f t="shared" si="14"/>
        <v>-33322124.384053912</v>
      </c>
    </row>
    <row r="25" spans="3:11" ht="15" customHeight="1" x14ac:dyDescent="0.25">
      <c r="C25" s="208" t="s">
        <v>220</v>
      </c>
      <c r="D25" s="233">
        <f>SUM(D18:D24)</f>
        <v>1228747449</v>
      </c>
      <c r="E25" s="233">
        <f t="shared" ref="E25" si="15">SUM(E18:E24)</f>
        <v>1846369953</v>
      </c>
      <c r="F25" s="233">
        <f t="shared" ref="F25" si="16">SUM(F18:F24)</f>
        <v>2538650585</v>
      </c>
      <c r="G25" s="233">
        <f t="shared" ref="G25" si="17">SUM(G18:G24)</f>
        <v>3011601761.9237795</v>
      </c>
      <c r="H25" s="233">
        <f t="shared" ref="H25" si="18">SUM(H18:H24)</f>
        <v>3761589672.852736</v>
      </c>
      <c r="I25" s="233">
        <f t="shared" ref="I25" si="19">SUM(I18:I24)</f>
        <v>4593319230.9058352</v>
      </c>
      <c r="J25" s="233">
        <f t="shared" ref="J25" si="20">SUM(J18:J24)</f>
        <v>5430862332.5321627</v>
      </c>
      <c r="K25" s="233">
        <f t="shared" ref="K25" si="21">SUM(K18:K24)</f>
        <v>6241415173.0416842</v>
      </c>
    </row>
    <row r="26" spans="3:11" ht="15" customHeight="1" x14ac:dyDescent="0.25">
      <c r="C26" s="244" t="s">
        <v>221</v>
      </c>
      <c r="D26" s="197">
        <v>-62560513</v>
      </c>
      <c r="E26" s="197">
        <v>-114387465</v>
      </c>
      <c r="F26" s="197">
        <v>-31020565</v>
      </c>
      <c r="G26" s="241">
        <f>G225</f>
        <v>-16837344.899999999</v>
      </c>
      <c r="H26" s="241">
        <f t="shared" ref="H26:K26" si="22">H225</f>
        <v>-16837344.899999999</v>
      </c>
      <c r="I26" s="241">
        <f t="shared" si="22"/>
        <v>-16837344.899999999</v>
      </c>
      <c r="J26" s="241">
        <f t="shared" si="22"/>
        <v>-16837344.899999999</v>
      </c>
      <c r="K26" s="241">
        <f t="shared" si="22"/>
        <v>-16837344.899999999</v>
      </c>
    </row>
    <row r="27" spans="3:11" s="13" customFormat="1" ht="15" customHeight="1" x14ac:dyDescent="0.25">
      <c r="C27" s="244" t="s">
        <v>222</v>
      </c>
      <c r="D27" s="197">
        <v>51770410</v>
      </c>
      <c r="E27" s="197">
        <v>67734933</v>
      </c>
      <c r="F27" s="197">
        <v>143558904</v>
      </c>
      <c r="G27" s="241">
        <f>F27</f>
        <v>143558904</v>
      </c>
      <c r="H27" s="241">
        <f t="shared" ref="H27:K27" si="23">G27</f>
        <v>143558904</v>
      </c>
      <c r="I27" s="241">
        <f t="shared" si="23"/>
        <v>143558904</v>
      </c>
      <c r="J27" s="241">
        <f t="shared" si="23"/>
        <v>143558904</v>
      </c>
      <c r="K27" s="241">
        <f t="shared" si="23"/>
        <v>143558904</v>
      </c>
    </row>
    <row r="28" spans="3:11" ht="15" customHeight="1" x14ac:dyDescent="0.25">
      <c r="C28" s="244" t="s">
        <v>223</v>
      </c>
      <c r="D28" s="197">
        <v>62838230</v>
      </c>
      <c r="E28" s="197">
        <v>104857152</v>
      </c>
      <c r="F28" s="197">
        <v>158567575</v>
      </c>
      <c r="G28" s="241">
        <f>F28</f>
        <v>158567575</v>
      </c>
      <c r="H28" s="241">
        <f t="shared" ref="H28:K28" si="24">G28</f>
        <v>158567575</v>
      </c>
      <c r="I28" s="241">
        <f t="shared" si="24"/>
        <v>158567575</v>
      </c>
      <c r="J28" s="241">
        <f t="shared" si="24"/>
        <v>158567575</v>
      </c>
      <c r="K28" s="241">
        <f t="shared" si="24"/>
        <v>158567575</v>
      </c>
    </row>
    <row r="29" spans="3:11" ht="15" customHeight="1" x14ac:dyDescent="0.25">
      <c r="C29" s="244" t="s">
        <v>157</v>
      </c>
      <c r="D29" s="197">
        <v>568984647</v>
      </c>
      <c r="E29" s="197">
        <v>613228090</v>
      </c>
      <c r="F29" s="197">
        <v>601626296</v>
      </c>
      <c r="G29" s="241">
        <f>G226</f>
        <v>248760295.38</v>
      </c>
      <c r="H29" s="241">
        <f t="shared" ref="H29:K29" si="25">H226</f>
        <v>322003545.30064899</v>
      </c>
      <c r="I29" s="241">
        <f t="shared" si="25"/>
        <v>429749794.88352984</v>
      </c>
      <c r="J29" s="241">
        <f t="shared" si="25"/>
        <v>577937296.94351578</v>
      </c>
      <c r="K29" s="241">
        <f t="shared" si="25"/>
        <v>773215652.55878031</v>
      </c>
    </row>
    <row r="30" spans="3:11" s="13" customFormat="1" ht="15" customHeight="1" x14ac:dyDescent="0.25">
      <c r="C30" s="13" t="s">
        <v>224</v>
      </c>
      <c r="D30" s="233">
        <f>SUM(D25:D29)</f>
        <v>1849780223</v>
      </c>
      <c r="E30" s="233">
        <f t="shared" ref="E30" si="26">SUM(E25:E29)</f>
        <v>2517802663</v>
      </c>
      <c r="F30" s="233">
        <f t="shared" ref="F30" si="27">SUM(F25:F29)</f>
        <v>3411382795</v>
      </c>
      <c r="G30" s="233">
        <f t="shared" ref="G30" si="28">SUM(G25:G29)</f>
        <v>3545651191.4037795</v>
      </c>
      <c r="H30" s="233">
        <f t="shared" ref="H30" si="29">SUM(H25:H29)</f>
        <v>4368882352.2533846</v>
      </c>
      <c r="I30" s="233">
        <f t="shared" ref="I30" si="30">SUM(I25:I29)</f>
        <v>5308358159.8893652</v>
      </c>
      <c r="J30" s="233">
        <f t="shared" ref="J30" si="31">SUM(J25:J29)</f>
        <v>6294088763.5756788</v>
      </c>
      <c r="K30" s="233">
        <f t="shared" ref="K30" si="32">SUM(K25:K29)</f>
        <v>7299919959.7004652</v>
      </c>
    </row>
    <row r="31" spans="3:11" ht="15" customHeight="1" x14ac:dyDescent="0.25">
      <c r="C31" s="6" t="s">
        <v>225</v>
      </c>
      <c r="D31" s="197">
        <v>-582776981</v>
      </c>
      <c r="E31" s="197">
        <v>-684804177</v>
      </c>
      <c r="F31" s="197">
        <v>-954731520</v>
      </c>
      <c r="G31" s="241">
        <f>-G30*G51</f>
        <v>-797771518.06585038</v>
      </c>
      <c r="H31" s="241">
        <f t="shared" ref="H31:K31" si="33">-H30*H51</f>
        <v>-982998529.25701153</v>
      </c>
      <c r="I31" s="241">
        <f t="shared" si="33"/>
        <v>-1194380585.9751072</v>
      </c>
      <c r="J31" s="241">
        <f t="shared" si="33"/>
        <v>-1416169971.8045278</v>
      </c>
      <c r="K31" s="241">
        <f t="shared" si="33"/>
        <v>-1642481990.9326048</v>
      </c>
    </row>
    <row r="32" spans="3:11" ht="15" customHeight="1" x14ac:dyDescent="0.25">
      <c r="C32" s="13" t="s">
        <v>226</v>
      </c>
      <c r="D32" s="233">
        <f>SUM(D30:D31)</f>
        <v>1267003242</v>
      </c>
      <c r="E32" s="233">
        <f t="shared" ref="E32" si="34">SUM(E30:E31)</f>
        <v>1832998486</v>
      </c>
      <c r="F32" s="233">
        <f t="shared" ref="F32" si="35">SUM(F30:F31)</f>
        <v>2456651275</v>
      </c>
      <c r="G32" s="233">
        <f t="shared" ref="G32" si="36">SUM(G30:G31)</f>
        <v>2747879673.3379292</v>
      </c>
      <c r="H32" s="233">
        <f t="shared" ref="H32" si="37">SUM(H30:H31)</f>
        <v>3385883822.9963732</v>
      </c>
      <c r="I32" s="233">
        <f t="shared" ref="I32" si="38">SUM(I30:I31)</f>
        <v>4113977573.914258</v>
      </c>
      <c r="J32" s="233">
        <f t="shared" ref="J32" si="39">SUM(J30:J31)</f>
        <v>4877918791.7711506</v>
      </c>
      <c r="K32" s="233">
        <f t="shared" ref="K32" si="40">SUM(K30:K31)</f>
        <v>5657437968.7678604</v>
      </c>
    </row>
    <row r="33" spans="3:11" ht="15" customHeight="1" x14ac:dyDescent="0.25">
      <c r="C33" s="6" t="s">
        <v>227</v>
      </c>
      <c r="D33" s="245">
        <f>D32-D34</f>
        <v>1257706102</v>
      </c>
      <c r="E33" s="245">
        <f t="shared" ref="E33" si="41">E32-E34</f>
        <v>1775989331</v>
      </c>
      <c r="F33" s="245">
        <f t="shared" ref="F33" si="42">F32-F34</f>
        <v>2405402468</v>
      </c>
      <c r="G33" s="245">
        <f t="shared" ref="G33" si="43">G32-G34</f>
        <v>2676485871.9797482</v>
      </c>
      <c r="H33" s="245">
        <f t="shared" ref="H33" si="44">H32-H34</f>
        <v>3297913771.2410707</v>
      </c>
      <c r="I33" s="245">
        <f t="shared" ref="I33" si="45">I32-I34</f>
        <v>4007090616.470716</v>
      </c>
      <c r="J33" s="245">
        <f t="shared" ref="J33" si="46">J32-J34</f>
        <v>4751183560.7346277</v>
      </c>
      <c r="K33" s="245">
        <f t="shared" ref="K33" si="47">K32-K34</f>
        <v>5510449726.7216549</v>
      </c>
    </row>
    <row r="34" spans="3:11" ht="15" customHeight="1" x14ac:dyDescent="0.25">
      <c r="C34" s="6" t="s">
        <v>228</v>
      </c>
      <c r="D34" s="197">
        <v>9297140</v>
      </c>
      <c r="E34" s="197">
        <v>57009155</v>
      </c>
      <c r="F34" s="197">
        <v>51248807</v>
      </c>
      <c r="G34" s="245">
        <f>G32*G247</f>
        <v>71393801.358180851</v>
      </c>
      <c r="H34" s="245">
        <f>H32*H247</f>
        <v>87970051.755302384</v>
      </c>
      <c r="I34" s="245">
        <f>I32*I247</f>
        <v>106886957.44354199</v>
      </c>
      <c r="J34" s="245">
        <f>J32*J247</f>
        <v>126735231.03652272</v>
      </c>
      <c r="K34" s="245">
        <f>K32*K247</f>
        <v>146988242.04620519</v>
      </c>
    </row>
    <row r="35" spans="3:11" ht="15" customHeight="1" x14ac:dyDescent="0.25">
      <c r="D35" s="14"/>
      <c r="E35" s="14"/>
      <c r="F35" s="14"/>
      <c r="G35" s="242"/>
      <c r="H35" s="246"/>
      <c r="I35" s="246"/>
      <c r="J35" s="246"/>
      <c r="K35" s="246"/>
    </row>
    <row r="36" spans="3:11" s="13" customFormat="1" ht="15" customHeight="1" x14ac:dyDescent="0.25">
      <c r="C36" s="247" t="s">
        <v>25</v>
      </c>
      <c r="D36" s="14">
        <f>D25+D164</f>
        <v>1387468429</v>
      </c>
      <c r="E36" s="14">
        <f t="shared" ref="E36:K36" si="48">E25+E164</f>
        <v>2086336664</v>
      </c>
      <c r="F36" s="14">
        <f t="shared" si="48"/>
        <v>2802201304</v>
      </c>
      <c r="G36" s="14">
        <f t="shared" si="48"/>
        <v>3374024317.4751196</v>
      </c>
      <c r="H36" s="14">
        <f t="shared" si="48"/>
        <v>4214267367.296628</v>
      </c>
      <c r="I36" s="14">
        <f t="shared" si="48"/>
        <v>5146089027.7546062</v>
      </c>
      <c r="J36" s="14">
        <f t="shared" si="48"/>
        <v>6084423845.9729404</v>
      </c>
      <c r="K36" s="14">
        <f t="shared" si="48"/>
        <v>6992520337.6985531</v>
      </c>
    </row>
    <row r="37" spans="3:11" ht="15" customHeight="1" x14ac:dyDescent="0.25">
      <c r="C37" s="248" t="s">
        <v>153</v>
      </c>
      <c r="D37" s="15">
        <f>D36/D16</f>
        <v>0.3558884456983829</v>
      </c>
      <c r="E37" s="15">
        <f t="shared" ref="E37:K37" si="49">E36/E16</f>
        <v>0.4004901818469625</v>
      </c>
      <c r="F37" s="15">
        <f t="shared" si="49"/>
        <v>0.41372600673512644</v>
      </c>
      <c r="G37" s="15">
        <f t="shared" si="49"/>
        <v>0.39003487809349052</v>
      </c>
      <c r="H37" s="15">
        <f t="shared" si="49"/>
        <v>0.39003487809349063</v>
      </c>
      <c r="I37" s="15">
        <f t="shared" si="49"/>
        <v>0.39003487809349052</v>
      </c>
      <c r="J37" s="15">
        <f t="shared" si="49"/>
        <v>0.39003487809349069</v>
      </c>
      <c r="K37" s="15">
        <f t="shared" si="49"/>
        <v>0.39003487809349058</v>
      </c>
    </row>
    <row r="38" spans="3:11" ht="15" customHeight="1" x14ac:dyDescent="0.25">
      <c r="C38" s="247"/>
      <c r="D38" s="14"/>
      <c r="E38" s="14"/>
      <c r="F38" s="14"/>
      <c r="G38" s="14"/>
      <c r="H38" s="14"/>
      <c r="I38" s="14"/>
      <c r="J38" s="14"/>
      <c r="K38" s="14"/>
    </row>
    <row r="39" spans="3:11" ht="15" customHeight="1" x14ac:dyDescent="0.25">
      <c r="C39" s="249" t="s">
        <v>31</v>
      </c>
      <c r="D39" s="19"/>
      <c r="E39" s="19"/>
      <c r="F39" s="19">
        <f t="shared" ref="F39:K39" si="50">$D$10</f>
        <v>3466666667</v>
      </c>
      <c r="G39" s="19">
        <f t="shared" si="50"/>
        <v>3466666667</v>
      </c>
      <c r="H39" s="19">
        <f t="shared" si="50"/>
        <v>3466666667</v>
      </c>
      <c r="I39" s="19">
        <f t="shared" si="50"/>
        <v>3466666667</v>
      </c>
      <c r="J39" s="19">
        <f t="shared" si="50"/>
        <v>3466666667</v>
      </c>
      <c r="K39" s="19">
        <f t="shared" si="50"/>
        <v>3466666667</v>
      </c>
    </row>
    <row r="40" spans="3:11" ht="15" customHeight="1" x14ac:dyDescent="0.25">
      <c r="C40" s="249" t="s">
        <v>43</v>
      </c>
      <c r="D40" s="250"/>
      <c r="E40" s="250"/>
      <c r="F40" s="250">
        <f t="shared" ref="F40" si="51">F33/F39</f>
        <v>0.69386609647174369</v>
      </c>
      <c r="G40" s="250">
        <f t="shared" ref="G40" si="52">G33/G39</f>
        <v>0.77206323222761364</v>
      </c>
      <c r="H40" s="250">
        <f t="shared" ref="H40" si="53">H33/H39</f>
        <v>0.95132128007422023</v>
      </c>
      <c r="I40" s="250">
        <f t="shared" ref="I40" si="54">I33/I39</f>
        <v>1.1558915238707939</v>
      </c>
      <c r="J40" s="250">
        <f t="shared" ref="J40" si="55">J33/J39</f>
        <v>1.3705337193108991</v>
      </c>
      <c r="K40" s="250">
        <f t="shared" ref="K40" si="56">K33/K39</f>
        <v>1.5895528056322512</v>
      </c>
    </row>
    <row r="41" spans="3:11" ht="15" customHeight="1" x14ac:dyDescent="0.25">
      <c r="C41" s="17"/>
      <c r="D41" s="14"/>
      <c r="E41" s="14"/>
      <c r="F41" s="14"/>
      <c r="G41" s="207"/>
      <c r="H41" s="14"/>
      <c r="I41" s="14"/>
      <c r="J41" s="14"/>
      <c r="K41" s="14"/>
    </row>
    <row r="42" spans="3:11" ht="15" customHeight="1" x14ac:dyDescent="0.25">
      <c r="C42" s="20" t="s">
        <v>28</v>
      </c>
      <c r="D42" s="21"/>
      <c r="E42" s="21"/>
      <c r="F42" s="14"/>
      <c r="H42" s="21"/>
      <c r="I42" s="21"/>
      <c r="J42" s="21"/>
      <c r="K42" s="21"/>
    </row>
    <row r="43" spans="3:11" ht="15" customHeight="1" x14ac:dyDescent="0.25">
      <c r="C43" s="17" t="s">
        <v>26</v>
      </c>
      <c r="D43" s="22"/>
      <c r="E43" s="224">
        <f>E16/D16-1</f>
        <v>0.33623639080280898</v>
      </c>
      <c r="F43" s="224">
        <f t="shared" ref="F43:K43" si="57">F16/E16-1</f>
        <v>0.3001515945122446</v>
      </c>
      <c r="G43" s="224">
        <f t="shared" si="57"/>
        <v>0.27719807189041701</v>
      </c>
      <c r="H43" s="224">
        <f t="shared" si="57"/>
        <v>0.24903289684950614</v>
      </c>
      <c r="I43" s="224">
        <f t="shared" si="57"/>
        <v>0.22111118712805489</v>
      </c>
      <c r="J43" s="224">
        <f t="shared" si="57"/>
        <v>0.18233940632538093</v>
      </c>
      <c r="K43" s="224">
        <f t="shared" si="57"/>
        <v>0.14924938083112838</v>
      </c>
    </row>
    <row r="44" spans="3:11" ht="15" customHeight="1" x14ac:dyDescent="0.25">
      <c r="C44" s="17" t="s">
        <v>229</v>
      </c>
      <c r="D44" s="22">
        <f>D18/D16</f>
        <v>0.54375993400556144</v>
      </c>
      <c r="E44" s="22">
        <f t="shared" ref="E44:F44" si="58">E18/E16</f>
        <v>0.53503882425031823</v>
      </c>
      <c r="F44" s="22">
        <f t="shared" si="58"/>
        <v>0.56382371281368748</v>
      </c>
      <c r="G44" s="260">
        <f>AVERAGE(D44:F44)</f>
        <v>0.54754082368985568</v>
      </c>
      <c r="H44" s="260">
        <f>G44</f>
        <v>0.54754082368985568</v>
      </c>
      <c r="I44" s="260">
        <f t="shared" ref="I44:K45" si="59">H44</f>
        <v>0.54754082368985568</v>
      </c>
      <c r="J44" s="260">
        <f t="shared" si="59"/>
        <v>0.54754082368985568</v>
      </c>
      <c r="K44" s="260">
        <f t="shared" si="59"/>
        <v>0.54754082368985568</v>
      </c>
    </row>
    <row r="45" spans="3:11" ht="15" customHeight="1" x14ac:dyDescent="0.25">
      <c r="C45" s="17" t="s">
        <v>230</v>
      </c>
      <c r="D45" s="22">
        <f>D19/D16</f>
        <v>2.1194817805483511E-3</v>
      </c>
      <c r="E45" s="22">
        <f t="shared" ref="E45:F45" si="60">E19/E16</f>
        <v>1.7182101295669873E-3</v>
      </c>
      <c r="F45" s="22">
        <f t="shared" si="60"/>
        <v>3.6455564837748256E-3</v>
      </c>
      <c r="G45" s="260">
        <f>AVERAGE(D45:F45)</f>
        <v>2.4944161312967215E-3</v>
      </c>
      <c r="H45" s="260">
        <f>G45</f>
        <v>2.4944161312967215E-3</v>
      </c>
      <c r="I45" s="260">
        <f t="shared" si="59"/>
        <v>2.4944161312967215E-3</v>
      </c>
      <c r="J45" s="260">
        <f t="shared" si="59"/>
        <v>2.4944161312967215E-3</v>
      </c>
      <c r="K45" s="260">
        <f t="shared" si="59"/>
        <v>2.4944161312967215E-3</v>
      </c>
    </row>
    <row r="46" spans="3:11" ht="15" customHeight="1" x14ac:dyDescent="0.25">
      <c r="C46" s="17" t="s">
        <v>231</v>
      </c>
      <c r="D46" s="22">
        <f>-D20/D16</f>
        <v>8.8776505233497532E-2</v>
      </c>
      <c r="E46" s="22">
        <f t="shared" ref="E46:F46" si="61">-E20/E16</f>
        <v>8.8935078495097394E-2</v>
      </c>
      <c r="F46" s="22">
        <f t="shared" si="61"/>
        <v>8.4744004656550034E-2</v>
      </c>
      <c r="G46" s="260">
        <f t="shared" ref="G46:G50" si="62">AVERAGE(D46:F46)</f>
        <v>8.748519612838164E-2</v>
      </c>
      <c r="H46" s="260">
        <f t="shared" ref="H46:K46" si="63">G46</f>
        <v>8.748519612838164E-2</v>
      </c>
      <c r="I46" s="260">
        <f t="shared" si="63"/>
        <v>8.748519612838164E-2</v>
      </c>
      <c r="J46" s="260">
        <f t="shared" si="63"/>
        <v>8.748519612838164E-2</v>
      </c>
      <c r="K46" s="260">
        <f t="shared" si="63"/>
        <v>8.748519612838164E-2</v>
      </c>
    </row>
    <row r="47" spans="3:11" ht="15" customHeight="1" x14ac:dyDescent="0.25">
      <c r="C47" s="17" t="s">
        <v>232</v>
      </c>
      <c r="D47" s="22">
        <f>-D21/D16</f>
        <v>2.1789924792465644E-2</v>
      </c>
      <c r="E47" s="22">
        <f t="shared" ref="E47:F47" si="64">-E21/E16</f>
        <v>1.9560901105432644E-2</v>
      </c>
      <c r="F47" s="22">
        <f t="shared" si="64"/>
        <v>2.2634177751642521E-2</v>
      </c>
      <c r="G47" s="260">
        <f t="shared" si="62"/>
        <v>2.1328334549846936E-2</v>
      </c>
      <c r="H47" s="260">
        <f t="shared" ref="H47:K47" si="65">G47</f>
        <v>2.1328334549846936E-2</v>
      </c>
      <c r="I47" s="260">
        <f t="shared" si="65"/>
        <v>2.1328334549846936E-2</v>
      </c>
      <c r="J47" s="260">
        <f t="shared" si="65"/>
        <v>2.1328334549846936E-2</v>
      </c>
      <c r="K47" s="260">
        <f t="shared" si="65"/>
        <v>2.1328334549846936E-2</v>
      </c>
    </row>
    <row r="48" spans="3:11" ht="15" customHeight="1" x14ac:dyDescent="0.25">
      <c r="C48" s="17" t="s">
        <v>233</v>
      </c>
      <c r="D48" s="22">
        <f>-D22/D16</f>
        <v>7.8650975133418968E-2</v>
      </c>
      <c r="E48" s="22">
        <f t="shared" ref="E48:F48" si="66">-E22/E16</f>
        <v>7.0866903396643102E-2</v>
      </c>
      <c r="F48" s="22">
        <f t="shared" si="66"/>
        <v>6.6398628847039065E-2</v>
      </c>
      <c r="G48" s="260">
        <f t="shared" si="62"/>
        <v>7.1972169125700383E-2</v>
      </c>
      <c r="H48" s="260">
        <f t="shared" ref="H48:K48" si="67">G48</f>
        <v>7.1972169125700383E-2</v>
      </c>
      <c r="I48" s="260">
        <f t="shared" si="67"/>
        <v>7.1972169125700383E-2</v>
      </c>
      <c r="J48" s="260">
        <f t="shared" si="67"/>
        <v>7.1972169125700383E-2</v>
      </c>
      <c r="K48" s="260">
        <f t="shared" si="67"/>
        <v>7.1972169125700383E-2</v>
      </c>
    </row>
    <row r="49" spans="3:11" ht="15" customHeight="1" x14ac:dyDescent="0.25">
      <c r="C49" s="17" t="s">
        <v>235</v>
      </c>
      <c r="D49" s="22">
        <f>-D23/D16</f>
        <v>3.9339578120067782E-2</v>
      </c>
      <c r="E49" s="22">
        <f t="shared" ref="E49:F49" si="68">-E23/E16</f>
        <v>1.2433923770106907E-3</v>
      </c>
      <c r="F49" s="22">
        <f t="shared" si="68"/>
        <v>1.7172394472135723E-2</v>
      </c>
      <c r="G49" s="260">
        <f t="shared" si="62"/>
        <v>1.9251788323071398E-2</v>
      </c>
      <c r="H49" s="260">
        <f t="shared" ref="H49:K49" si="69">G49</f>
        <v>1.9251788323071398E-2</v>
      </c>
      <c r="I49" s="260">
        <f t="shared" si="69"/>
        <v>1.9251788323071398E-2</v>
      </c>
      <c r="J49" s="260">
        <f t="shared" si="69"/>
        <v>1.9251788323071398E-2</v>
      </c>
      <c r="K49" s="260">
        <f t="shared" si="69"/>
        <v>1.9251788323071398E-2</v>
      </c>
    </row>
    <row r="50" spans="3:11" ht="15" customHeight="1" x14ac:dyDescent="0.25">
      <c r="C50" s="17" t="s">
        <v>234</v>
      </c>
      <c r="D50" s="22">
        <f>-D24/D16</f>
        <v>2.1462377620779633E-3</v>
      </c>
      <c r="E50" s="22">
        <f t="shared" ref="E50:F50" si="70">-E24/E16</f>
        <v>1.7242414675244511E-3</v>
      </c>
      <c r="F50" s="22">
        <f t="shared" si="70"/>
        <v>1.7055320342682445E-3</v>
      </c>
      <c r="G50" s="260">
        <f t="shared" si="62"/>
        <v>1.8586704212902195E-3</v>
      </c>
      <c r="H50" s="260">
        <f t="shared" ref="H50:K50" si="71">G50</f>
        <v>1.8586704212902195E-3</v>
      </c>
      <c r="I50" s="260">
        <f t="shared" si="71"/>
        <v>1.8586704212902195E-3</v>
      </c>
      <c r="J50" s="260">
        <f t="shared" si="71"/>
        <v>1.8586704212902195E-3</v>
      </c>
      <c r="K50" s="260">
        <f t="shared" si="71"/>
        <v>1.8586704212902195E-3</v>
      </c>
    </row>
    <row r="51" spans="3:11" ht="15" customHeight="1" x14ac:dyDescent="0.25">
      <c r="C51" s="17" t="s">
        <v>27</v>
      </c>
      <c r="D51" s="225">
        <f>-D31/D30</f>
        <v>0.31505201199245386</v>
      </c>
      <c r="E51" s="225">
        <f t="shared" ref="E51:F51" si="72">-E31/E30</f>
        <v>0.2719848489571639</v>
      </c>
      <c r="F51" s="225">
        <f t="shared" si="72"/>
        <v>0.27986642876880663</v>
      </c>
      <c r="G51" s="23">
        <v>0.22500000000000001</v>
      </c>
      <c r="H51" s="23">
        <v>0.22500000000000001</v>
      </c>
      <c r="I51" s="23">
        <v>0.22500000000000001</v>
      </c>
      <c r="J51" s="23">
        <v>0.22500000000000001</v>
      </c>
      <c r="K51" s="23">
        <v>0.22500000000000001</v>
      </c>
    </row>
    <row r="52" spans="3:11" ht="15" customHeight="1" x14ac:dyDescent="0.25">
      <c r="C52" s="17"/>
      <c r="D52" s="24"/>
      <c r="E52" s="24"/>
      <c r="F52" s="24"/>
      <c r="G52" s="24"/>
      <c r="H52" s="24"/>
      <c r="I52" s="24"/>
      <c r="J52" s="24"/>
      <c r="K52" s="24"/>
    </row>
    <row r="53" spans="3:11" customFormat="1" x14ac:dyDescent="0.25">
      <c r="C53" s="41" t="s">
        <v>47</v>
      </c>
      <c r="D53" s="48"/>
      <c r="E53" s="48"/>
      <c r="F53" s="48"/>
      <c r="G53" s="42"/>
      <c r="H53" s="42"/>
      <c r="I53" s="42"/>
      <c r="J53" s="42"/>
      <c r="K53" s="42"/>
    </row>
    <row r="54" spans="3:11" customFormat="1" x14ac:dyDescent="0.25">
      <c r="C54" t="s">
        <v>45</v>
      </c>
      <c r="D54" s="43">
        <f>D$13</f>
        <v>2023</v>
      </c>
      <c r="E54" s="43">
        <f t="shared" ref="E54:K54" si="73">E$13</f>
        <v>2024</v>
      </c>
      <c r="F54" s="43">
        <f t="shared" si="73"/>
        <v>2025</v>
      </c>
      <c r="G54" s="44">
        <f t="shared" si="73"/>
        <v>2026</v>
      </c>
      <c r="H54" s="44">
        <f t="shared" si="73"/>
        <v>2027</v>
      </c>
      <c r="I54" s="44">
        <f t="shared" si="73"/>
        <v>2028</v>
      </c>
      <c r="J54" s="44">
        <f t="shared" si="73"/>
        <v>2029</v>
      </c>
      <c r="K54" s="44">
        <f t="shared" si="73"/>
        <v>2030</v>
      </c>
    </row>
    <row r="55" spans="3:11" customFormat="1" x14ac:dyDescent="0.25">
      <c r="C55" s="45" t="s">
        <v>46</v>
      </c>
      <c r="D55" s="46">
        <f>D$14</f>
        <v>45291</v>
      </c>
      <c r="E55" s="46">
        <f t="shared" ref="E55:K55" si="74">E$14</f>
        <v>45657</v>
      </c>
      <c r="F55" s="46">
        <f t="shared" si="74"/>
        <v>46022</v>
      </c>
      <c r="G55" s="46">
        <f t="shared" si="74"/>
        <v>46387</v>
      </c>
      <c r="H55" s="46">
        <f t="shared" si="74"/>
        <v>46752</v>
      </c>
      <c r="I55" s="46">
        <f t="shared" si="74"/>
        <v>47118</v>
      </c>
      <c r="J55" s="46">
        <f t="shared" si="74"/>
        <v>47483</v>
      </c>
      <c r="K55" s="46">
        <f t="shared" si="74"/>
        <v>47848</v>
      </c>
    </row>
    <row r="56" spans="3:11" s="37" customFormat="1" ht="15" customHeight="1" x14ac:dyDescent="0.25">
      <c r="C56" s="47" t="s">
        <v>3</v>
      </c>
    </row>
    <row r="57" spans="3:11" ht="15" customHeight="1" x14ac:dyDescent="0.25"/>
    <row r="58" spans="3:11" ht="15" customHeight="1" x14ac:dyDescent="0.25">
      <c r="C58" s="13" t="s">
        <v>4</v>
      </c>
    </row>
    <row r="59" spans="3:11" ht="15" customHeight="1" x14ac:dyDescent="0.25">
      <c r="C59" s="17" t="s">
        <v>160</v>
      </c>
      <c r="D59" s="10">
        <v>111640900</v>
      </c>
      <c r="E59" s="10">
        <v>221267021</v>
      </c>
      <c r="F59" s="10">
        <v>192750793</v>
      </c>
      <c r="G59" s="194">
        <f>G193</f>
        <v>246180941.17494887</v>
      </c>
      <c r="H59" s="194">
        <f t="shared" ref="H59:K59" si="75">H193</f>
        <v>307488094.10488427</v>
      </c>
      <c r="I59" s="194">
        <f t="shared" si="75"/>
        <v>375477151.62015826</v>
      </c>
      <c r="J59" s="194">
        <f t="shared" si="75"/>
        <v>443941432.53532296</v>
      </c>
      <c r="K59" s="194">
        <f t="shared" si="75"/>
        <v>510199416.4665041</v>
      </c>
    </row>
    <row r="60" spans="3:11" ht="15" customHeight="1" x14ac:dyDescent="0.25">
      <c r="C60" s="17" t="s">
        <v>241</v>
      </c>
      <c r="D60" s="10">
        <v>26067777</v>
      </c>
      <c r="E60" s="10">
        <v>17321568</v>
      </c>
      <c r="F60" s="10">
        <v>68444849</v>
      </c>
      <c r="G60" s="19">
        <f>G194</f>
        <v>87417629.173630729</v>
      </c>
      <c r="H60" s="19">
        <f t="shared" ref="H60:K60" si="76">H194</f>
        <v>109187494.60245588</v>
      </c>
      <c r="I60" s="19">
        <f t="shared" si="76"/>
        <v>133330071.153543</v>
      </c>
      <c r="J60" s="19">
        <f t="shared" si="76"/>
        <v>157641397.17300084</v>
      </c>
      <c r="K60" s="19">
        <f t="shared" si="76"/>
        <v>181169278.0944252</v>
      </c>
    </row>
    <row r="61" spans="3:11" ht="15" customHeight="1" x14ac:dyDescent="0.25">
      <c r="C61" s="17" t="s">
        <v>242</v>
      </c>
      <c r="D61" s="10">
        <v>2261053820</v>
      </c>
      <c r="E61" s="10">
        <v>3195558294</v>
      </c>
      <c r="F61" s="10">
        <v>3385559350</v>
      </c>
      <c r="G61" s="19">
        <f t="shared" ref="G61" si="77">G195</f>
        <v>4324029874.0905733</v>
      </c>
      <c r="H61" s="19">
        <f t="shared" ref="H61:K61" si="78">H195</f>
        <v>5400855559.6991539</v>
      </c>
      <c r="I61" s="19">
        <f t="shared" si="78"/>
        <v>6595045144.0113888</v>
      </c>
      <c r="J61" s="19">
        <f t="shared" si="78"/>
        <v>7797581760.2595129</v>
      </c>
      <c r="K61" s="19">
        <f t="shared" si="78"/>
        <v>8961366009.9583454</v>
      </c>
    </row>
    <row r="62" spans="3:11" ht="15" customHeight="1" x14ac:dyDescent="0.25">
      <c r="C62" s="17" t="s">
        <v>243</v>
      </c>
      <c r="D62" s="10">
        <v>5394529</v>
      </c>
      <c r="E62" s="10">
        <v>0</v>
      </c>
      <c r="F62" s="10">
        <v>0</v>
      </c>
      <c r="G62" s="19">
        <f>G196</f>
        <v>0</v>
      </c>
      <c r="H62" s="19">
        <f t="shared" ref="H62:K62" si="79">H196</f>
        <v>0</v>
      </c>
      <c r="I62" s="19">
        <f t="shared" si="79"/>
        <v>0</v>
      </c>
      <c r="J62" s="19">
        <f t="shared" si="79"/>
        <v>0</v>
      </c>
      <c r="K62" s="19">
        <f t="shared" si="79"/>
        <v>0</v>
      </c>
    </row>
    <row r="63" spans="3:11" ht="15" customHeight="1" x14ac:dyDescent="0.25">
      <c r="C63" s="17" t="s">
        <v>244</v>
      </c>
      <c r="D63" s="10">
        <v>12006925</v>
      </c>
      <c r="E63" s="10">
        <v>16046409</v>
      </c>
      <c r="F63" s="10">
        <v>434049674</v>
      </c>
      <c r="G63" s="19">
        <f>G197</f>
        <v>554367406.73746395</v>
      </c>
      <c r="H63" s="19">
        <f t="shared" ref="H63:K63" si="80">H197</f>
        <v>692423127.95624304</v>
      </c>
      <c r="I63" s="19">
        <f t="shared" si="80"/>
        <v>845525627.77356899</v>
      </c>
      <c r="J63" s="19">
        <f t="shared" si="80"/>
        <v>999698268.77469671</v>
      </c>
      <c r="K63" s="19">
        <f t="shared" si="80"/>
        <v>1148902616.4072711</v>
      </c>
    </row>
    <row r="64" spans="3:11" ht="15" customHeight="1" x14ac:dyDescent="0.25">
      <c r="C64" s="17" t="s">
        <v>245</v>
      </c>
      <c r="D64" s="10">
        <v>737921833</v>
      </c>
      <c r="E64" s="10">
        <v>0</v>
      </c>
      <c r="F64" s="10">
        <v>0</v>
      </c>
      <c r="G64" s="19">
        <f>F64</f>
        <v>0</v>
      </c>
      <c r="H64" s="19">
        <f t="shared" ref="H64:K64" si="81">G64</f>
        <v>0</v>
      </c>
      <c r="I64" s="19">
        <f t="shared" si="81"/>
        <v>0</v>
      </c>
      <c r="J64" s="19">
        <f t="shared" si="81"/>
        <v>0</v>
      </c>
      <c r="K64" s="19">
        <f t="shared" si="81"/>
        <v>0</v>
      </c>
    </row>
    <row r="65" spans="3:11" ht="15" customHeight="1" x14ac:dyDescent="0.25">
      <c r="C65" s="17" t="s">
        <v>246</v>
      </c>
      <c r="D65" s="10">
        <v>463961532</v>
      </c>
      <c r="E65" s="10">
        <v>1079529959</v>
      </c>
      <c r="F65" s="10">
        <v>1465847990</v>
      </c>
      <c r="G65" s="19">
        <f>F65</f>
        <v>1465847990</v>
      </c>
      <c r="H65" s="19">
        <f t="shared" ref="H65:K65" si="82">G65</f>
        <v>1465847990</v>
      </c>
      <c r="I65" s="19">
        <f t="shared" si="82"/>
        <v>1465847990</v>
      </c>
      <c r="J65" s="19">
        <f t="shared" si="82"/>
        <v>1465847990</v>
      </c>
      <c r="K65" s="19">
        <f t="shared" si="82"/>
        <v>1465847990</v>
      </c>
    </row>
    <row r="66" spans="3:11" ht="15" customHeight="1" x14ac:dyDescent="0.25">
      <c r="C66" s="17" t="s">
        <v>161</v>
      </c>
      <c r="D66" s="10">
        <v>1505212691</v>
      </c>
      <c r="E66" s="10">
        <v>1205753600</v>
      </c>
      <c r="F66" s="10">
        <v>1382001641</v>
      </c>
      <c r="G66" s="19">
        <f>G144</f>
        <v>1894138501.7685232</v>
      </c>
      <c r="H66" s="19">
        <f t="shared" ref="H66:K66" si="83">H144</f>
        <v>2685936218.0220613</v>
      </c>
      <c r="I66" s="19">
        <f t="shared" si="83"/>
        <v>3852915312.9567719</v>
      </c>
      <c r="J66" s="19">
        <f t="shared" si="83"/>
        <v>5522968946.8484306</v>
      </c>
      <c r="K66" s="19">
        <f t="shared" si="83"/>
        <v>7773561121.2435007</v>
      </c>
    </row>
    <row r="67" spans="3:11" ht="15" customHeight="1" x14ac:dyDescent="0.25">
      <c r="C67" s="11" t="s">
        <v>5</v>
      </c>
      <c r="D67" s="12">
        <f>SUM(D59:D66)</f>
        <v>5123260007</v>
      </c>
      <c r="E67" s="12">
        <f t="shared" ref="E67:K67" si="84">SUM(E59:E66)</f>
        <v>5735476851</v>
      </c>
      <c r="F67" s="12">
        <f t="shared" si="84"/>
        <v>6928654297</v>
      </c>
      <c r="G67" s="12">
        <f t="shared" si="84"/>
        <v>8571982342.9451399</v>
      </c>
      <c r="H67" s="12">
        <f t="shared" si="84"/>
        <v>10661738484.3848</v>
      </c>
      <c r="I67" s="12">
        <f t="shared" si="84"/>
        <v>13268141297.51543</v>
      </c>
      <c r="J67" s="12">
        <f t="shared" si="84"/>
        <v>16387679795.590963</v>
      </c>
      <c r="K67" s="12">
        <f t="shared" si="84"/>
        <v>20041046432.170048</v>
      </c>
    </row>
    <row r="68" spans="3:11" ht="15" customHeight="1" x14ac:dyDescent="0.25">
      <c r="E68" s="18"/>
      <c r="F68" s="18"/>
      <c r="G68" s="18"/>
      <c r="H68" s="18"/>
      <c r="I68" s="18"/>
      <c r="J68" s="18"/>
      <c r="K68" s="18"/>
    </row>
    <row r="69" spans="3:11" ht="15" customHeight="1" x14ac:dyDescent="0.25">
      <c r="C69" s="13" t="s">
        <v>6</v>
      </c>
      <c r="E69" s="18"/>
      <c r="F69" s="18"/>
      <c r="G69" s="18"/>
      <c r="H69" s="18"/>
      <c r="I69" s="18"/>
      <c r="J69" s="18"/>
      <c r="K69" s="18"/>
    </row>
    <row r="70" spans="3:11" ht="15" customHeight="1" x14ac:dyDescent="0.25">
      <c r="C70" s="25" t="s">
        <v>236</v>
      </c>
      <c r="D70" s="10">
        <v>386055474</v>
      </c>
      <c r="E70" s="10">
        <v>520361571</v>
      </c>
      <c r="F70" s="10">
        <v>496783524</v>
      </c>
      <c r="G70" s="19">
        <f>G155</f>
        <v>917816590.98255169</v>
      </c>
      <c r="H70" s="19">
        <f t="shared" ref="H70:K70" si="85">H155</f>
        <v>1335652267.5663211</v>
      </c>
      <c r="I70" s="19">
        <f t="shared" si="85"/>
        <v>1713936885.3682139</v>
      </c>
      <c r="J70" s="19">
        <f t="shared" si="85"/>
        <v>2005200778.9183373</v>
      </c>
      <c r="K70" s="19">
        <f t="shared" si="85"/>
        <v>2160656268.0990195</v>
      </c>
    </row>
    <row r="71" spans="3:11" ht="15" customHeight="1" x14ac:dyDescent="0.25">
      <c r="C71" s="17" t="s">
        <v>195</v>
      </c>
      <c r="D71" s="10">
        <v>188255300</v>
      </c>
      <c r="E71" s="10">
        <v>212916927</v>
      </c>
      <c r="F71" s="10">
        <v>167040739</v>
      </c>
      <c r="G71" s="19">
        <f>F71</f>
        <v>167040739</v>
      </c>
      <c r="H71" s="19">
        <f t="shared" ref="H71:K71" si="86">G71</f>
        <v>167040739</v>
      </c>
      <c r="I71" s="19">
        <f t="shared" si="86"/>
        <v>167040739</v>
      </c>
      <c r="J71" s="19">
        <f t="shared" si="86"/>
        <v>167040739</v>
      </c>
      <c r="K71" s="19">
        <f t="shared" si="86"/>
        <v>167040739</v>
      </c>
    </row>
    <row r="72" spans="3:11" ht="15" customHeight="1" x14ac:dyDescent="0.25">
      <c r="C72" s="17" t="s">
        <v>237</v>
      </c>
      <c r="D72" s="10">
        <v>503950121</v>
      </c>
      <c r="E72" s="10">
        <v>548637414</v>
      </c>
      <c r="F72" s="10">
        <v>610703964</v>
      </c>
      <c r="G72" s="19">
        <f t="shared" ref="G72:K76" si="87">F72</f>
        <v>610703964</v>
      </c>
      <c r="H72" s="19">
        <f t="shared" si="87"/>
        <v>610703964</v>
      </c>
      <c r="I72" s="19">
        <f t="shared" si="87"/>
        <v>610703964</v>
      </c>
      <c r="J72" s="19">
        <f t="shared" si="87"/>
        <v>610703964</v>
      </c>
      <c r="K72" s="19">
        <f t="shared" si="87"/>
        <v>610703964</v>
      </c>
    </row>
    <row r="73" spans="3:11" ht="15" customHeight="1" x14ac:dyDescent="0.25">
      <c r="C73" s="17" t="s">
        <v>238</v>
      </c>
      <c r="D73" s="10">
        <v>1074319294</v>
      </c>
      <c r="E73" s="10">
        <v>1361529554</v>
      </c>
      <c r="F73" s="10">
        <v>2778504050</v>
      </c>
      <c r="G73" s="19">
        <f t="shared" si="87"/>
        <v>2778504050</v>
      </c>
      <c r="H73" s="19">
        <f t="shared" si="87"/>
        <v>2778504050</v>
      </c>
      <c r="I73" s="19">
        <f t="shared" si="87"/>
        <v>2778504050</v>
      </c>
      <c r="J73" s="19">
        <f t="shared" si="87"/>
        <v>2778504050</v>
      </c>
      <c r="K73" s="19">
        <f t="shared" si="87"/>
        <v>2778504050</v>
      </c>
    </row>
    <row r="74" spans="3:11" ht="15" customHeight="1" x14ac:dyDescent="0.25">
      <c r="C74" s="17" t="s">
        <v>239</v>
      </c>
      <c r="D74" s="10">
        <v>216748236</v>
      </c>
      <c r="E74" s="10">
        <v>574889883</v>
      </c>
      <c r="F74" s="10">
        <v>761598364</v>
      </c>
      <c r="G74" s="19">
        <f t="shared" si="87"/>
        <v>761598364</v>
      </c>
      <c r="H74" s="19">
        <f t="shared" si="87"/>
        <v>761598364</v>
      </c>
      <c r="I74" s="19">
        <f t="shared" si="87"/>
        <v>761598364</v>
      </c>
      <c r="J74" s="19">
        <f t="shared" si="87"/>
        <v>761598364</v>
      </c>
      <c r="K74" s="19">
        <f t="shared" si="87"/>
        <v>761598364</v>
      </c>
    </row>
    <row r="75" spans="3:11" ht="15" customHeight="1" x14ac:dyDescent="0.25">
      <c r="C75" s="17" t="s">
        <v>240</v>
      </c>
      <c r="D75" s="10">
        <v>1262261</v>
      </c>
      <c r="E75" s="10">
        <v>2804780</v>
      </c>
      <c r="F75" s="10">
        <v>66013342</v>
      </c>
      <c r="G75" s="19">
        <f t="shared" si="87"/>
        <v>66013342</v>
      </c>
      <c r="H75" s="19">
        <f t="shared" si="87"/>
        <v>66013342</v>
      </c>
      <c r="I75" s="19">
        <f t="shared" si="87"/>
        <v>66013342</v>
      </c>
      <c r="J75" s="19">
        <f t="shared" si="87"/>
        <v>66013342</v>
      </c>
      <c r="K75" s="19">
        <f t="shared" si="87"/>
        <v>66013342</v>
      </c>
    </row>
    <row r="76" spans="3:11" ht="15" customHeight="1" x14ac:dyDescent="0.25">
      <c r="C76" s="17" t="s">
        <v>159</v>
      </c>
      <c r="D76" s="10">
        <v>141198514</v>
      </c>
      <c r="E76" s="10">
        <v>101411564</v>
      </c>
      <c r="F76" s="10">
        <v>94222648</v>
      </c>
      <c r="G76" s="19">
        <f t="shared" si="87"/>
        <v>94222648</v>
      </c>
      <c r="H76" s="19">
        <f t="shared" si="87"/>
        <v>94222648</v>
      </c>
      <c r="I76" s="19">
        <f t="shared" si="87"/>
        <v>94222648</v>
      </c>
      <c r="J76" s="19">
        <f t="shared" si="87"/>
        <v>94222648</v>
      </c>
      <c r="K76" s="19">
        <f t="shared" si="87"/>
        <v>94222648</v>
      </c>
    </row>
    <row r="77" spans="3:11" ht="15" customHeight="1" x14ac:dyDescent="0.25">
      <c r="C77" s="11" t="s">
        <v>7</v>
      </c>
      <c r="D77" s="12">
        <f>SUM(D70:D76)</f>
        <v>2511789200</v>
      </c>
      <c r="E77" s="12">
        <f t="shared" ref="E77:K77" si="88">SUM(E70:E76)</f>
        <v>3322551693</v>
      </c>
      <c r="F77" s="12">
        <f t="shared" si="88"/>
        <v>4974866631</v>
      </c>
      <c r="G77" s="12">
        <f t="shared" si="88"/>
        <v>5395899697.9825516</v>
      </c>
      <c r="H77" s="12">
        <f t="shared" si="88"/>
        <v>5813735374.5663214</v>
      </c>
      <c r="I77" s="12">
        <f t="shared" si="88"/>
        <v>6192019992.3682137</v>
      </c>
      <c r="J77" s="12">
        <f t="shared" si="88"/>
        <v>6483283885.9183369</v>
      </c>
      <c r="K77" s="12">
        <f t="shared" si="88"/>
        <v>6638739375.09902</v>
      </c>
    </row>
    <row r="78" spans="3:11" ht="15" customHeight="1" x14ac:dyDescent="0.25">
      <c r="E78" s="19"/>
      <c r="F78" s="19"/>
      <c r="G78" s="19"/>
      <c r="H78" s="19"/>
      <c r="I78" s="19"/>
      <c r="J78" s="19"/>
      <c r="K78" s="19"/>
    </row>
    <row r="79" spans="3:11" ht="15" customHeight="1" x14ac:dyDescent="0.25">
      <c r="C79" s="13" t="s">
        <v>8</v>
      </c>
      <c r="D79" s="14">
        <f>D67+D77</f>
        <v>7635049207</v>
      </c>
      <c r="E79" s="14">
        <f t="shared" ref="E79:K79" si="89">E67+E77</f>
        <v>9058028544</v>
      </c>
      <c r="F79" s="14">
        <f t="shared" si="89"/>
        <v>11903520928</v>
      </c>
      <c r="G79" s="14">
        <f t="shared" si="89"/>
        <v>13967882040.927692</v>
      </c>
      <c r="H79" s="14">
        <f t="shared" si="89"/>
        <v>16475473858.951122</v>
      </c>
      <c r="I79" s="14">
        <f t="shared" si="89"/>
        <v>19460161289.883644</v>
      </c>
      <c r="J79" s="14">
        <f t="shared" si="89"/>
        <v>22870963681.5093</v>
      </c>
      <c r="K79" s="14">
        <f t="shared" si="89"/>
        <v>26679785807.269066</v>
      </c>
    </row>
    <row r="80" spans="3:11" ht="15" customHeight="1" x14ac:dyDescent="0.25">
      <c r="E80" s="18"/>
      <c r="F80" s="18"/>
      <c r="G80" s="18"/>
      <c r="H80" s="18"/>
      <c r="I80" s="18"/>
      <c r="J80" s="18"/>
      <c r="K80" s="18"/>
    </row>
    <row r="81" spans="3:11" s="37" customFormat="1" ht="15" customHeight="1" x14ac:dyDescent="0.25">
      <c r="C81" s="47" t="s">
        <v>9</v>
      </c>
      <c r="D81" s="49"/>
      <c r="E81" s="50"/>
      <c r="F81" s="50"/>
      <c r="G81" s="232"/>
      <c r="H81" s="232"/>
      <c r="I81" s="232"/>
      <c r="J81" s="232"/>
      <c r="K81" s="232"/>
    </row>
    <row r="82" spans="3:11" ht="15" customHeight="1" x14ac:dyDescent="0.25">
      <c r="E82" s="18"/>
      <c r="F82" s="18"/>
      <c r="G82" s="18"/>
      <c r="H82" s="18"/>
      <c r="I82" s="18"/>
      <c r="J82" s="18"/>
      <c r="K82" s="18"/>
    </row>
    <row r="83" spans="3:11" ht="15" customHeight="1" x14ac:dyDescent="0.25">
      <c r="C83" s="13" t="s">
        <v>10</v>
      </c>
      <c r="E83" s="18"/>
      <c r="F83" s="18"/>
      <c r="G83" s="18"/>
      <c r="H83" s="18"/>
      <c r="I83" s="18"/>
      <c r="J83" s="18"/>
      <c r="K83" s="18"/>
    </row>
    <row r="84" spans="3:11" ht="15" customHeight="1" x14ac:dyDescent="0.25">
      <c r="C84" s="17" t="s">
        <v>252</v>
      </c>
      <c r="D84" s="10">
        <v>56281248</v>
      </c>
      <c r="E84" s="10">
        <v>56734030</v>
      </c>
      <c r="F84" s="10">
        <v>66091869</v>
      </c>
      <c r="G84" s="19">
        <f>F84</f>
        <v>66091869</v>
      </c>
      <c r="H84" s="19">
        <f t="shared" ref="H84:K84" si="90">G84</f>
        <v>66091869</v>
      </c>
      <c r="I84" s="19">
        <f t="shared" si="90"/>
        <v>66091869</v>
      </c>
      <c r="J84" s="19">
        <f t="shared" si="90"/>
        <v>66091869</v>
      </c>
      <c r="K84" s="19">
        <f t="shared" si="90"/>
        <v>66091869</v>
      </c>
    </row>
    <row r="85" spans="3:11" ht="15" customHeight="1" x14ac:dyDescent="0.25">
      <c r="C85" s="17" t="s">
        <v>255</v>
      </c>
      <c r="D85" s="10">
        <v>834289305</v>
      </c>
      <c r="E85" s="10">
        <v>965932112</v>
      </c>
      <c r="F85" s="10">
        <v>1282544351</v>
      </c>
      <c r="G85" s="19">
        <f>G201</f>
        <v>1638063172.2111461</v>
      </c>
      <c r="H85" s="19">
        <f t="shared" ref="H85:K85" si="91">H201</f>
        <v>2045994789.2093792</v>
      </c>
      <c r="I85" s="19">
        <f t="shared" si="91"/>
        <v>2498387125.9092793</v>
      </c>
      <c r="J85" s="19">
        <f t="shared" si="91"/>
        <v>2953941551.2185521</v>
      </c>
      <c r="K85" s="19">
        <f t="shared" si="91"/>
        <v>3394815498.7492642</v>
      </c>
    </row>
    <row r="86" spans="3:11" ht="15" customHeight="1" x14ac:dyDescent="0.25">
      <c r="C86" s="17" t="s">
        <v>256</v>
      </c>
      <c r="D86" s="10">
        <v>56447561</v>
      </c>
      <c r="E86" s="10">
        <v>29163715</v>
      </c>
      <c r="F86" s="10">
        <v>0</v>
      </c>
      <c r="G86" s="19">
        <f>G202</f>
        <v>0</v>
      </c>
      <c r="H86" s="19">
        <f t="shared" ref="H86:K86" si="92">H202</f>
        <v>0</v>
      </c>
      <c r="I86" s="19">
        <f t="shared" si="92"/>
        <v>0</v>
      </c>
      <c r="J86" s="19">
        <f t="shared" si="92"/>
        <v>0</v>
      </c>
      <c r="K86" s="19">
        <f t="shared" si="92"/>
        <v>0</v>
      </c>
    </row>
    <row r="87" spans="3:11" ht="15" customHeight="1" x14ac:dyDescent="0.25">
      <c r="C87" s="17" t="s">
        <v>253</v>
      </c>
      <c r="D87" s="10">
        <v>104790224</v>
      </c>
      <c r="E87" s="10">
        <v>21493772</v>
      </c>
      <c r="F87" s="10">
        <v>3165830</v>
      </c>
      <c r="G87" s="19">
        <f>F87</f>
        <v>3165830</v>
      </c>
      <c r="H87" s="19">
        <f t="shared" ref="H87:K87" si="93">G87</f>
        <v>3165830</v>
      </c>
      <c r="I87" s="19">
        <f t="shared" si="93"/>
        <v>3165830</v>
      </c>
      <c r="J87" s="19">
        <f t="shared" si="93"/>
        <v>3165830</v>
      </c>
      <c r="K87" s="19">
        <f t="shared" si="93"/>
        <v>3165830</v>
      </c>
    </row>
    <row r="88" spans="3:11" ht="15" customHeight="1" x14ac:dyDescent="0.25">
      <c r="C88" s="17" t="s">
        <v>196</v>
      </c>
      <c r="D88" s="10">
        <v>342981012</v>
      </c>
      <c r="E88" s="10">
        <v>490783289</v>
      </c>
      <c r="F88" s="10">
        <v>699517915</v>
      </c>
      <c r="G88" s="19">
        <f>G203</f>
        <v>893422932.29080462</v>
      </c>
      <c r="H88" s="19">
        <f t="shared" ref="H88:K88" si="94">H203</f>
        <v>1115914633.2309637</v>
      </c>
      <c r="I88" s="19">
        <f t="shared" si="94"/>
        <v>1362655842.5182302</v>
      </c>
      <c r="J88" s="19">
        <f t="shared" si="94"/>
        <v>1611121699.8688161</v>
      </c>
      <c r="K88" s="19">
        <f t="shared" si="94"/>
        <v>1851580616.017832</v>
      </c>
    </row>
    <row r="89" spans="3:11" ht="15" customHeight="1" x14ac:dyDescent="0.25">
      <c r="C89" s="11" t="s">
        <v>11</v>
      </c>
      <c r="D89" s="12">
        <f>SUM(D84:D88)</f>
        <v>1394789350</v>
      </c>
      <c r="E89" s="12">
        <f t="shared" ref="E89:K89" si="95">SUM(E84:E88)</f>
        <v>1564106918</v>
      </c>
      <c r="F89" s="12">
        <f t="shared" si="95"/>
        <v>2051319965</v>
      </c>
      <c r="G89" s="12">
        <f t="shared" si="95"/>
        <v>2600743803.5019507</v>
      </c>
      <c r="H89" s="12">
        <f t="shared" si="95"/>
        <v>3231167121.4403429</v>
      </c>
      <c r="I89" s="12">
        <f t="shared" si="95"/>
        <v>3930300667.4275093</v>
      </c>
      <c r="J89" s="12">
        <f t="shared" si="95"/>
        <v>4634320950.087368</v>
      </c>
      <c r="K89" s="12">
        <f t="shared" si="95"/>
        <v>5315653813.7670965</v>
      </c>
    </row>
    <row r="90" spans="3:11" ht="15" customHeight="1" x14ac:dyDescent="0.25">
      <c r="E90" s="18"/>
      <c r="F90" s="18"/>
      <c r="G90" s="18"/>
      <c r="H90" s="18"/>
      <c r="I90" s="18"/>
      <c r="J90" s="18"/>
      <c r="K90" s="18"/>
    </row>
    <row r="91" spans="3:11" ht="15" customHeight="1" x14ac:dyDescent="0.25">
      <c r="C91" s="13" t="s">
        <v>12</v>
      </c>
      <c r="E91" s="18"/>
      <c r="F91" s="18"/>
      <c r="G91" s="18"/>
      <c r="H91" s="18"/>
      <c r="I91" s="18"/>
      <c r="J91" s="18"/>
      <c r="K91" s="18"/>
    </row>
    <row r="92" spans="3:11" ht="15" customHeight="1" x14ac:dyDescent="0.25">
      <c r="C92" s="17" t="s">
        <v>252</v>
      </c>
      <c r="D92" s="10">
        <v>93954673</v>
      </c>
      <c r="E92" s="10">
        <v>63228469</v>
      </c>
      <c r="F92" s="10">
        <v>42991267</v>
      </c>
      <c r="G92" s="19">
        <f>F92</f>
        <v>42991267</v>
      </c>
      <c r="H92" s="19">
        <f t="shared" ref="H92:K92" si="96">G92</f>
        <v>42991267</v>
      </c>
      <c r="I92" s="19">
        <f t="shared" si="96"/>
        <v>42991267</v>
      </c>
      <c r="J92" s="19">
        <f t="shared" si="96"/>
        <v>42991267</v>
      </c>
      <c r="K92" s="19">
        <f t="shared" si="96"/>
        <v>42991267</v>
      </c>
    </row>
    <row r="93" spans="3:11" ht="15" customHeight="1" x14ac:dyDescent="0.25">
      <c r="C93" s="17" t="s">
        <v>253</v>
      </c>
      <c r="D93" s="10">
        <v>12967073</v>
      </c>
      <c r="E93" s="10">
        <v>0</v>
      </c>
      <c r="F93" s="10">
        <v>0</v>
      </c>
      <c r="G93" s="19">
        <f t="shared" ref="G93:K95" si="97">F93</f>
        <v>0</v>
      </c>
      <c r="H93" s="19">
        <f t="shared" si="97"/>
        <v>0</v>
      </c>
      <c r="I93" s="19">
        <f t="shared" si="97"/>
        <v>0</v>
      </c>
      <c r="J93" s="19">
        <f t="shared" si="97"/>
        <v>0</v>
      </c>
      <c r="K93" s="19">
        <f t="shared" si="97"/>
        <v>0</v>
      </c>
    </row>
    <row r="94" spans="3:11" ht="15" customHeight="1" x14ac:dyDescent="0.25">
      <c r="C94" s="17" t="s">
        <v>162</v>
      </c>
      <c r="D94" s="10">
        <v>220684840</v>
      </c>
      <c r="E94" s="10">
        <v>267031696</v>
      </c>
      <c r="F94" s="10">
        <v>496960490</v>
      </c>
      <c r="G94" s="19">
        <f t="shared" si="97"/>
        <v>496960490</v>
      </c>
      <c r="H94" s="19">
        <f t="shared" si="97"/>
        <v>496960490</v>
      </c>
      <c r="I94" s="19">
        <f t="shared" si="97"/>
        <v>496960490</v>
      </c>
      <c r="J94" s="19">
        <f t="shared" si="97"/>
        <v>496960490</v>
      </c>
      <c r="K94" s="19">
        <f t="shared" si="97"/>
        <v>496960490</v>
      </c>
    </row>
    <row r="95" spans="3:11" ht="15" customHeight="1" x14ac:dyDescent="0.25">
      <c r="C95" s="17" t="s">
        <v>254</v>
      </c>
      <c r="D95" s="10">
        <v>312591909</v>
      </c>
      <c r="E95" s="10">
        <v>326935895</v>
      </c>
      <c r="F95" s="10">
        <v>529384430</v>
      </c>
      <c r="G95" s="19">
        <f t="shared" si="97"/>
        <v>529384430</v>
      </c>
      <c r="H95" s="19">
        <f t="shared" si="97"/>
        <v>529384430</v>
      </c>
      <c r="I95" s="19">
        <f t="shared" si="97"/>
        <v>529384430</v>
      </c>
      <c r="J95" s="19">
        <f t="shared" si="97"/>
        <v>529384430</v>
      </c>
      <c r="K95" s="19">
        <f t="shared" si="97"/>
        <v>529384430</v>
      </c>
    </row>
    <row r="96" spans="3:11" ht="15" customHeight="1" x14ac:dyDescent="0.25">
      <c r="C96" s="11" t="s">
        <v>13</v>
      </c>
      <c r="D96" s="12">
        <f>SUM(D92:D95)</f>
        <v>640198495</v>
      </c>
      <c r="E96" s="12">
        <f t="shared" ref="E96:K96" si="98">SUM(E92:E95)</f>
        <v>657196060</v>
      </c>
      <c r="F96" s="12">
        <f t="shared" si="98"/>
        <v>1069336187</v>
      </c>
      <c r="G96" s="12">
        <f t="shared" si="98"/>
        <v>1069336187</v>
      </c>
      <c r="H96" s="12">
        <f t="shared" si="98"/>
        <v>1069336187</v>
      </c>
      <c r="I96" s="12">
        <f t="shared" si="98"/>
        <v>1069336187</v>
      </c>
      <c r="J96" s="12">
        <f t="shared" si="98"/>
        <v>1069336187</v>
      </c>
      <c r="K96" s="12">
        <f t="shared" si="98"/>
        <v>1069336187</v>
      </c>
    </row>
    <row r="97" spans="3:11" ht="15" customHeight="1" x14ac:dyDescent="0.25">
      <c r="E97" s="18"/>
      <c r="F97" s="18"/>
      <c r="G97" s="18"/>
      <c r="H97" s="18"/>
      <c r="I97" s="18"/>
      <c r="J97" s="18"/>
      <c r="K97" s="18"/>
    </row>
    <row r="98" spans="3:11" ht="15" customHeight="1" x14ac:dyDescent="0.25">
      <c r="C98" s="13" t="s">
        <v>14</v>
      </c>
      <c r="D98" s="26">
        <f>D89+D96</f>
        <v>2034987845</v>
      </c>
      <c r="E98" s="26">
        <f t="shared" ref="E98:K98" si="99">E89+E96</f>
        <v>2221302978</v>
      </c>
      <c r="F98" s="26">
        <f t="shared" si="99"/>
        <v>3120656152</v>
      </c>
      <c r="G98" s="26">
        <f t="shared" si="99"/>
        <v>3670079990.5019507</v>
      </c>
      <c r="H98" s="26">
        <f t="shared" si="99"/>
        <v>4300503308.4403429</v>
      </c>
      <c r="I98" s="26">
        <f t="shared" si="99"/>
        <v>4999636854.4275093</v>
      </c>
      <c r="J98" s="26">
        <f t="shared" si="99"/>
        <v>5703657137.087368</v>
      </c>
      <c r="K98" s="26">
        <f t="shared" si="99"/>
        <v>6384990000.7670965</v>
      </c>
    </row>
    <row r="99" spans="3:11" ht="15" customHeight="1" x14ac:dyDescent="0.25">
      <c r="E99" s="18"/>
      <c r="F99" s="18"/>
      <c r="G99" s="18"/>
      <c r="H99" s="18"/>
      <c r="I99" s="18"/>
      <c r="J99" s="18"/>
      <c r="K99" s="18"/>
    </row>
    <row r="100" spans="3:11" ht="15" customHeight="1" x14ac:dyDescent="0.25">
      <c r="C100" s="13" t="s">
        <v>15</v>
      </c>
      <c r="E100" s="18"/>
      <c r="F100" s="18"/>
      <c r="G100" s="18"/>
      <c r="H100" s="18"/>
      <c r="I100" s="18"/>
      <c r="J100" s="18"/>
      <c r="K100" s="18"/>
    </row>
    <row r="101" spans="3:11" ht="15" customHeight="1" x14ac:dyDescent="0.25">
      <c r="C101" s="17" t="s">
        <v>247</v>
      </c>
      <c r="D101" s="10">
        <v>924444445</v>
      </c>
      <c r="E101" s="10">
        <v>1155555556</v>
      </c>
      <c r="F101" s="10">
        <v>1733333334</v>
      </c>
      <c r="G101" s="19">
        <f>F101</f>
        <v>1733333334</v>
      </c>
      <c r="H101" s="19">
        <f t="shared" ref="H101:K101" si="100">G101</f>
        <v>1733333334</v>
      </c>
      <c r="I101" s="19">
        <f t="shared" si="100"/>
        <v>1733333334</v>
      </c>
      <c r="J101" s="19">
        <f t="shared" si="100"/>
        <v>1733333334</v>
      </c>
      <c r="K101" s="19">
        <f t="shared" si="100"/>
        <v>1733333334</v>
      </c>
    </row>
    <row r="102" spans="3:11" ht="15" customHeight="1" x14ac:dyDescent="0.25">
      <c r="C102" s="17" t="s">
        <v>248</v>
      </c>
      <c r="D102" s="10">
        <v>1956462107</v>
      </c>
      <c r="E102" s="10">
        <v>1956462107</v>
      </c>
      <c r="F102" s="10">
        <v>1952355391</v>
      </c>
      <c r="G102" s="19">
        <f>F102</f>
        <v>1952355391</v>
      </c>
      <c r="H102" s="19">
        <f t="shared" ref="H102:K102" si="101">G102</f>
        <v>1952355391</v>
      </c>
      <c r="I102" s="19">
        <f t="shared" si="101"/>
        <v>1952355391</v>
      </c>
      <c r="J102" s="19">
        <f t="shared" si="101"/>
        <v>1952355391</v>
      </c>
      <c r="K102" s="19">
        <f t="shared" si="101"/>
        <v>1952355391</v>
      </c>
    </row>
    <row r="103" spans="3:11" ht="15" customHeight="1" x14ac:dyDescent="0.25">
      <c r="C103" s="17" t="s">
        <v>197</v>
      </c>
      <c r="D103" s="10">
        <v>634417270</v>
      </c>
      <c r="E103" s="10">
        <v>699185622</v>
      </c>
      <c r="F103" s="10">
        <v>895325203</v>
      </c>
      <c r="G103" s="19">
        <f>F103</f>
        <v>895325203</v>
      </c>
      <c r="H103" s="19">
        <f t="shared" ref="H103:K103" si="102">G103</f>
        <v>895325203</v>
      </c>
      <c r="I103" s="19">
        <f t="shared" si="102"/>
        <v>895325203</v>
      </c>
      <c r="J103" s="19">
        <f t="shared" si="102"/>
        <v>895325203</v>
      </c>
      <c r="K103" s="19">
        <f t="shared" si="102"/>
        <v>895325203</v>
      </c>
    </row>
    <row r="104" spans="3:11" ht="15" customHeight="1" x14ac:dyDescent="0.25">
      <c r="C104" s="17" t="s">
        <v>217</v>
      </c>
      <c r="D104" s="10">
        <v>505435842</v>
      </c>
      <c r="E104" s="10">
        <v>573671062</v>
      </c>
      <c r="F104" s="10">
        <v>308668335</v>
      </c>
      <c r="G104" s="19">
        <f>F104-G22</f>
        <v>931268677.81687474</v>
      </c>
      <c r="H104" s="19">
        <f t="shared" ref="H104:K104" si="103">G104-H22</f>
        <v>1708916987.5849314</v>
      </c>
      <c r="I104" s="19">
        <f t="shared" si="103"/>
        <v>2658512038.2939281</v>
      </c>
      <c r="J104" s="19">
        <f t="shared" si="103"/>
        <v>3781255686.7987237</v>
      </c>
      <c r="K104" s="19">
        <f t="shared" si="103"/>
        <v>5071568129.674942</v>
      </c>
    </row>
    <row r="105" spans="3:11" ht="15" customHeight="1" x14ac:dyDescent="0.25">
      <c r="C105" s="17" t="s">
        <v>249</v>
      </c>
      <c r="D105" s="10">
        <v>-196529636</v>
      </c>
      <c r="E105" s="10">
        <v>0</v>
      </c>
      <c r="F105" s="10">
        <v>0</v>
      </c>
      <c r="G105" s="19">
        <f>F105</f>
        <v>0</v>
      </c>
      <c r="H105" s="19">
        <f t="shared" ref="H105:K105" si="104">G105</f>
        <v>0</v>
      </c>
      <c r="I105" s="19">
        <f t="shared" si="104"/>
        <v>0</v>
      </c>
      <c r="J105" s="19">
        <f t="shared" si="104"/>
        <v>0</v>
      </c>
      <c r="K105" s="19">
        <f t="shared" si="104"/>
        <v>0</v>
      </c>
    </row>
    <row r="106" spans="3:11" ht="15" customHeight="1" x14ac:dyDescent="0.25">
      <c r="C106" s="17" t="s">
        <v>250</v>
      </c>
      <c r="D106" s="10">
        <v>704841057</v>
      </c>
      <c r="E106" s="10">
        <v>903289458</v>
      </c>
      <c r="F106" s="10">
        <v>1779567613</v>
      </c>
      <c r="G106" s="233">
        <f>F106</f>
        <v>1779567613</v>
      </c>
      <c r="H106" s="233">
        <f t="shared" ref="H106:K106" si="105">G106</f>
        <v>1779567613</v>
      </c>
      <c r="I106" s="233">
        <f t="shared" si="105"/>
        <v>1779567613</v>
      </c>
      <c r="J106" s="233">
        <f t="shared" si="105"/>
        <v>1779567613</v>
      </c>
      <c r="K106" s="233">
        <f t="shared" si="105"/>
        <v>1779567613</v>
      </c>
    </row>
    <row r="107" spans="3:11" ht="15" customHeight="1" x14ac:dyDescent="0.25">
      <c r="C107" s="17" t="s">
        <v>16</v>
      </c>
      <c r="D107" s="10">
        <v>953209740</v>
      </c>
      <c r="E107" s="10">
        <v>1399544940</v>
      </c>
      <c r="F107" s="10">
        <v>1956948840</v>
      </c>
      <c r="G107" s="19">
        <f>G238</f>
        <v>2813424319.0335188</v>
      </c>
      <c r="H107" s="19">
        <f t="shared" ref="H107:K107" si="106">H238</f>
        <v>3868756725.8306613</v>
      </c>
      <c r="I107" s="19">
        <f t="shared" si="106"/>
        <v>5151025723.1012897</v>
      </c>
      <c r="J107" s="19">
        <f t="shared" si="106"/>
        <v>6671404462.5363712</v>
      </c>
      <c r="K107" s="19">
        <f t="shared" si="106"/>
        <v>8434748375.0873003</v>
      </c>
    </row>
    <row r="108" spans="3:11" ht="15" customHeight="1" x14ac:dyDescent="0.25">
      <c r="C108" s="251" t="s">
        <v>198</v>
      </c>
      <c r="D108" s="165">
        <f>SUM(D101:D107)</f>
        <v>5482280825</v>
      </c>
      <c r="E108" s="165">
        <f t="shared" ref="E108:G108" si="107">SUM(E101:E107)</f>
        <v>6687708745</v>
      </c>
      <c r="F108" s="165">
        <f t="shared" si="107"/>
        <v>8626198716</v>
      </c>
      <c r="G108" s="165">
        <f t="shared" si="107"/>
        <v>10105274537.850393</v>
      </c>
      <c r="H108" s="165">
        <f t="shared" ref="H108" si="108">SUM(H101:H107)</f>
        <v>11938255254.415592</v>
      </c>
      <c r="I108" s="165">
        <f t="shared" ref="I108" si="109">SUM(I101:I107)</f>
        <v>14170119302.395218</v>
      </c>
      <c r="J108" s="165">
        <f t="shared" ref="J108" si="110">SUM(J101:J107)</f>
        <v>16813241690.335094</v>
      </c>
      <c r="K108" s="165">
        <f t="shared" ref="K108" si="111">SUM(K101:K107)</f>
        <v>19866898045.762241</v>
      </c>
    </row>
    <row r="109" spans="3:11" ht="15" customHeight="1" x14ac:dyDescent="0.25">
      <c r="C109" s="17" t="s">
        <v>251</v>
      </c>
      <c r="D109" s="10">
        <v>117780537</v>
      </c>
      <c r="E109" s="10">
        <v>149016821</v>
      </c>
      <c r="F109" s="10">
        <v>156666060</v>
      </c>
      <c r="G109" s="19">
        <f>G244</f>
        <v>192527512.57534686</v>
      </c>
      <c r="H109" s="19">
        <f t="shared" ref="H109:K109" si="112">H244</f>
        <v>236715296.0951845</v>
      </c>
      <c r="I109" s="19">
        <f t="shared" si="112"/>
        <v>290405133.06091809</v>
      </c>
      <c r="J109" s="19">
        <f t="shared" si="112"/>
        <v>354064854.08684015</v>
      </c>
      <c r="K109" s="19">
        <f t="shared" si="112"/>
        <v>427897760.73973089</v>
      </c>
    </row>
    <row r="110" spans="3:11" ht="15" customHeight="1" x14ac:dyDescent="0.25">
      <c r="C110" s="27" t="s">
        <v>17</v>
      </c>
      <c r="D110" s="12">
        <f>SUM(D108:D109)</f>
        <v>5600061362</v>
      </c>
      <c r="E110" s="12">
        <f t="shared" ref="E110:K110" si="113">SUM(E108:E109)</f>
        <v>6836725566</v>
      </c>
      <c r="F110" s="12">
        <f t="shared" si="113"/>
        <v>8782864776</v>
      </c>
      <c r="G110" s="12">
        <f t="shared" si="113"/>
        <v>10297802050.425739</v>
      </c>
      <c r="H110" s="12">
        <f t="shared" si="113"/>
        <v>12174970550.510777</v>
      </c>
      <c r="I110" s="12">
        <f t="shared" si="113"/>
        <v>14460524435.456137</v>
      </c>
      <c r="J110" s="12">
        <f t="shared" si="113"/>
        <v>17167306544.421934</v>
      </c>
      <c r="K110" s="12">
        <f t="shared" si="113"/>
        <v>20294795806.501972</v>
      </c>
    </row>
    <row r="111" spans="3:11" ht="15" customHeight="1" x14ac:dyDescent="0.25">
      <c r="E111" s="19"/>
      <c r="F111" s="19"/>
      <c r="G111" s="19"/>
      <c r="H111" s="19"/>
      <c r="I111" s="19"/>
      <c r="J111" s="19"/>
      <c r="K111" s="19"/>
    </row>
    <row r="112" spans="3:11" ht="15" customHeight="1" x14ac:dyDescent="0.25">
      <c r="C112" s="13" t="s">
        <v>18</v>
      </c>
      <c r="D112" s="14">
        <f>D98+D110</f>
        <v>7635049207</v>
      </c>
      <c r="E112" s="14">
        <f t="shared" ref="E112:K112" si="114">E98+E110</f>
        <v>9058028544</v>
      </c>
      <c r="F112" s="14">
        <f t="shared" si="114"/>
        <v>11903520928</v>
      </c>
      <c r="G112" s="14">
        <f t="shared" si="114"/>
        <v>13967882040.927691</v>
      </c>
      <c r="H112" s="14">
        <f t="shared" si="114"/>
        <v>16475473858.951118</v>
      </c>
      <c r="I112" s="14">
        <f t="shared" si="114"/>
        <v>19460161289.883644</v>
      </c>
      <c r="J112" s="14">
        <f t="shared" si="114"/>
        <v>22870963681.5093</v>
      </c>
      <c r="K112" s="14">
        <f t="shared" si="114"/>
        <v>26679785807.26907</v>
      </c>
    </row>
    <row r="113" spans="3:11" ht="15" customHeight="1" x14ac:dyDescent="0.25">
      <c r="E113" s="18"/>
      <c r="F113" s="18"/>
      <c r="G113" s="18"/>
      <c r="H113" s="18"/>
      <c r="I113" s="18"/>
      <c r="J113" s="18"/>
      <c r="K113" s="18"/>
    </row>
    <row r="114" spans="3:11" ht="15" customHeight="1" x14ac:dyDescent="0.25">
      <c r="C114" s="6" t="s">
        <v>19</v>
      </c>
      <c r="D114" s="18">
        <f>D79-D112</f>
        <v>0</v>
      </c>
      <c r="E114" s="18">
        <f t="shared" ref="E114:K114" si="115">E79-E112</f>
        <v>0</v>
      </c>
      <c r="F114" s="18">
        <f t="shared" si="115"/>
        <v>0</v>
      </c>
      <c r="G114" s="18">
        <f t="shared" si="115"/>
        <v>0</v>
      </c>
      <c r="H114" s="18">
        <f t="shared" si="115"/>
        <v>0</v>
      </c>
      <c r="I114" s="18">
        <f t="shared" si="115"/>
        <v>0</v>
      </c>
      <c r="J114" s="18">
        <f t="shared" si="115"/>
        <v>0</v>
      </c>
      <c r="K114" s="18">
        <f t="shared" si="115"/>
        <v>0</v>
      </c>
    </row>
    <row r="115" spans="3:11" ht="15" customHeight="1" x14ac:dyDescent="0.25"/>
    <row r="116" spans="3:11" customFormat="1" x14ac:dyDescent="0.25">
      <c r="C116" s="41" t="s">
        <v>48</v>
      </c>
      <c r="D116" s="48"/>
      <c r="E116" s="48"/>
      <c r="F116" s="48"/>
      <c r="G116" s="48"/>
      <c r="H116" s="48"/>
      <c r="I116" s="48"/>
      <c r="J116" s="48"/>
      <c r="K116" s="48"/>
    </row>
    <row r="117" spans="3:11" customFormat="1" x14ac:dyDescent="0.25">
      <c r="C117" t="s">
        <v>45</v>
      </c>
      <c r="D117" s="43"/>
      <c r="E117" s="43"/>
      <c r="F117" s="43"/>
      <c r="G117" s="44">
        <f t="shared" ref="G117:K117" si="116">G$13</f>
        <v>2026</v>
      </c>
      <c r="H117" s="44">
        <f t="shared" si="116"/>
        <v>2027</v>
      </c>
      <c r="I117" s="44">
        <f t="shared" si="116"/>
        <v>2028</v>
      </c>
      <c r="J117" s="44">
        <f t="shared" si="116"/>
        <v>2029</v>
      </c>
      <c r="K117" s="44">
        <f t="shared" si="116"/>
        <v>2030</v>
      </c>
    </row>
    <row r="118" spans="3:11" customFormat="1" x14ac:dyDescent="0.25">
      <c r="C118" s="45" t="s">
        <v>46</v>
      </c>
      <c r="D118" s="46"/>
      <c r="E118" s="46"/>
      <c r="F118" s="46"/>
      <c r="G118" s="46">
        <f t="shared" ref="G118:K118" si="117">G$14</f>
        <v>46387</v>
      </c>
      <c r="H118" s="46">
        <f t="shared" si="117"/>
        <v>46752</v>
      </c>
      <c r="I118" s="46">
        <f t="shared" si="117"/>
        <v>47118</v>
      </c>
      <c r="J118" s="46">
        <f t="shared" si="117"/>
        <v>47483</v>
      </c>
      <c r="K118" s="46">
        <f t="shared" si="117"/>
        <v>47848</v>
      </c>
    </row>
    <row r="119" spans="3:11" ht="15" customHeight="1" x14ac:dyDescent="0.25"/>
    <row r="120" spans="3:11" s="13" customFormat="1" ht="15" customHeight="1" x14ac:dyDescent="0.25">
      <c r="C120" s="17" t="s">
        <v>267</v>
      </c>
      <c r="D120" s="210"/>
      <c r="E120" s="210"/>
      <c r="F120" s="210"/>
      <c r="G120" s="210">
        <f>G30</f>
        <v>3545651191.4037795</v>
      </c>
      <c r="H120" s="210">
        <f t="shared" ref="H120:K120" si="118">H30</f>
        <v>4368882352.2533846</v>
      </c>
      <c r="I120" s="210">
        <f t="shared" si="118"/>
        <v>5308358159.8893652</v>
      </c>
      <c r="J120" s="210">
        <f t="shared" si="118"/>
        <v>6294088763.5756788</v>
      </c>
      <c r="K120" s="210">
        <f t="shared" si="118"/>
        <v>7299919959.7004652</v>
      </c>
    </row>
    <row r="121" spans="3:11" ht="15" customHeight="1" x14ac:dyDescent="0.25">
      <c r="C121" s="17" t="s">
        <v>199</v>
      </c>
      <c r="D121" s="212"/>
      <c r="E121" s="211"/>
      <c r="F121" s="211"/>
      <c r="G121" s="211">
        <f>G164</f>
        <v>362422555.55134034</v>
      </c>
      <c r="H121" s="211">
        <f t="shared" ref="H121:K121" si="119">H164</f>
        <v>452677694.44389176</v>
      </c>
      <c r="I121" s="211">
        <f t="shared" si="119"/>
        <v>552769796.84877157</v>
      </c>
      <c r="J121" s="211">
        <f t="shared" si="119"/>
        <v>653561513.44077802</v>
      </c>
      <c r="K121" s="211">
        <f t="shared" si="119"/>
        <v>751105164.65686917</v>
      </c>
    </row>
    <row r="122" spans="3:11" s="13" customFormat="1" ht="15" customHeight="1" x14ac:dyDescent="0.25">
      <c r="C122" s="13" t="s">
        <v>200</v>
      </c>
      <c r="D122" s="210"/>
      <c r="E122" s="210"/>
      <c r="F122" s="210"/>
      <c r="G122" s="210">
        <f>SUM(G120:G121)-G22</f>
        <v>4530674089.7719946</v>
      </c>
      <c r="H122" s="210">
        <f t="shared" ref="H122:K122" si="120">SUM(H120:H121)-H22</f>
        <v>5599208356.465333</v>
      </c>
      <c r="I122" s="210">
        <f t="shared" si="120"/>
        <v>6810723007.4471331</v>
      </c>
      <c r="J122" s="210">
        <f t="shared" si="120"/>
        <v>8070393925.5212517</v>
      </c>
      <c r="K122" s="210">
        <f t="shared" si="120"/>
        <v>9341337567.2335529</v>
      </c>
    </row>
    <row r="123" spans="3:11" s="13" customFormat="1" ht="15" customHeight="1" x14ac:dyDescent="0.25">
      <c r="D123" s="216"/>
      <c r="E123" s="214"/>
      <c r="F123" s="214"/>
      <c r="G123" s="215"/>
      <c r="H123" s="215"/>
      <c r="I123" s="215"/>
      <c r="J123" s="215"/>
      <c r="K123" s="215"/>
    </row>
    <row r="124" spans="3:11" ht="15" customHeight="1" x14ac:dyDescent="0.25">
      <c r="C124" s="208" t="s">
        <v>164</v>
      </c>
      <c r="D124" s="211"/>
      <c r="E124" s="211"/>
      <c r="F124" s="211"/>
      <c r="G124" s="211"/>
      <c r="H124" s="211"/>
      <c r="I124" s="211"/>
      <c r="J124" s="211"/>
      <c r="K124" s="211"/>
    </row>
    <row r="125" spans="3:11" ht="15" customHeight="1" x14ac:dyDescent="0.25">
      <c r="C125" s="17" t="s">
        <v>209</v>
      </c>
      <c r="D125" s="211"/>
      <c r="E125" s="211"/>
      <c r="F125" s="211"/>
      <c r="G125" s="211">
        <f>G208</f>
        <v>-581767346.67466593</v>
      </c>
      <c r="H125" s="211">
        <f t="shared" ref="H125:K125" si="121">H208</f>
        <v>-667535107.24772882</v>
      </c>
      <c r="I125" s="211">
        <f t="shared" si="121"/>
        <v>-740290172.20875549</v>
      </c>
      <c r="J125" s="211">
        <f t="shared" si="121"/>
        <v>-745464581.52401447</v>
      </c>
      <c r="K125" s="211">
        <f t="shared" si="121"/>
        <v>-721441598.50428486</v>
      </c>
    </row>
    <row r="126" spans="3:11" ht="15" customHeight="1" x14ac:dyDescent="0.25">
      <c r="C126" s="17" t="s">
        <v>201</v>
      </c>
      <c r="D126" s="211"/>
      <c r="E126" s="211"/>
      <c r="F126" s="211"/>
      <c r="G126" s="211">
        <f>G31</f>
        <v>-797771518.06585038</v>
      </c>
      <c r="H126" s="211">
        <f t="shared" ref="H126:K126" si="122">H31</f>
        <v>-982998529.25701153</v>
      </c>
      <c r="I126" s="211">
        <f t="shared" si="122"/>
        <v>-1194380585.9751072</v>
      </c>
      <c r="J126" s="211">
        <f t="shared" si="122"/>
        <v>-1416169971.8045278</v>
      </c>
      <c r="K126" s="211">
        <f t="shared" si="122"/>
        <v>-1642481990.9326048</v>
      </c>
    </row>
    <row r="127" spans="3:11" s="13" customFormat="1" ht="15" customHeight="1" x14ac:dyDescent="0.25">
      <c r="C127" s="13" t="s">
        <v>20</v>
      </c>
      <c r="D127" s="214"/>
      <c r="E127" s="214"/>
      <c r="F127" s="214"/>
      <c r="G127" s="214">
        <f>G122+G125</f>
        <v>3948906743.0973287</v>
      </c>
      <c r="H127" s="214">
        <f t="shared" ref="H127:K127" si="123">H122+H125</f>
        <v>4931673249.2176037</v>
      </c>
      <c r="I127" s="214">
        <f t="shared" si="123"/>
        <v>6070432835.2383776</v>
      </c>
      <c r="J127" s="214">
        <f t="shared" si="123"/>
        <v>7324929343.9972372</v>
      </c>
      <c r="K127" s="214">
        <f t="shared" si="123"/>
        <v>8619895968.7292671</v>
      </c>
    </row>
    <row r="128" spans="3:11" s="13" customFormat="1" ht="15" customHeight="1" x14ac:dyDescent="0.25">
      <c r="C128" s="13" t="s">
        <v>207</v>
      </c>
      <c r="D128" s="210"/>
      <c r="E128" s="210"/>
      <c r="F128" s="210"/>
      <c r="G128" s="210">
        <f>G127+G126</f>
        <v>3151135225.0314784</v>
      </c>
      <c r="H128" s="210">
        <f t="shared" ref="H128:K128" si="124">H127+H126</f>
        <v>3948674719.9605923</v>
      </c>
      <c r="I128" s="210">
        <f t="shared" si="124"/>
        <v>4876052249.2632704</v>
      </c>
      <c r="J128" s="210">
        <f t="shared" si="124"/>
        <v>5908759372.192709</v>
      </c>
      <c r="K128" s="210">
        <f t="shared" si="124"/>
        <v>6977413977.7966623</v>
      </c>
    </row>
    <row r="129" spans="3:11" ht="15" customHeight="1" x14ac:dyDescent="0.25">
      <c r="D129" s="217"/>
      <c r="E129" s="213"/>
      <c r="F129" s="213"/>
      <c r="G129" s="213"/>
      <c r="H129" s="213"/>
      <c r="I129" s="213"/>
      <c r="J129" s="213"/>
      <c r="K129" s="213"/>
    </row>
    <row r="130" spans="3:11" customFormat="1" x14ac:dyDescent="0.25">
      <c r="C130" s="239" t="s">
        <v>21</v>
      </c>
      <c r="D130" s="240"/>
      <c r="E130" s="240"/>
      <c r="F130" s="240"/>
      <c r="G130" s="240"/>
      <c r="H130" s="240"/>
      <c r="I130" s="240"/>
      <c r="J130" s="240"/>
      <c r="K130" s="240"/>
    </row>
    <row r="131" spans="3:11" ht="15" customHeight="1" x14ac:dyDescent="0.25">
      <c r="D131" s="217"/>
      <c r="E131" s="213"/>
      <c r="F131" s="213"/>
      <c r="G131" s="213"/>
      <c r="H131" s="213"/>
      <c r="I131" s="213"/>
      <c r="J131" s="213"/>
      <c r="K131" s="213"/>
    </row>
    <row r="132" spans="3:11" ht="15" customHeight="1" x14ac:dyDescent="0.25">
      <c r="C132" s="17" t="s">
        <v>268</v>
      </c>
      <c r="D132" s="217"/>
      <c r="E132" s="211"/>
      <c r="F132" s="211"/>
      <c r="G132" s="211">
        <f>-G153-G162</f>
        <v>-783455622.53389204</v>
      </c>
      <c r="H132" s="211">
        <f t="shared" ref="H132:K132" si="125">-H153-H162</f>
        <v>-870513371.02766132</v>
      </c>
      <c r="I132" s="211">
        <f t="shared" si="125"/>
        <v>-931054414.65066421</v>
      </c>
      <c r="J132" s="211">
        <f t="shared" si="125"/>
        <v>-944825406.99090147</v>
      </c>
      <c r="K132" s="211">
        <f t="shared" si="125"/>
        <v>-906560653.83755159</v>
      </c>
    </row>
    <row r="133" spans="3:11" ht="15" customHeight="1" x14ac:dyDescent="0.25">
      <c r="C133" s="13" t="s">
        <v>206</v>
      </c>
      <c r="D133" s="217"/>
      <c r="E133" s="214"/>
      <c r="F133" s="214"/>
      <c r="G133" s="214">
        <f>SUM(G132)</f>
        <v>-783455622.53389204</v>
      </c>
      <c r="H133" s="214">
        <f t="shared" ref="H133:K133" si="126">SUM(H132)</f>
        <v>-870513371.02766132</v>
      </c>
      <c r="I133" s="214">
        <f t="shared" si="126"/>
        <v>-931054414.65066421</v>
      </c>
      <c r="J133" s="214">
        <f t="shared" si="126"/>
        <v>-944825406.99090147</v>
      </c>
      <c r="K133" s="214">
        <f t="shared" si="126"/>
        <v>-906560653.83755159</v>
      </c>
    </row>
    <row r="134" spans="3:11" ht="15" customHeight="1" x14ac:dyDescent="0.25">
      <c r="D134" s="217"/>
      <c r="E134" s="218"/>
      <c r="F134" s="218"/>
      <c r="G134" s="213"/>
      <c r="H134" s="213"/>
      <c r="I134" s="213"/>
      <c r="J134" s="213"/>
      <c r="K134" s="213"/>
    </row>
    <row r="135" spans="3:11" s="37" customFormat="1" ht="15" customHeight="1" x14ac:dyDescent="0.25">
      <c r="C135" s="47" t="s">
        <v>22</v>
      </c>
      <c r="D135" s="219"/>
      <c r="E135" s="220"/>
      <c r="F135" s="220"/>
      <c r="G135" s="220"/>
      <c r="H135" s="220"/>
      <c r="I135" s="220"/>
      <c r="J135" s="220"/>
      <c r="K135" s="220"/>
    </row>
    <row r="136" spans="3:11" ht="15" customHeight="1" x14ac:dyDescent="0.25">
      <c r="D136" s="217"/>
      <c r="E136" s="218"/>
      <c r="F136" s="218"/>
      <c r="G136" s="213"/>
      <c r="H136" s="213"/>
      <c r="I136" s="213"/>
      <c r="J136" s="213"/>
      <c r="K136" s="213"/>
    </row>
    <row r="137" spans="3:11" ht="15" customHeight="1" x14ac:dyDescent="0.25">
      <c r="C137" s="17" t="s">
        <v>202</v>
      </c>
      <c r="D137" s="217"/>
      <c r="E137" s="211"/>
      <c r="F137" s="211"/>
      <c r="G137" s="211">
        <f>G216-F216</f>
        <v>0</v>
      </c>
      <c r="H137" s="211">
        <f t="shared" ref="H137:K137" si="127">H216-G216</f>
        <v>0</v>
      </c>
      <c r="I137" s="211">
        <f t="shared" si="127"/>
        <v>0</v>
      </c>
      <c r="J137" s="211">
        <f t="shared" si="127"/>
        <v>0</v>
      </c>
      <c r="K137" s="211">
        <f t="shared" si="127"/>
        <v>0</v>
      </c>
    </row>
    <row r="138" spans="3:11" ht="15" customHeight="1" x14ac:dyDescent="0.25">
      <c r="C138" s="17" t="s">
        <v>203</v>
      </c>
      <c r="D138" s="217"/>
      <c r="E138" s="211"/>
      <c r="F138" s="211"/>
      <c r="G138" s="211">
        <f>G236</f>
        <v>-1820010392.946229</v>
      </c>
      <c r="H138" s="211">
        <f t="shared" ref="H138:K138" si="128">H236</f>
        <v>-2242581364.4439282</v>
      </c>
      <c r="I138" s="211">
        <f t="shared" si="128"/>
        <v>-2724821619.2000871</v>
      </c>
      <c r="J138" s="211">
        <f t="shared" si="128"/>
        <v>-3230804821.2995472</v>
      </c>
      <c r="K138" s="211">
        <f t="shared" si="128"/>
        <v>-3747105814.1707258</v>
      </c>
    </row>
    <row r="139" spans="3:11" ht="15" customHeight="1" x14ac:dyDescent="0.25">
      <c r="C139" s="17" t="s">
        <v>204</v>
      </c>
      <c r="D139" s="217"/>
      <c r="E139" s="211"/>
      <c r="F139" s="211"/>
      <c r="G139" s="211">
        <f>G243</f>
        <v>-35532348.782834001</v>
      </c>
      <c r="H139" s="211">
        <f t="shared" ref="H139:K139" si="129">H243</f>
        <v>-43782268.235464759</v>
      </c>
      <c r="I139" s="211">
        <f t="shared" si="129"/>
        <v>-53197120.477808408</v>
      </c>
      <c r="J139" s="211">
        <f t="shared" si="129"/>
        <v>-63075510.010600694</v>
      </c>
      <c r="K139" s="211">
        <f t="shared" si="129"/>
        <v>-73155335.393314436</v>
      </c>
    </row>
    <row r="140" spans="3:11" ht="15" customHeight="1" x14ac:dyDescent="0.25">
      <c r="C140" s="13" t="s">
        <v>205</v>
      </c>
      <c r="D140" s="216"/>
      <c r="E140" s="214"/>
      <c r="F140" s="214"/>
      <c r="G140" s="214">
        <f>SUM(G137:G139)</f>
        <v>-1855542741.729063</v>
      </c>
      <c r="H140" s="214">
        <f t="shared" ref="H140:K140" si="130">SUM(H137:H139)</f>
        <v>-2286363632.6793928</v>
      </c>
      <c r="I140" s="214">
        <f t="shared" si="130"/>
        <v>-2778018739.6778955</v>
      </c>
      <c r="J140" s="214">
        <f t="shared" si="130"/>
        <v>-3293880331.3101478</v>
      </c>
      <c r="K140" s="214">
        <f t="shared" si="130"/>
        <v>-3820261149.5640402</v>
      </c>
    </row>
    <row r="141" spans="3:11" ht="15" customHeight="1" x14ac:dyDescent="0.25">
      <c r="C141" s="13"/>
      <c r="D141" s="216"/>
      <c r="E141" s="214"/>
      <c r="F141" s="214"/>
      <c r="G141" s="214"/>
      <c r="H141" s="214"/>
      <c r="I141" s="214"/>
      <c r="J141" s="214"/>
      <c r="K141" s="214"/>
    </row>
    <row r="142" spans="3:11" ht="15" customHeight="1" x14ac:dyDescent="0.25">
      <c r="C142" s="13" t="s">
        <v>165</v>
      </c>
      <c r="D142" s="216"/>
      <c r="E142" s="214"/>
      <c r="F142" s="214"/>
      <c r="G142" s="214">
        <f>G128+G133+G140</f>
        <v>512136860.76852322</v>
      </c>
      <c r="H142" s="214">
        <f t="shared" ref="H142:K142" si="131">H128+H133+H140</f>
        <v>791797716.25353813</v>
      </c>
      <c r="I142" s="214">
        <f t="shared" si="131"/>
        <v>1166979094.9347105</v>
      </c>
      <c r="J142" s="214">
        <f t="shared" si="131"/>
        <v>1670053633.8916593</v>
      </c>
      <c r="K142" s="214">
        <f t="shared" si="131"/>
        <v>2250592174.3950701</v>
      </c>
    </row>
    <row r="143" spans="3:11" ht="15" customHeight="1" x14ac:dyDescent="0.25">
      <c r="C143" s="6" t="s">
        <v>166</v>
      </c>
      <c r="D143" s="216"/>
      <c r="E143" s="214"/>
      <c r="F143" s="214"/>
      <c r="G143" s="214">
        <f>F66</f>
        <v>1382001641</v>
      </c>
      <c r="H143" s="214">
        <f t="shared" ref="H143:K143" si="132">G66</f>
        <v>1894138501.7685232</v>
      </c>
      <c r="I143" s="214">
        <f t="shared" si="132"/>
        <v>2685936218.0220613</v>
      </c>
      <c r="J143" s="214">
        <f t="shared" si="132"/>
        <v>3852915312.9567719</v>
      </c>
      <c r="K143" s="214">
        <f t="shared" si="132"/>
        <v>5522968946.8484306</v>
      </c>
    </row>
    <row r="144" spans="3:11" ht="15" customHeight="1" x14ac:dyDescent="0.25">
      <c r="C144" s="13" t="s">
        <v>167</v>
      </c>
      <c r="D144" s="217"/>
      <c r="E144" s="214"/>
      <c r="F144" s="214"/>
      <c r="G144" s="214">
        <f>G142+G143</f>
        <v>1894138501.7685232</v>
      </c>
      <c r="H144" s="214">
        <f t="shared" ref="H144:K144" si="133">H142+H143</f>
        <v>2685936218.0220613</v>
      </c>
      <c r="I144" s="214">
        <f t="shared" si="133"/>
        <v>3852915312.9567719</v>
      </c>
      <c r="J144" s="214">
        <f t="shared" si="133"/>
        <v>5522968946.8484306</v>
      </c>
      <c r="K144" s="214">
        <f t="shared" si="133"/>
        <v>7773561121.2435007</v>
      </c>
    </row>
    <row r="145" spans="3:11" ht="15" customHeight="1" x14ac:dyDescent="0.25">
      <c r="C145" s="13"/>
      <c r="D145" s="217"/>
      <c r="E145" s="215"/>
      <c r="F145" s="214"/>
      <c r="G145" s="215"/>
      <c r="H145" s="215"/>
      <c r="I145" s="215"/>
      <c r="J145" s="215"/>
      <c r="K145" s="215"/>
    </row>
    <row r="146" spans="3:11" ht="15" customHeight="1" x14ac:dyDescent="0.25">
      <c r="C146" s="13" t="s">
        <v>23</v>
      </c>
      <c r="D146" s="217"/>
      <c r="E146" s="211"/>
      <c r="F146" s="211"/>
      <c r="G146" s="211">
        <f>G144-G66</f>
        <v>0</v>
      </c>
      <c r="H146" s="211">
        <f t="shared" ref="H146:K146" si="134">H144-H66</f>
        <v>0</v>
      </c>
      <c r="I146" s="211">
        <f t="shared" si="134"/>
        <v>0</v>
      </c>
      <c r="J146" s="211">
        <f t="shared" si="134"/>
        <v>0</v>
      </c>
      <c r="K146" s="211">
        <f t="shared" si="134"/>
        <v>0</v>
      </c>
    </row>
    <row r="147" spans="3:11" ht="15" customHeight="1" x14ac:dyDescent="0.25"/>
    <row r="148" spans="3:11" customFormat="1" x14ac:dyDescent="0.25">
      <c r="C148" s="41" t="s">
        <v>32</v>
      </c>
      <c r="D148" s="42"/>
      <c r="E148" s="42"/>
      <c r="F148" s="42"/>
      <c r="G148" s="42"/>
      <c r="H148" s="42"/>
      <c r="I148" s="42"/>
      <c r="J148" s="42"/>
      <c r="K148" s="42"/>
    </row>
    <row r="149" spans="3:11" customFormat="1" x14ac:dyDescent="0.25">
      <c r="C149" t="s">
        <v>45</v>
      </c>
      <c r="D149" s="43">
        <f t="shared" ref="D149:F149" si="135">D$13</f>
        <v>2023</v>
      </c>
      <c r="E149" s="43">
        <f t="shared" si="135"/>
        <v>2024</v>
      </c>
      <c r="F149" s="43">
        <f t="shared" si="135"/>
        <v>2025</v>
      </c>
      <c r="G149" s="44">
        <f t="shared" ref="G149:K149" si="136">G$13</f>
        <v>2026</v>
      </c>
      <c r="H149" s="44">
        <f t="shared" si="136"/>
        <v>2027</v>
      </c>
      <c r="I149" s="44">
        <f t="shared" si="136"/>
        <v>2028</v>
      </c>
      <c r="J149" s="44">
        <f t="shared" si="136"/>
        <v>2029</v>
      </c>
      <c r="K149" s="44">
        <f t="shared" si="136"/>
        <v>2030</v>
      </c>
    </row>
    <row r="150" spans="3:11" customFormat="1" x14ac:dyDescent="0.25">
      <c r="C150" s="45" t="s">
        <v>46</v>
      </c>
      <c r="D150" s="46">
        <f t="shared" ref="D150:F150" si="137">D$14</f>
        <v>45291</v>
      </c>
      <c r="E150" s="46">
        <f t="shared" si="137"/>
        <v>45657</v>
      </c>
      <c r="F150" s="46">
        <f t="shared" si="137"/>
        <v>46022</v>
      </c>
      <c r="G150" s="46">
        <f t="shared" ref="G150:K150" si="138">G$14</f>
        <v>46387</v>
      </c>
      <c r="H150" s="46">
        <f t="shared" si="138"/>
        <v>46752</v>
      </c>
      <c r="I150" s="46">
        <f t="shared" si="138"/>
        <v>47118</v>
      </c>
      <c r="J150" s="46">
        <f t="shared" si="138"/>
        <v>47483</v>
      </c>
      <c r="K150" s="46">
        <f t="shared" si="138"/>
        <v>47848</v>
      </c>
    </row>
    <row r="151" spans="3:11" ht="15" customHeight="1" x14ac:dyDescent="0.25"/>
    <row r="152" spans="3:11" ht="15" customHeight="1" x14ac:dyDescent="0.25">
      <c r="C152" s="17" t="s">
        <v>33</v>
      </c>
      <c r="D152" s="195"/>
      <c r="E152" s="196">
        <f>D155</f>
        <v>386055474</v>
      </c>
      <c r="F152" s="196">
        <f t="shared" ref="F152:K152" si="139">E155</f>
        <v>520361571</v>
      </c>
      <c r="G152" s="196">
        <f t="shared" si="139"/>
        <v>496783524</v>
      </c>
      <c r="H152" s="196">
        <f t="shared" si="139"/>
        <v>917816590.98255169</v>
      </c>
      <c r="I152" s="196">
        <f t="shared" si="139"/>
        <v>1335652267.5663211</v>
      </c>
      <c r="J152" s="196">
        <f t="shared" si="139"/>
        <v>1713936885.3682139</v>
      </c>
      <c r="K152" s="196">
        <f t="shared" si="139"/>
        <v>2005200778.9183373</v>
      </c>
    </row>
    <row r="153" spans="3:11" ht="15" customHeight="1" x14ac:dyDescent="0.25">
      <c r="C153" s="31" t="s">
        <v>34</v>
      </c>
      <c r="D153" s="259">
        <v>455867715</v>
      </c>
      <c r="E153" s="259">
        <v>304130134</v>
      </c>
      <c r="F153" s="259">
        <v>160076935</v>
      </c>
      <c r="G153" s="194">
        <f>G157*G177</f>
        <v>573664453.71638143</v>
      </c>
      <c r="H153" s="194">
        <f t="shared" ref="H153:K153" si="140">H157*H177</f>
        <v>608477299.70608222</v>
      </c>
      <c r="I153" s="194">
        <f t="shared" si="140"/>
        <v>611079236.52879918</v>
      </c>
      <c r="J153" s="194">
        <f t="shared" si="140"/>
        <v>566506144.85143745</v>
      </c>
      <c r="K153" s="194">
        <f t="shared" si="140"/>
        <v>471777476.06728339</v>
      </c>
    </row>
    <row r="154" spans="3:11" ht="15" customHeight="1" x14ac:dyDescent="0.25">
      <c r="C154" s="31" t="s">
        <v>35</v>
      </c>
      <c r="D154" s="209">
        <v>75959132</v>
      </c>
      <c r="E154" s="209">
        <v>88742265</v>
      </c>
      <c r="F154" s="209">
        <v>111171656</v>
      </c>
      <c r="G154" s="194">
        <f>G158*G177</f>
        <v>152631386.73382977</v>
      </c>
      <c r="H154" s="194">
        <f t="shared" ref="H154:K154" si="141">H158*H177</f>
        <v>190641623.12231269</v>
      </c>
      <c r="I154" s="194">
        <f t="shared" si="141"/>
        <v>232794618.72690648</v>
      </c>
      <c r="J154" s="194">
        <f t="shared" si="141"/>
        <v>275242251.301314</v>
      </c>
      <c r="K154" s="194">
        <f t="shared" si="141"/>
        <v>316321986.88660097</v>
      </c>
    </row>
    <row r="155" spans="3:11" ht="15" customHeight="1" x14ac:dyDescent="0.25">
      <c r="C155" s="16" t="s">
        <v>36</v>
      </c>
      <c r="D155" s="254">
        <f>D70</f>
        <v>386055474</v>
      </c>
      <c r="E155" s="254">
        <f t="shared" ref="E155:F155" si="142">E70</f>
        <v>520361571</v>
      </c>
      <c r="F155" s="254">
        <f t="shared" si="142"/>
        <v>496783524</v>
      </c>
      <c r="G155" s="254">
        <f>G152+G153-G154</f>
        <v>917816590.98255169</v>
      </c>
      <c r="H155" s="254">
        <f t="shared" ref="H155:K155" si="143">H152+H153-H154</f>
        <v>1335652267.5663211</v>
      </c>
      <c r="I155" s="254">
        <f t="shared" si="143"/>
        <v>1713936885.3682139</v>
      </c>
      <c r="J155" s="254">
        <f t="shared" si="143"/>
        <v>2005200778.9183373</v>
      </c>
      <c r="K155" s="254">
        <f t="shared" si="143"/>
        <v>2160656268.0990195</v>
      </c>
    </row>
    <row r="156" spans="3:11" ht="15" customHeight="1" x14ac:dyDescent="0.25">
      <c r="C156" s="13"/>
      <c r="D156" s="10"/>
      <c r="E156" s="165"/>
      <c r="F156" s="165"/>
      <c r="G156" s="166"/>
      <c r="H156" s="166"/>
      <c r="I156" s="166"/>
      <c r="J156" s="166"/>
      <c r="K156" s="166"/>
    </row>
    <row r="157" spans="3:11" ht="15" customHeight="1" x14ac:dyDescent="0.25">
      <c r="C157" s="6" t="s">
        <v>151</v>
      </c>
      <c r="D157" s="1">
        <f>D153/D16</f>
        <v>0.11693098678458175</v>
      </c>
      <c r="E157" s="1">
        <f>E153/E16</f>
        <v>5.8380382597159337E-2</v>
      </c>
      <c r="F157" s="1">
        <f>F153/F16</f>
        <v>2.3634273167103058E-2</v>
      </c>
      <c r="G157" s="1">
        <f>AVERAGE(D157:F157)</f>
        <v>6.6315214182948043E-2</v>
      </c>
      <c r="H157" s="1">
        <f>G157-1%</f>
        <v>5.6315214182948041E-2</v>
      </c>
      <c r="I157" s="1">
        <f t="shared" ref="I157:K157" si="144">H157-1%</f>
        <v>4.6315214182948039E-2</v>
      </c>
      <c r="J157" s="1">
        <f t="shared" si="144"/>
        <v>3.6315214182948037E-2</v>
      </c>
      <c r="K157" s="1">
        <f t="shared" si="144"/>
        <v>2.6315214182948035E-2</v>
      </c>
    </row>
    <row r="158" spans="3:11" ht="15" customHeight="1" x14ac:dyDescent="0.25">
      <c r="C158" s="6" t="s">
        <v>208</v>
      </c>
      <c r="D158" s="1">
        <f>D154/D16</f>
        <v>1.9483670301285321E-2</v>
      </c>
      <c r="E158" s="1">
        <f>E154/E16</f>
        <v>1.70348374069322E-2</v>
      </c>
      <c r="F158" s="1">
        <f>F154/F16</f>
        <v>1.6413740595065812E-2</v>
      </c>
      <c r="G158" s="1">
        <f>AVERAGE(D158:F158)</f>
        <v>1.764408276776111E-2</v>
      </c>
      <c r="H158" s="1">
        <f>G158</f>
        <v>1.764408276776111E-2</v>
      </c>
      <c r="I158" s="1">
        <f t="shared" ref="I158:K158" si="145">H158</f>
        <v>1.764408276776111E-2</v>
      </c>
      <c r="J158" s="1">
        <f t="shared" si="145"/>
        <v>1.764408276776111E-2</v>
      </c>
      <c r="K158" s="1">
        <f t="shared" si="145"/>
        <v>1.764408276776111E-2</v>
      </c>
    </row>
    <row r="159" spans="3:11" ht="15" customHeight="1" x14ac:dyDescent="0.25">
      <c r="D159" s="30"/>
      <c r="E159" s="1"/>
      <c r="F159" s="1"/>
      <c r="G159" s="1"/>
      <c r="H159" s="1"/>
      <c r="I159" s="1"/>
      <c r="J159" s="1"/>
      <c r="K159" s="1"/>
    </row>
    <row r="160" spans="3:11" s="37" customFormat="1" ht="15" customHeight="1" x14ac:dyDescent="0.25">
      <c r="C160" s="47" t="s">
        <v>37</v>
      </c>
      <c r="D160" s="50"/>
      <c r="E160" s="50"/>
      <c r="F160" s="50"/>
      <c r="G160" s="50"/>
      <c r="H160" s="50"/>
      <c r="I160" s="50"/>
      <c r="J160" s="50"/>
      <c r="K160" s="50"/>
    </row>
    <row r="161" spans="1:11" s="33" customFormat="1" ht="15" customHeight="1" x14ac:dyDescent="0.25">
      <c r="C161" s="34"/>
      <c r="D161" s="35"/>
      <c r="E161" s="36"/>
      <c r="F161" s="36"/>
      <c r="G161" s="36"/>
      <c r="H161" s="36"/>
      <c r="I161" s="36"/>
      <c r="J161" s="36"/>
      <c r="K161" s="36"/>
    </row>
    <row r="162" spans="1:11" s="33" customFormat="1" ht="15" customHeight="1" x14ac:dyDescent="0.25">
      <c r="C162" s="37" t="s">
        <v>38</v>
      </c>
      <c r="D162" s="10">
        <f>39330390+40750812+2680646</f>
        <v>82761848</v>
      </c>
      <c r="E162" s="10">
        <f>95409368+53260318+2554760</f>
        <v>151224446</v>
      </c>
      <c r="F162" s="197">
        <f>89745169+51511167+11122727</f>
        <v>152379063</v>
      </c>
      <c r="G162" s="38">
        <f>G163*G177</f>
        <v>209791168.81751058</v>
      </c>
      <c r="H162" s="38">
        <f t="shared" ref="H162:K162" si="146">H163*H177</f>
        <v>262036071.32157904</v>
      </c>
      <c r="I162" s="38">
        <f t="shared" si="146"/>
        <v>319975178.12186503</v>
      </c>
      <c r="J162" s="38">
        <f t="shared" si="146"/>
        <v>378319262.13946396</v>
      </c>
      <c r="K162" s="38">
        <f t="shared" si="146"/>
        <v>434783177.77026826</v>
      </c>
    </row>
    <row r="163" spans="1:11" s="33" customFormat="1" ht="15" customHeight="1" x14ac:dyDescent="0.25">
      <c r="A163" s="34"/>
      <c r="B163" s="34"/>
      <c r="C163" s="25" t="s">
        <v>39</v>
      </c>
      <c r="D163" s="39">
        <f>D162/D16</f>
        <v>2.122858065251575E-2</v>
      </c>
      <c r="E163" s="39">
        <f>E162/E16</f>
        <v>2.9028826901853343E-2</v>
      </c>
      <c r="F163" s="39">
        <f>F162/F16</f>
        <v>2.2497734604233932E-2</v>
      </c>
      <c r="G163" s="39">
        <f>AVERAGE(D163:F163)</f>
        <v>2.4251714052867676E-2</v>
      </c>
      <c r="H163" s="39">
        <f>G163</f>
        <v>2.4251714052867676E-2</v>
      </c>
      <c r="I163" s="39">
        <f t="shared" ref="I163:K163" si="147">H163</f>
        <v>2.4251714052867676E-2</v>
      </c>
      <c r="J163" s="39">
        <f t="shared" si="147"/>
        <v>2.4251714052867676E-2</v>
      </c>
      <c r="K163" s="39">
        <f t="shared" si="147"/>
        <v>2.4251714052867676E-2</v>
      </c>
    </row>
    <row r="164" spans="1:11" ht="15" customHeight="1" x14ac:dyDescent="0.25">
      <c r="C164" s="40" t="s">
        <v>40</v>
      </c>
      <c r="D164" s="32">
        <f>D154+D162</f>
        <v>158720980</v>
      </c>
      <c r="E164" s="32">
        <f t="shared" ref="E164:K164" si="148">E154+E162</f>
        <v>239966711</v>
      </c>
      <c r="F164" s="32">
        <f t="shared" si="148"/>
        <v>263550719</v>
      </c>
      <c r="G164" s="32">
        <f t="shared" si="148"/>
        <v>362422555.55134034</v>
      </c>
      <c r="H164" s="32">
        <f t="shared" si="148"/>
        <v>452677694.44389176</v>
      </c>
      <c r="I164" s="32">
        <f t="shared" si="148"/>
        <v>552769796.84877157</v>
      </c>
      <c r="J164" s="32">
        <f t="shared" si="148"/>
        <v>653561513.44077802</v>
      </c>
      <c r="K164" s="32">
        <f t="shared" si="148"/>
        <v>751105164.65686917</v>
      </c>
    </row>
    <row r="166" spans="1:11" x14ac:dyDescent="0.25">
      <c r="C166" s="13" t="s">
        <v>168</v>
      </c>
      <c r="D166" s="28"/>
      <c r="E166" s="13"/>
      <c r="F166" s="13"/>
      <c r="G166" s="13"/>
      <c r="H166" s="13"/>
      <c r="I166" s="13"/>
      <c r="J166" s="13"/>
      <c r="K166" s="13"/>
    </row>
    <row r="167" spans="1:11" x14ac:dyDescent="0.25">
      <c r="C167" s="51" t="s">
        <v>45</v>
      </c>
      <c r="D167" s="52">
        <f t="shared" ref="D167:F167" si="149">D$13</f>
        <v>2023</v>
      </c>
      <c r="E167" s="52">
        <f t="shared" si="149"/>
        <v>2024</v>
      </c>
      <c r="F167" s="52">
        <f t="shared" si="149"/>
        <v>2025</v>
      </c>
      <c r="G167" s="53">
        <f t="shared" ref="G167:K167" si="150">G$13</f>
        <v>2026</v>
      </c>
      <c r="H167" s="53">
        <f t="shared" si="150"/>
        <v>2027</v>
      </c>
      <c r="I167" s="53">
        <f t="shared" si="150"/>
        <v>2028</v>
      </c>
      <c r="J167" s="53">
        <f t="shared" si="150"/>
        <v>2029</v>
      </c>
      <c r="K167" s="53">
        <f t="shared" si="150"/>
        <v>2030</v>
      </c>
    </row>
    <row r="168" spans="1:11" x14ac:dyDescent="0.25">
      <c r="C168" s="45" t="s">
        <v>46</v>
      </c>
      <c r="D168" s="46">
        <f t="shared" ref="D168:K168" si="151">D$14</f>
        <v>45291</v>
      </c>
      <c r="E168" s="46">
        <f t="shared" si="151"/>
        <v>45657</v>
      </c>
      <c r="F168" s="46">
        <f t="shared" si="151"/>
        <v>46022</v>
      </c>
      <c r="G168" s="46">
        <f t="shared" si="151"/>
        <v>46387</v>
      </c>
      <c r="H168" s="46">
        <f t="shared" si="151"/>
        <v>46752</v>
      </c>
      <c r="I168" s="46">
        <f t="shared" si="151"/>
        <v>47118</v>
      </c>
      <c r="J168" s="46">
        <f t="shared" si="151"/>
        <v>47483</v>
      </c>
      <c r="K168" s="46">
        <f t="shared" si="151"/>
        <v>47848</v>
      </c>
    </row>
    <row r="169" spans="1:11" x14ac:dyDescent="0.25">
      <c r="C169" s="37"/>
      <c r="D169" s="49"/>
      <c r="E169" s="37"/>
      <c r="F169" s="37"/>
      <c r="G169" s="37"/>
      <c r="H169" s="37"/>
    </row>
    <row r="170" spans="1:11" x14ac:dyDescent="0.25">
      <c r="C170" s="6" t="s">
        <v>262</v>
      </c>
      <c r="D170" s="211">
        <v>1651503366</v>
      </c>
      <c r="E170" s="211">
        <v>1995093263</v>
      </c>
      <c r="F170" s="211">
        <v>2779539539</v>
      </c>
      <c r="G170" s="211">
        <f>F170*(1+G180)</f>
        <v>3613401400.7000003</v>
      </c>
      <c r="H170" s="211">
        <f t="shared" ref="H170:K170" si="152">G170*(1+H180)</f>
        <v>4516751750.875</v>
      </c>
      <c r="I170" s="211">
        <f t="shared" si="152"/>
        <v>5420102101.0500002</v>
      </c>
      <c r="J170" s="211">
        <f t="shared" si="152"/>
        <v>6233117416.2074995</v>
      </c>
      <c r="K170" s="211">
        <f t="shared" si="152"/>
        <v>6981091506.1524</v>
      </c>
    </row>
    <row r="171" spans="1:11" x14ac:dyDescent="0.25">
      <c r="C171" s="6" t="s">
        <v>263</v>
      </c>
      <c r="D171" s="211">
        <v>256733166</v>
      </c>
      <c r="E171" s="211">
        <v>293779758</v>
      </c>
      <c r="F171" s="211">
        <v>350747144</v>
      </c>
      <c r="G171" s="211">
        <f t="shared" ref="G171:K176" si="153">F171*(1+G181)</f>
        <v>406866687.03999996</v>
      </c>
      <c r="H171" s="211">
        <f t="shared" si="153"/>
        <v>463828023.2256</v>
      </c>
      <c r="I171" s="211">
        <f t="shared" si="153"/>
        <v>519487386.01267207</v>
      </c>
      <c r="J171" s="211">
        <f t="shared" si="153"/>
        <v>571436124.61393929</v>
      </c>
      <c r="K171" s="211">
        <f t="shared" si="153"/>
        <v>617151014.58305442</v>
      </c>
    </row>
    <row r="172" spans="1:11" x14ac:dyDescent="0.25">
      <c r="C172" s="6" t="s">
        <v>264</v>
      </c>
      <c r="D172" s="211">
        <v>1277948073</v>
      </c>
      <c r="E172" s="211">
        <v>1574292326</v>
      </c>
      <c r="F172" s="211">
        <v>2381838325</v>
      </c>
      <c r="G172" s="211">
        <f t="shared" si="153"/>
        <v>3263118505.2500005</v>
      </c>
      <c r="H172" s="211">
        <f t="shared" si="153"/>
        <v>4339947611.982501</v>
      </c>
      <c r="I172" s="211">
        <f t="shared" si="153"/>
        <v>5641931895.5772514</v>
      </c>
      <c r="J172" s="211">
        <f t="shared" si="153"/>
        <v>7052414869.4715643</v>
      </c>
      <c r="K172" s="211">
        <f t="shared" si="153"/>
        <v>8462897843.3658772</v>
      </c>
    </row>
    <row r="173" spans="1:11" x14ac:dyDescent="0.25">
      <c r="C173" s="6" t="s">
        <v>260</v>
      </c>
      <c r="D173" s="211">
        <v>328746248</v>
      </c>
      <c r="E173" s="211">
        <v>311258070</v>
      </c>
      <c r="F173" s="211">
        <v>236167584</v>
      </c>
      <c r="G173" s="211">
        <f t="shared" si="153"/>
        <v>203104122.24000001</v>
      </c>
      <c r="H173" s="211">
        <f t="shared" si="153"/>
        <v>178731627.57120001</v>
      </c>
      <c r="I173" s="211">
        <f t="shared" si="153"/>
        <v>160858464.81408003</v>
      </c>
      <c r="J173" s="211">
        <f t="shared" si="153"/>
        <v>147989787.62895364</v>
      </c>
      <c r="K173" s="211">
        <f t="shared" si="153"/>
        <v>139110400.37121642</v>
      </c>
    </row>
    <row r="174" spans="1:11" x14ac:dyDescent="0.25">
      <c r="C174" s="6" t="s">
        <v>265</v>
      </c>
      <c r="D174" s="211">
        <v>258477962</v>
      </c>
      <c r="E174" s="211">
        <v>346953472</v>
      </c>
      <c r="F174" s="211">
        <v>344244712</v>
      </c>
      <c r="G174" s="211">
        <f t="shared" si="153"/>
        <v>399323865.91999996</v>
      </c>
      <c r="H174" s="211">
        <f t="shared" si="153"/>
        <v>455229207.14880002</v>
      </c>
      <c r="I174" s="211">
        <f t="shared" si="153"/>
        <v>509856712.00665605</v>
      </c>
      <c r="J174" s="211">
        <f t="shared" si="153"/>
        <v>560842383.20732164</v>
      </c>
      <c r="K174" s="211">
        <f t="shared" si="153"/>
        <v>605709773.86390746</v>
      </c>
    </row>
    <row r="175" spans="1:11" x14ac:dyDescent="0.25">
      <c r="C175" s="6" t="s">
        <v>261</v>
      </c>
      <c r="D175" s="211">
        <v>19867069</v>
      </c>
      <c r="E175" s="211">
        <v>257667920</v>
      </c>
      <c r="F175" s="211">
        <v>152649216</v>
      </c>
      <c r="G175" s="211">
        <f t="shared" si="153"/>
        <v>131278325.76000001</v>
      </c>
      <c r="H175" s="211">
        <f t="shared" si="153"/>
        <v>115524926.66880001</v>
      </c>
      <c r="I175" s="211">
        <f t="shared" si="153"/>
        <v>103972434.00192001</v>
      </c>
      <c r="J175" s="211">
        <f t="shared" si="153"/>
        <v>95654639.281766415</v>
      </c>
      <c r="K175" s="211">
        <f t="shared" si="153"/>
        <v>89915360.924860418</v>
      </c>
    </row>
    <row r="176" spans="1:11" x14ac:dyDescent="0.25">
      <c r="C176" s="6" t="s">
        <v>214</v>
      </c>
      <c r="D176" s="211">
        <v>105328990</v>
      </c>
      <c r="E176" s="211">
        <v>430412897</v>
      </c>
      <c r="F176" s="211">
        <v>527898223</v>
      </c>
      <c r="G176" s="211">
        <f t="shared" si="153"/>
        <v>633477867.60000002</v>
      </c>
      <c r="H176" s="211">
        <f t="shared" si="153"/>
        <v>734834326.41600001</v>
      </c>
      <c r="I176" s="211">
        <f t="shared" si="153"/>
        <v>837711132.11424005</v>
      </c>
      <c r="J176" s="211">
        <f t="shared" si="153"/>
        <v>938236467.96794891</v>
      </c>
      <c r="K176" s="211">
        <f t="shared" si="153"/>
        <v>1032060114.7647439</v>
      </c>
    </row>
    <row r="177" spans="3:11" x14ac:dyDescent="0.25">
      <c r="C177" s="16" t="s">
        <v>154</v>
      </c>
      <c r="D177" s="222">
        <f>SUM(D170:D176)</f>
        <v>3898604874</v>
      </c>
      <c r="E177" s="222">
        <f>SUM(E170:E176)</f>
        <v>5209457706</v>
      </c>
      <c r="F177" s="222">
        <f>SUM(F170:F176)</f>
        <v>6773084743</v>
      </c>
      <c r="G177" s="222">
        <f t="shared" ref="G177:K177" si="154">SUM(G170:G176)</f>
        <v>8650570774.5100002</v>
      </c>
      <c r="H177" s="222">
        <f t="shared" si="154"/>
        <v>10804847473.887901</v>
      </c>
      <c r="I177" s="222">
        <f t="shared" si="154"/>
        <v>13193920125.57682</v>
      </c>
      <c r="J177" s="222">
        <f t="shared" si="154"/>
        <v>15599691688.378994</v>
      </c>
      <c r="K177" s="222">
        <f t="shared" si="154"/>
        <v>17927936014.026058</v>
      </c>
    </row>
    <row r="178" spans="3:11" x14ac:dyDescent="0.25">
      <c r="C178" s="6" t="s">
        <v>259</v>
      </c>
      <c r="D178" s="211">
        <f t="shared" ref="D178:K178" si="155">D177-D16</f>
        <v>0</v>
      </c>
      <c r="E178" s="211">
        <f t="shared" si="155"/>
        <v>0</v>
      </c>
      <c r="F178" s="211">
        <f t="shared" si="155"/>
        <v>0</v>
      </c>
      <c r="G178" s="211">
        <f t="shared" si="155"/>
        <v>0</v>
      </c>
      <c r="H178" s="211">
        <f t="shared" si="155"/>
        <v>0</v>
      </c>
      <c r="I178" s="211">
        <f t="shared" si="155"/>
        <v>0</v>
      </c>
      <c r="J178" s="211">
        <f t="shared" si="155"/>
        <v>0</v>
      </c>
      <c r="K178" s="211">
        <f t="shared" si="155"/>
        <v>0</v>
      </c>
    </row>
    <row r="179" spans="3:11" x14ac:dyDescent="0.25">
      <c r="C179" s="37"/>
      <c r="D179" s="6"/>
    </row>
    <row r="180" spans="3:11" x14ac:dyDescent="0.25">
      <c r="C180" s="6" t="s">
        <v>262</v>
      </c>
      <c r="E180" s="1">
        <f>E170/D170-1</f>
        <v>0.20804674339367946</v>
      </c>
      <c r="F180" s="1">
        <f t="shared" ref="F180:F186" si="156">F170/E170-1</f>
        <v>0.39318777249562586</v>
      </c>
      <c r="G180" s="226">
        <v>0.3</v>
      </c>
      <c r="H180" s="226">
        <v>0.25</v>
      </c>
      <c r="I180" s="226">
        <v>0.2</v>
      </c>
      <c r="J180" s="226">
        <v>0.15</v>
      </c>
      <c r="K180" s="226">
        <v>0.12</v>
      </c>
    </row>
    <row r="181" spans="3:11" x14ac:dyDescent="0.25">
      <c r="C181" s="6" t="s">
        <v>263</v>
      </c>
      <c r="E181" s="1">
        <f t="shared" ref="E181" si="157">E171/D171-1</f>
        <v>0.14429998498908403</v>
      </c>
      <c r="F181" s="1">
        <f t="shared" si="156"/>
        <v>0.19391188279214244</v>
      </c>
      <c r="G181" s="226">
        <v>0.16</v>
      </c>
      <c r="H181" s="226">
        <v>0.14000000000000001</v>
      </c>
      <c r="I181" s="226">
        <v>0.12</v>
      </c>
      <c r="J181" s="226">
        <v>0.1</v>
      </c>
      <c r="K181" s="226">
        <v>0.08</v>
      </c>
    </row>
    <row r="182" spans="3:11" x14ac:dyDescent="0.25">
      <c r="C182" s="6" t="s">
        <v>264</v>
      </c>
      <c r="E182" s="1">
        <f t="shared" ref="E182" si="158">E172/D172-1</f>
        <v>0.23189068418431735</v>
      </c>
      <c r="F182" s="1">
        <f t="shared" si="156"/>
        <v>0.51295809911735546</v>
      </c>
      <c r="G182" s="226">
        <v>0.37</v>
      </c>
      <c r="H182" s="226">
        <v>0.33</v>
      </c>
      <c r="I182" s="226">
        <v>0.3</v>
      </c>
      <c r="J182" s="226">
        <v>0.25</v>
      </c>
      <c r="K182" s="226">
        <v>0.2</v>
      </c>
    </row>
    <row r="183" spans="3:11" x14ac:dyDescent="0.25">
      <c r="C183" s="6" t="s">
        <v>260</v>
      </c>
      <c r="E183" s="1">
        <f t="shared" ref="E183" si="159">E173/D173-1</f>
        <v>-5.3196585836015386E-2</v>
      </c>
      <c r="F183" s="1">
        <f t="shared" si="156"/>
        <v>-0.24124831847733297</v>
      </c>
      <c r="G183" s="226">
        <v>-0.14000000000000001</v>
      </c>
      <c r="H183" s="226">
        <v>-0.12</v>
      </c>
      <c r="I183" s="226">
        <v>-0.1</v>
      </c>
      <c r="J183" s="226">
        <v>-0.08</v>
      </c>
      <c r="K183" s="226">
        <v>-0.06</v>
      </c>
    </row>
    <row r="184" spans="3:11" x14ac:dyDescent="0.25">
      <c r="C184" s="6" t="s">
        <v>265</v>
      </c>
      <c r="E184" s="1">
        <f t="shared" ref="E184" si="160">E174/D174-1</f>
        <v>0.34229421075364241</v>
      </c>
      <c r="F184" s="1">
        <f t="shared" si="156"/>
        <v>-7.8072716332407976E-3</v>
      </c>
      <c r="G184" s="226">
        <v>0.16</v>
      </c>
      <c r="H184" s="226">
        <v>0.14000000000000001</v>
      </c>
      <c r="I184" s="226">
        <v>0.12</v>
      </c>
      <c r="J184" s="226">
        <v>0.1</v>
      </c>
      <c r="K184" s="226">
        <v>0.08</v>
      </c>
    </row>
    <row r="185" spans="3:11" x14ac:dyDescent="0.25">
      <c r="C185" s="6" t="s">
        <v>261</v>
      </c>
      <c r="E185" s="1">
        <f t="shared" ref="E185" si="161">E175/D175-1</f>
        <v>11.969599088823822</v>
      </c>
      <c r="F185" s="1">
        <f t="shared" si="156"/>
        <v>-0.40757384155544085</v>
      </c>
      <c r="G185" s="226">
        <v>-0.14000000000000001</v>
      </c>
      <c r="H185" s="226">
        <v>-0.12</v>
      </c>
      <c r="I185" s="226">
        <v>-0.1</v>
      </c>
      <c r="J185" s="226">
        <v>-0.08</v>
      </c>
      <c r="K185" s="226">
        <v>-0.06</v>
      </c>
    </row>
    <row r="186" spans="3:11" x14ac:dyDescent="0.25">
      <c r="C186" s="6" t="s">
        <v>214</v>
      </c>
      <c r="E186" s="1">
        <f t="shared" ref="E186" si="162">E176/D176-1</f>
        <v>3.0863668872168999</v>
      </c>
      <c r="F186" s="1">
        <f t="shared" si="156"/>
        <v>0.22649257649916565</v>
      </c>
      <c r="G186" s="226">
        <v>0.2</v>
      </c>
      <c r="H186" s="226">
        <v>0.16</v>
      </c>
      <c r="I186" s="226">
        <v>0.14000000000000001</v>
      </c>
      <c r="J186" s="226">
        <v>0.12</v>
      </c>
      <c r="K186" s="226">
        <v>0.1</v>
      </c>
    </row>
    <row r="187" spans="3:11" x14ac:dyDescent="0.25">
      <c r="G187" s="223"/>
      <c r="H187" s="223"/>
      <c r="I187" s="223"/>
      <c r="J187" s="223"/>
      <c r="K187" s="223"/>
    </row>
    <row r="188" spans="3:11" x14ac:dyDescent="0.25">
      <c r="C188" s="13" t="s">
        <v>169</v>
      </c>
    </row>
    <row r="189" spans="3:11" x14ac:dyDescent="0.25">
      <c r="C189" s="51" t="s">
        <v>45</v>
      </c>
      <c r="D189" s="52">
        <f t="shared" ref="D189:K189" si="163">D$13</f>
        <v>2023</v>
      </c>
      <c r="E189" s="52">
        <f t="shared" si="163"/>
        <v>2024</v>
      </c>
      <c r="F189" s="52">
        <f t="shared" si="163"/>
        <v>2025</v>
      </c>
      <c r="G189" s="53">
        <f t="shared" si="163"/>
        <v>2026</v>
      </c>
      <c r="H189" s="53">
        <f t="shared" si="163"/>
        <v>2027</v>
      </c>
      <c r="I189" s="53">
        <f t="shared" si="163"/>
        <v>2028</v>
      </c>
      <c r="J189" s="53">
        <f t="shared" si="163"/>
        <v>2029</v>
      </c>
      <c r="K189" s="53">
        <f t="shared" si="163"/>
        <v>2030</v>
      </c>
    </row>
    <row r="190" spans="3:11" x14ac:dyDescent="0.25">
      <c r="C190" s="45" t="s">
        <v>46</v>
      </c>
      <c r="D190" s="46">
        <f t="shared" ref="D190:K190" si="164">D$14</f>
        <v>45291</v>
      </c>
      <c r="E190" s="46">
        <f t="shared" si="164"/>
        <v>45657</v>
      </c>
      <c r="F190" s="46">
        <f t="shared" si="164"/>
        <v>46022</v>
      </c>
      <c r="G190" s="46">
        <f t="shared" si="164"/>
        <v>46387</v>
      </c>
      <c r="H190" s="46">
        <f t="shared" si="164"/>
        <v>46752</v>
      </c>
      <c r="I190" s="46">
        <f t="shared" si="164"/>
        <v>47118</v>
      </c>
      <c r="J190" s="46">
        <f t="shared" si="164"/>
        <v>47483</v>
      </c>
      <c r="K190" s="46">
        <f t="shared" si="164"/>
        <v>47848</v>
      </c>
    </row>
    <row r="191" spans="3:11" x14ac:dyDescent="0.25">
      <c r="D191" s="6"/>
    </row>
    <row r="192" spans="3:11" x14ac:dyDescent="0.25">
      <c r="C192" s="13" t="s">
        <v>170</v>
      </c>
      <c r="D192" s="6"/>
    </row>
    <row r="193" spans="3:11" x14ac:dyDescent="0.25">
      <c r="C193" s="17" t="s">
        <v>160</v>
      </c>
      <c r="D193" s="29">
        <f>D59</f>
        <v>111640900</v>
      </c>
      <c r="E193" s="29">
        <f t="shared" ref="E193:F193" si="165">E59</f>
        <v>221267021</v>
      </c>
      <c r="F193" s="29">
        <f t="shared" si="165"/>
        <v>192750793</v>
      </c>
      <c r="G193" s="29">
        <f>$F193/$F$177*G$177</f>
        <v>246180941.17494887</v>
      </c>
      <c r="H193" s="29">
        <f t="shared" ref="H193:K197" si="166">$F193/$F$177*H$177</f>
        <v>307488094.10488427</v>
      </c>
      <c r="I193" s="29">
        <f t="shared" si="166"/>
        <v>375477151.62015826</v>
      </c>
      <c r="J193" s="29">
        <f t="shared" si="166"/>
        <v>443941432.53532296</v>
      </c>
      <c r="K193" s="29">
        <f t="shared" si="166"/>
        <v>510199416.4665041</v>
      </c>
    </row>
    <row r="194" spans="3:11" x14ac:dyDescent="0.25">
      <c r="C194" s="17" t="s">
        <v>241</v>
      </c>
      <c r="D194" s="29">
        <f>D60</f>
        <v>26067777</v>
      </c>
      <c r="E194" s="29">
        <f t="shared" ref="E194:F194" si="167">E60</f>
        <v>17321568</v>
      </c>
      <c r="F194" s="29">
        <f t="shared" si="167"/>
        <v>68444849</v>
      </c>
      <c r="G194" s="29">
        <f t="shared" ref="G194:G197" si="168">$F194/$F$177*G$177</f>
        <v>87417629.173630729</v>
      </c>
      <c r="H194" s="29">
        <f t="shared" si="166"/>
        <v>109187494.60245588</v>
      </c>
      <c r="I194" s="29">
        <f t="shared" si="166"/>
        <v>133330071.153543</v>
      </c>
      <c r="J194" s="29">
        <f t="shared" si="166"/>
        <v>157641397.17300084</v>
      </c>
      <c r="K194" s="29">
        <f t="shared" si="166"/>
        <v>181169278.0944252</v>
      </c>
    </row>
    <row r="195" spans="3:11" x14ac:dyDescent="0.25">
      <c r="C195" s="17" t="s">
        <v>242</v>
      </c>
      <c r="D195" s="29">
        <f>D61</f>
        <v>2261053820</v>
      </c>
      <c r="E195" s="29">
        <f t="shared" ref="E195:F195" si="169">E61</f>
        <v>3195558294</v>
      </c>
      <c r="F195" s="29">
        <f t="shared" si="169"/>
        <v>3385559350</v>
      </c>
      <c r="G195" s="29">
        <f t="shared" si="168"/>
        <v>4324029874.0905733</v>
      </c>
      <c r="H195" s="29">
        <f t="shared" si="166"/>
        <v>5400855559.6991539</v>
      </c>
      <c r="I195" s="29">
        <f t="shared" si="166"/>
        <v>6595045144.0113888</v>
      </c>
      <c r="J195" s="29">
        <f t="shared" si="166"/>
        <v>7797581760.2595129</v>
      </c>
      <c r="K195" s="29">
        <f t="shared" si="166"/>
        <v>8961366009.9583454</v>
      </c>
    </row>
    <row r="196" spans="3:11" x14ac:dyDescent="0.25">
      <c r="C196" s="17" t="s">
        <v>243</v>
      </c>
      <c r="D196" s="29">
        <f>D62</f>
        <v>5394529</v>
      </c>
      <c r="E196" s="29">
        <f t="shared" ref="E196:F196" si="170">E62</f>
        <v>0</v>
      </c>
      <c r="F196" s="29">
        <f t="shared" si="170"/>
        <v>0</v>
      </c>
      <c r="G196" s="29">
        <f t="shared" si="168"/>
        <v>0</v>
      </c>
      <c r="H196" s="29">
        <f t="shared" si="166"/>
        <v>0</v>
      </c>
      <c r="I196" s="29">
        <f t="shared" si="166"/>
        <v>0</v>
      </c>
      <c r="J196" s="29">
        <f t="shared" si="166"/>
        <v>0</v>
      </c>
      <c r="K196" s="29">
        <f t="shared" si="166"/>
        <v>0</v>
      </c>
    </row>
    <row r="197" spans="3:11" x14ac:dyDescent="0.25">
      <c r="C197" s="17" t="s">
        <v>244</v>
      </c>
      <c r="D197" s="29">
        <f>D63</f>
        <v>12006925</v>
      </c>
      <c r="E197" s="29">
        <f t="shared" ref="E197:F197" si="171">E63</f>
        <v>16046409</v>
      </c>
      <c r="F197" s="29">
        <f t="shared" si="171"/>
        <v>434049674</v>
      </c>
      <c r="G197" s="29">
        <f t="shared" si="168"/>
        <v>554367406.73746395</v>
      </c>
      <c r="H197" s="29">
        <f t="shared" si="166"/>
        <v>692423127.95624304</v>
      </c>
      <c r="I197" s="29">
        <f t="shared" si="166"/>
        <v>845525627.77356899</v>
      </c>
      <c r="J197" s="29">
        <f t="shared" si="166"/>
        <v>999698268.77469671</v>
      </c>
      <c r="K197" s="29">
        <f t="shared" si="166"/>
        <v>1148902616.4072711</v>
      </c>
    </row>
    <row r="198" spans="3:11" x14ac:dyDescent="0.25">
      <c r="C198" s="13" t="s">
        <v>171</v>
      </c>
      <c r="D198" s="228">
        <f>SUM(D193:D197)</f>
        <v>2416163951</v>
      </c>
      <c r="E198" s="228">
        <f t="shared" ref="E198:F198" si="172">SUM(E193:E197)</f>
        <v>3450193292</v>
      </c>
      <c r="F198" s="228">
        <f t="shared" si="172"/>
        <v>4080804666</v>
      </c>
      <c r="G198" s="228">
        <f t="shared" ref="G198" si="173">SUM(G193:G197)</f>
        <v>5211995851.1766167</v>
      </c>
      <c r="H198" s="228">
        <f t="shared" ref="H198" si="174">SUM(H193:H197)</f>
        <v>6509954276.3627377</v>
      </c>
      <c r="I198" s="228">
        <f t="shared" ref="I198" si="175">SUM(I193:I197)</f>
        <v>7949377994.5586596</v>
      </c>
      <c r="J198" s="228">
        <f t="shared" ref="J198" si="176">SUM(J193:J197)</f>
        <v>9398862858.7425327</v>
      </c>
      <c r="K198" s="228">
        <f t="shared" ref="K198" si="177">SUM(K193:K197)</f>
        <v>10801637320.926546</v>
      </c>
    </row>
    <row r="199" spans="3:11" x14ac:dyDescent="0.25">
      <c r="C199" s="13"/>
      <c r="E199" s="7"/>
      <c r="F199" s="7"/>
      <c r="G199" s="7"/>
      <c r="H199" s="7"/>
      <c r="I199" s="7"/>
      <c r="J199" s="7"/>
      <c r="K199" s="7"/>
    </row>
    <row r="200" spans="3:11" x14ac:dyDescent="0.25">
      <c r="C200" s="13" t="s">
        <v>175</v>
      </c>
      <c r="E200" s="7"/>
      <c r="F200" s="7"/>
      <c r="G200" s="7"/>
      <c r="H200" s="7"/>
      <c r="I200" s="7"/>
      <c r="J200" s="7"/>
      <c r="K200" s="7"/>
    </row>
    <row r="201" spans="3:11" x14ac:dyDescent="0.25">
      <c r="C201" s="17" t="s">
        <v>255</v>
      </c>
      <c r="D201" s="194">
        <f>D85</f>
        <v>834289305</v>
      </c>
      <c r="E201" s="194">
        <f t="shared" ref="E201:F201" si="178">E85</f>
        <v>965932112</v>
      </c>
      <c r="F201" s="194">
        <f t="shared" si="178"/>
        <v>1282544351</v>
      </c>
      <c r="G201" s="29">
        <f>$F201/$F$177*G$177</f>
        <v>1638063172.2111461</v>
      </c>
      <c r="H201" s="29">
        <f t="shared" ref="H201:K201" si="179">$F201/$F$177*H$177</f>
        <v>2045994789.2093792</v>
      </c>
      <c r="I201" s="29">
        <f t="shared" si="179"/>
        <v>2498387125.9092793</v>
      </c>
      <c r="J201" s="29">
        <f t="shared" si="179"/>
        <v>2953941551.2185521</v>
      </c>
      <c r="K201" s="29">
        <f t="shared" si="179"/>
        <v>3394815498.7492642</v>
      </c>
    </row>
    <row r="202" spans="3:11" x14ac:dyDescent="0.25">
      <c r="C202" s="17" t="s">
        <v>256</v>
      </c>
      <c r="D202" s="194">
        <f>D86</f>
        <v>56447561</v>
      </c>
      <c r="E202" s="194">
        <f t="shared" ref="E202:F202" si="180">E86</f>
        <v>29163715</v>
      </c>
      <c r="F202" s="194">
        <f t="shared" si="180"/>
        <v>0</v>
      </c>
      <c r="G202" s="29">
        <f t="shared" ref="G202:K203" si="181">$F202/$F$177*G$177</f>
        <v>0</v>
      </c>
      <c r="H202" s="29">
        <f t="shared" si="181"/>
        <v>0</v>
      </c>
      <c r="I202" s="29">
        <f t="shared" si="181"/>
        <v>0</v>
      </c>
      <c r="J202" s="29">
        <f t="shared" si="181"/>
        <v>0</v>
      </c>
      <c r="K202" s="29">
        <f t="shared" si="181"/>
        <v>0</v>
      </c>
    </row>
    <row r="203" spans="3:11" x14ac:dyDescent="0.25">
      <c r="C203" s="17" t="s">
        <v>196</v>
      </c>
      <c r="D203" s="194">
        <f>D88</f>
        <v>342981012</v>
      </c>
      <c r="E203" s="194">
        <f t="shared" ref="E203:F203" si="182">E88</f>
        <v>490783289</v>
      </c>
      <c r="F203" s="194">
        <f t="shared" si="182"/>
        <v>699517915</v>
      </c>
      <c r="G203" s="29">
        <f t="shared" si="181"/>
        <v>893422932.29080462</v>
      </c>
      <c r="H203" s="29">
        <f t="shared" si="181"/>
        <v>1115914633.2309637</v>
      </c>
      <c r="I203" s="29">
        <f t="shared" si="181"/>
        <v>1362655842.5182302</v>
      </c>
      <c r="J203" s="29">
        <f t="shared" si="181"/>
        <v>1611121699.8688161</v>
      </c>
      <c r="K203" s="29">
        <f t="shared" si="181"/>
        <v>1851580616.017832</v>
      </c>
    </row>
    <row r="204" spans="3:11" x14ac:dyDescent="0.25">
      <c r="C204" s="13" t="s">
        <v>176</v>
      </c>
      <c r="D204" s="231">
        <f>SUM(D201:D203)</f>
        <v>1233717878</v>
      </c>
      <c r="E204" s="231">
        <f t="shared" ref="E204:F204" si="183">SUM(E201:E203)</f>
        <v>1485879116</v>
      </c>
      <c r="F204" s="231">
        <f t="shared" si="183"/>
        <v>1982062266</v>
      </c>
      <c r="G204" s="231">
        <f t="shared" ref="G204" si="184">SUM(G201:G203)</f>
        <v>2531486104.5019507</v>
      </c>
      <c r="H204" s="231">
        <f t="shared" ref="H204" si="185">SUM(H201:H203)</f>
        <v>3161909422.4403429</v>
      </c>
      <c r="I204" s="231">
        <f t="shared" ref="I204" si="186">SUM(I201:I203)</f>
        <v>3861042968.4275093</v>
      </c>
      <c r="J204" s="231">
        <f t="shared" ref="J204" si="187">SUM(J201:J203)</f>
        <v>4565063251.087368</v>
      </c>
      <c r="K204" s="231">
        <f t="shared" ref="K204" si="188">SUM(K201:K203)</f>
        <v>5246396114.7670965</v>
      </c>
    </row>
    <row r="205" spans="3:11" x14ac:dyDescent="0.25">
      <c r="E205" s="7"/>
      <c r="F205" s="7"/>
      <c r="G205" s="7"/>
      <c r="H205" s="7"/>
      <c r="I205" s="7"/>
      <c r="J205" s="7"/>
      <c r="K205" s="7"/>
    </row>
    <row r="206" spans="3:11" x14ac:dyDescent="0.25">
      <c r="C206" s="6" t="s">
        <v>172</v>
      </c>
      <c r="D206" s="194">
        <f>D198-D204</f>
        <v>1182446073</v>
      </c>
      <c r="E206" s="194">
        <f t="shared" ref="E206:K206" si="189">E198-E204</f>
        <v>1964314176</v>
      </c>
      <c r="F206" s="194">
        <f t="shared" si="189"/>
        <v>2098742400</v>
      </c>
      <c r="G206" s="194">
        <f t="shared" si="189"/>
        <v>2680509746.6746659</v>
      </c>
      <c r="H206" s="194">
        <f t="shared" si="189"/>
        <v>3348044853.9223948</v>
      </c>
      <c r="I206" s="194">
        <f t="shared" si="189"/>
        <v>4088335026.1311502</v>
      </c>
      <c r="J206" s="194">
        <f t="shared" si="189"/>
        <v>4833799607.6551647</v>
      </c>
      <c r="K206" s="194">
        <f t="shared" si="189"/>
        <v>5555241206.1594496</v>
      </c>
    </row>
    <row r="207" spans="3:11" x14ac:dyDescent="0.25">
      <c r="C207" s="6" t="s">
        <v>173</v>
      </c>
      <c r="D207" s="1">
        <f>D206/D177</f>
        <v>0.30329979857302153</v>
      </c>
      <c r="E207" s="1">
        <f t="shared" ref="E207:F207" si="190">E206/E177</f>
        <v>0.37706692075407361</v>
      </c>
      <c r="F207" s="1">
        <f t="shared" si="190"/>
        <v>0.30986507324731993</v>
      </c>
      <c r="G207" s="227">
        <f>AVERAGE(D207:F207)</f>
        <v>0.33007726419147171</v>
      </c>
      <c r="H207" s="227">
        <f>G207-2%</f>
        <v>0.31007726419147169</v>
      </c>
      <c r="I207" s="227">
        <f t="shared" ref="I207:K207" si="191">H207-2%</f>
        <v>0.29007726419147167</v>
      </c>
      <c r="J207" s="227">
        <f t="shared" si="191"/>
        <v>0.27007726419147166</v>
      </c>
      <c r="K207" s="227">
        <f t="shared" si="191"/>
        <v>0.25007726419147164</v>
      </c>
    </row>
    <row r="208" spans="3:11" x14ac:dyDescent="0.25">
      <c r="C208" s="6" t="s">
        <v>174</v>
      </c>
      <c r="D208" s="194"/>
      <c r="E208" s="194">
        <f>D206-E206</f>
        <v>-781868103</v>
      </c>
      <c r="F208" s="194">
        <f t="shared" ref="F208:K208" si="192">E206-F206</f>
        <v>-134428224</v>
      </c>
      <c r="G208" s="194">
        <f t="shared" si="192"/>
        <v>-581767346.67466593</v>
      </c>
      <c r="H208" s="194">
        <f t="shared" si="192"/>
        <v>-667535107.24772882</v>
      </c>
      <c r="I208" s="194">
        <f t="shared" si="192"/>
        <v>-740290172.20875549</v>
      </c>
      <c r="J208" s="194">
        <f t="shared" si="192"/>
        <v>-745464581.52401447</v>
      </c>
      <c r="K208" s="194">
        <f t="shared" si="192"/>
        <v>-721441598.50428486</v>
      </c>
    </row>
    <row r="210" spans="3:11" x14ac:dyDescent="0.25">
      <c r="C210" s="13" t="s">
        <v>177</v>
      </c>
    </row>
    <row r="211" spans="3:11" x14ac:dyDescent="0.25">
      <c r="C211" s="51" t="s">
        <v>45</v>
      </c>
      <c r="D211" s="52">
        <f t="shared" ref="D211:K211" si="193">D$13</f>
        <v>2023</v>
      </c>
      <c r="E211" s="52">
        <f t="shared" si="193"/>
        <v>2024</v>
      </c>
      <c r="F211" s="52">
        <f t="shared" si="193"/>
        <v>2025</v>
      </c>
      <c r="G211" s="53">
        <f t="shared" si="193"/>
        <v>2026</v>
      </c>
      <c r="H211" s="53">
        <f t="shared" si="193"/>
        <v>2027</v>
      </c>
      <c r="I211" s="53">
        <f t="shared" si="193"/>
        <v>2028</v>
      </c>
      <c r="J211" s="53">
        <f t="shared" si="193"/>
        <v>2029</v>
      </c>
      <c r="K211" s="53">
        <f t="shared" si="193"/>
        <v>2030</v>
      </c>
    </row>
    <row r="212" spans="3:11" x14ac:dyDescent="0.25">
      <c r="C212" s="45" t="s">
        <v>46</v>
      </c>
      <c r="D212" s="46">
        <f t="shared" ref="D212:K212" si="194">D$14</f>
        <v>45291</v>
      </c>
      <c r="E212" s="46">
        <f t="shared" si="194"/>
        <v>45657</v>
      </c>
      <c r="F212" s="46">
        <f t="shared" si="194"/>
        <v>46022</v>
      </c>
      <c r="G212" s="46">
        <f t="shared" si="194"/>
        <v>46387</v>
      </c>
      <c r="H212" s="46">
        <f t="shared" si="194"/>
        <v>46752</v>
      </c>
      <c r="I212" s="46">
        <f t="shared" si="194"/>
        <v>47118</v>
      </c>
      <c r="J212" s="46">
        <f t="shared" si="194"/>
        <v>47483</v>
      </c>
      <c r="K212" s="46">
        <f t="shared" si="194"/>
        <v>47848</v>
      </c>
    </row>
    <row r="214" spans="3:11" x14ac:dyDescent="0.25">
      <c r="C214" s="13" t="s">
        <v>178</v>
      </c>
      <c r="D214" s="194"/>
      <c r="E214" s="194"/>
      <c r="F214" s="194"/>
      <c r="G214" s="194"/>
      <c r="H214" s="194"/>
      <c r="I214" s="194"/>
      <c r="J214" s="194"/>
      <c r="K214" s="194"/>
    </row>
    <row r="215" spans="3:11" x14ac:dyDescent="0.25">
      <c r="C215" s="31" t="s">
        <v>33</v>
      </c>
      <c r="D215" s="194"/>
      <c r="E215" s="194">
        <f>D216</f>
        <v>267993218</v>
      </c>
      <c r="F215" s="194">
        <f t="shared" ref="F215:K215" si="195">E216</f>
        <v>141456271</v>
      </c>
      <c r="G215" s="194">
        <f t="shared" si="195"/>
        <v>112248966</v>
      </c>
      <c r="H215" s="194">
        <f t="shared" si="195"/>
        <v>112248966</v>
      </c>
      <c r="I215" s="194">
        <f t="shared" si="195"/>
        <v>112248966</v>
      </c>
      <c r="J215" s="194">
        <f t="shared" si="195"/>
        <v>112248966</v>
      </c>
      <c r="K215" s="194">
        <f t="shared" si="195"/>
        <v>112248966</v>
      </c>
    </row>
    <row r="216" spans="3:11" x14ac:dyDescent="0.25">
      <c r="C216" s="31" t="s">
        <v>36</v>
      </c>
      <c r="D216" s="194">
        <f>D84+D87+D92+D93</f>
        <v>267993218</v>
      </c>
      <c r="E216" s="194">
        <f t="shared" ref="E216:F216" si="196">E84+E87+E92+E93</f>
        <v>141456271</v>
      </c>
      <c r="F216" s="194">
        <f t="shared" si="196"/>
        <v>112248966</v>
      </c>
      <c r="G216" s="194">
        <f>F216</f>
        <v>112248966</v>
      </c>
      <c r="H216" s="194">
        <f t="shared" ref="H216:K216" si="197">G216</f>
        <v>112248966</v>
      </c>
      <c r="I216" s="194">
        <f t="shared" si="197"/>
        <v>112248966</v>
      </c>
      <c r="J216" s="194">
        <f t="shared" si="197"/>
        <v>112248966</v>
      </c>
      <c r="K216" s="194">
        <f t="shared" si="197"/>
        <v>112248966</v>
      </c>
    </row>
    <row r="217" spans="3:11" x14ac:dyDescent="0.25">
      <c r="C217" s="31" t="s">
        <v>179</v>
      </c>
      <c r="D217" s="194"/>
      <c r="E217" s="194">
        <f>AVERAGE(E215,E216)</f>
        <v>204724744.5</v>
      </c>
      <c r="F217" s="194">
        <f t="shared" ref="F217:K217" si="198">AVERAGE(F215,F216)</f>
        <v>126852618.5</v>
      </c>
      <c r="G217" s="194">
        <f t="shared" si="198"/>
        <v>112248966</v>
      </c>
      <c r="H217" s="194">
        <f t="shared" si="198"/>
        <v>112248966</v>
      </c>
      <c r="I217" s="194">
        <f t="shared" si="198"/>
        <v>112248966</v>
      </c>
      <c r="J217" s="194">
        <f t="shared" si="198"/>
        <v>112248966</v>
      </c>
      <c r="K217" s="194">
        <f t="shared" si="198"/>
        <v>112248966</v>
      </c>
    </row>
    <row r="218" spans="3:11" x14ac:dyDescent="0.25">
      <c r="C218" s="31" t="s">
        <v>180</v>
      </c>
      <c r="D218" s="1"/>
      <c r="E218" s="1">
        <f>-E26/E217</f>
        <v>0.55873785691792621</v>
      </c>
      <c r="F218" s="1">
        <f>-F26/F217</f>
        <v>0.24454020237666596</v>
      </c>
      <c r="G218" s="226">
        <v>0.15</v>
      </c>
      <c r="H218" s="226">
        <f>G218</f>
        <v>0.15</v>
      </c>
      <c r="I218" s="226">
        <f t="shared" ref="I218:K218" si="199">H218</f>
        <v>0.15</v>
      </c>
      <c r="J218" s="226">
        <f t="shared" si="199"/>
        <v>0.15</v>
      </c>
      <c r="K218" s="226">
        <f t="shared" si="199"/>
        <v>0.15</v>
      </c>
    </row>
    <row r="220" spans="3:11" x14ac:dyDescent="0.25">
      <c r="C220" s="13" t="s">
        <v>181</v>
      </c>
    </row>
    <row r="221" spans="3:11" x14ac:dyDescent="0.25">
      <c r="C221" s="17" t="s">
        <v>266</v>
      </c>
      <c r="D221" s="194">
        <f>D66+D64</f>
        <v>2243134524</v>
      </c>
      <c r="E221" s="194">
        <f t="shared" ref="E221:K221" si="200">E66+E64</f>
        <v>1205753600</v>
      </c>
      <c r="F221" s="194">
        <f t="shared" si="200"/>
        <v>1382001641</v>
      </c>
      <c r="G221" s="194">
        <f t="shared" si="200"/>
        <v>1894138501.7685232</v>
      </c>
      <c r="H221" s="194">
        <f t="shared" si="200"/>
        <v>2685936218.0220613</v>
      </c>
      <c r="I221" s="194">
        <f t="shared" si="200"/>
        <v>3852915312.9567719</v>
      </c>
      <c r="J221" s="194">
        <f t="shared" si="200"/>
        <v>5522968946.8484306</v>
      </c>
      <c r="K221" s="194">
        <f t="shared" si="200"/>
        <v>7773561121.2435007</v>
      </c>
    </row>
    <row r="222" spans="3:11" x14ac:dyDescent="0.25">
      <c r="C222" s="17" t="s">
        <v>182</v>
      </c>
      <c r="D222" s="194"/>
      <c r="E222" s="194">
        <f>AVERAGE(D221,E221)</f>
        <v>1724444062</v>
      </c>
      <c r="F222" s="194">
        <f t="shared" ref="F222:K222" si="201">AVERAGE(E221,F221)</f>
        <v>1293877620.5</v>
      </c>
      <c r="G222" s="194">
        <f t="shared" si="201"/>
        <v>1638070071.3842616</v>
      </c>
      <c r="H222" s="194">
        <f t="shared" si="201"/>
        <v>2290037359.8952923</v>
      </c>
      <c r="I222" s="194">
        <f t="shared" si="201"/>
        <v>3269425765.4894166</v>
      </c>
      <c r="J222" s="194">
        <f t="shared" si="201"/>
        <v>4687942129.9026012</v>
      </c>
      <c r="K222" s="194">
        <f t="shared" si="201"/>
        <v>6648265034.0459652</v>
      </c>
    </row>
    <row r="223" spans="3:11" x14ac:dyDescent="0.25">
      <c r="C223" s="17" t="s">
        <v>183</v>
      </c>
      <c r="D223" s="1"/>
      <c r="E223" s="1">
        <f>E29/E222</f>
        <v>0.35560915167568946</v>
      </c>
      <c r="F223" s="1">
        <f>F29/F222</f>
        <v>0.46497928897441659</v>
      </c>
      <c r="G223" s="226">
        <v>0.18</v>
      </c>
      <c r="H223" s="226">
        <v>0.17</v>
      </c>
      <c r="I223" s="226">
        <v>0.16</v>
      </c>
      <c r="J223" s="226">
        <v>0.15</v>
      </c>
      <c r="K223" s="226">
        <v>0.14000000000000001</v>
      </c>
    </row>
    <row r="225" spans="3:11" x14ac:dyDescent="0.25">
      <c r="C225" s="6" t="s">
        <v>158</v>
      </c>
      <c r="D225" s="194"/>
      <c r="E225" s="194">
        <f>-E215*E218</f>
        <v>-149737956.29385862</v>
      </c>
      <c r="F225" s="194">
        <f t="shared" ref="F225:K225" si="202">-F215*F218</f>
        <v>-34591745.137788504</v>
      </c>
      <c r="G225" s="194">
        <f t="shared" si="202"/>
        <v>-16837344.899999999</v>
      </c>
      <c r="H225" s="194">
        <f t="shared" si="202"/>
        <v>-16837344.899999999</v>
      </c>
      <c r="I225" s="194">
        <f t="shared" si="202"/>
        <v>-16837344.899999999</v>
      </c>
      <c r="J225" s="194">
        <f t="shared" si="202"/>
        <v>-16837344.899999999</v>
      </c>
      <c r="K225" s="194">
        <f t="shared" si="202"/>
        <v>-16837344.899999999</v>
      </c>
    </row>
    <row r="226" spans="3:11" x14ac:dyDescent="0.25">
      <c r="C226" s="6" t="s">
        <v>157</v>
      </c>
      <c r="D226" s="194"/>
      <c r="E226" s="194">
        <f>D221*E223</f>
        <v>797679165.17409146</v>
      </c>
      <c r="F226" s="194">
        <f t="shared" ref="F226:K226" si="203">E221*F223</f>
        <v>560650451.60634315</v>
      </c>
      <c r="G226" s="194">
        <f t="shared" si="203"/>
        <v>248760295.38</v>
      </c>
      <c r="H226" s="194">
        <f t="shared" si="203"/>
        <v>322003545.30064899</v>
      </c>
      <c r="I226" s="194">
        <f t="shared" si="203"/>
        <v>429749794.88352984</v>
      </c>
      <c r="J226" s="194">
        <f t="shared" si="203"/>
        <v>577937296.94351578</v>
      </c>
      <c r="K226" s="194">
        <f t="shared" si="203"/>
        <v>773215652.55878031</v>
      </c>
    </row>
    <row r="227" spans="3:11" x14ac:dyDescent="0.25">
      <c r="C227" s="6" t="s">
        <v>163</v>
      </c>
      <c r="D227" s="194"/>
      <c r="E227" s="194">
        <f>SUM(E225:E226)</f>
        <v>647941208.88023281</v>
      </c>
      <c r="F227" s="194">
        <f t="shared" ref="F227:K227" si="204">SUM(F225:F226)</f>
        <v>526058706.46855462</v>
      </c>
      <c r="G227" s="194">
        <f t="shared" si="204"/>
        <v>231922950.47999999</v>
      </c>
      <c r="H227" s="194">
        <f t="shared" si="204"/>
        <v>305166200.40064901</v>
      </c>
      <c r="I227" s="194">
        <f t="shared" si="204"/>
        <v>412912449.98352987</v>
      </c>
      <c r="J227" s="194">
        <f t="shared" si="204"/>
        <v>561099952.0435158</v>
      </c>
      <c r="K227" s="194">
        <f t="shared" si="204"/>
        <v>756378307.65878034</v>
      </c>
    </row>
    <row r="229" spans="3:11" x14ac:dyDescent="0.25">
      <c r="C229" s="13" t="s">
        <v>184</v>
      </c>
    </row>
    <row r="230" spans="3:11" x14ac:dyDescent="0.25">
      <c r="C230" s="51" t="s">
        <v>45</v>
      </c>
      <c r="D230" s="52">
        <f t="shared" ref="D230:K230" si="205">D$13</f>
        <v>2023</v>
      </c>
      <c r="E230" s="52">
        <f t="shared" si="205"/>
        <v>2024</v>
      </c>
      <c r="F230" s="52">
        <f t="shared" si="205"/>
        <v>2025</v>
      </c>
      <c r="G230" s="53">
        <f t="shared" si="205"/>
        <v>2026</v>
      </c>
      <c r="H230" s="53">
        <f t="shared" si="205"/>
        <v>2027</v>
      </c>
      <c r="I230" s="53">
        <f t="shared" si="205"/>
        <v>2028</v>
      </c>
      <c r="J230" s="53">
        <f t="shared" si="205"/>
        <v>2029</v>
      </c>
      <c r="K230" s="53">
        <f t="shared" si="205"/>
        <v>2030</v>
      </c>
    </row>
    <row r="231" spans="3:11" x14ac:dyDescent="0.25">
      <c r="C231" s="45" t="s">
        <v>46</v>
      </c>
      <c r="D231" s="46">
        <f t="shared" ref="D231:K231" si="206">D$14</f>
        <v>45291</v>
      </c>
      <c r="E231" s="46">
        <f t="shared" si="206"/>
        <v>45657</v>
      </c>
      <c r="F231" s="46">
        <f t="shared" si="206"/>
        <v>46022</v>
      </c>
      <c r="G231" s="46">
        <f t="shared" si="206"/>
        <v>46387</v>
      </c>
      <c r="H231" s="46">
        <f t="shared" si="206"/>
        <v>46752</v>
      </c>
      <c r="I231" s="46">
        <f t="shared" si="206"/>
        <v>47118</v>
      </c>
      <c r="J231" s="46">
        <f t="shared" si="206"/>
        <v>47483</v>
      </c>
      <c r="K231" s="46">
        <f t="shared" si="206"/>
        <v>47848</v>
      </c>
    </row>
    <row r="233" spans="3:11" x14ac:dyDescent="0.25">
      <c r="C233" s="13" t="s">
        <v>185</v>
      </c>
    </row>
    <row r="234" spans="3:11" x14ac:dyDescent="0.25">
      <c r="C234" s="17" t="s">
        <v>33</v>
      </c>
      <c r="D234" s="194"/>
      <c r="E234" s="194">
        <f>D238</f>
        <v>953209740</v>
      </c>
      <c r="F234" s="194">
        <f t="shared" ref="F234:K234" si="207">E238</f>
        <v>1399544940</v>
      </c>
      <c r="G234" s="194">
        <f t="shared" si="207"/>
        <v>1956948840</v>
      </c>
      <c r="H234" s="194">
        <f t="shared" si="207"/>
        <v>2813424319.0335188</v>
      </c>
      <c r="I234" s="194">
        <f t="shared" si="207"/>
        <v>3868756725.8306613</v>
      </c>
      <c r="J234" s="194">
        <f t="shared" si="207"/>
        <v>5151025723.1012897</v>
      </c>
      <c r="K234" s="194">
        <f t="shared" si="207"/>
        <v>6671404462.5363712</v>
      </c>
    </row>
    <row r="235" spans="3:11" x14ac:dyDescent="0.25">
      <c r="C235" s="17" t="s">
        <v>186</v>
      </c>
      <c r="D235" s="194"/>
      <c r="E235" s="194">
        <f t="shared" ref="E235:K235" si="208">E33</f>
        <v>1775989331</v>
      </c>
      <c r="F235" s="194">
        <f t="shared" si="208"/>
        <v>2405402468</v>
      </c>
      <c r="G235" s="194">
        <f t="shared" si="208"/>
        <v>2676485871.9797482</v>
      </c>
      <c r="H235" s="194">
        <f t="shared" si="208"/>
        <v>3297913771.2410707</v>
      </c>
      <c r="I235" s="194">
        <f t="shared" si="208"/>
        <v>4007090616.470716</v>
      </c>
      <c r="J235" s="194">
        <f t="shared" si="208"/>
        <v>4751183560.7346277</v>
      </c>
      <c r="K235" s="194">
        <f t="shared" si="208"/>
        <v>5510449726.7216549</v>
      </c>
    </row>
    <row r="236" spans="3:11" x14ac:dyDescent="0.25">
      <c r="C236" s="17" t="s">
        <v>187</v>
      </c>
      <c r="D236" s="197">
        <v>-724736849</v>
      </c>
      <c r="E236" s="197">
        <v>-785397583</v>
      </c>
      <c r="F236" s="197">
        <v>-990625281</v>
      </c>
      <c r="G236" s="194">
        <f>-G246*G33</f>
        <v>-1820010392.946229</v>
      </c>
      <c r="H236" s="194">
        <f>-H246*H33</f>
        <v>-2242581364.4439282</v>
      </c>
      <c r="I236" s="194">
        <f>-I246*I33</f>
        <v>-2724821619.2000871</v>
      </c>
      <c r="J236" s="194">
        <f>-J246*J33</f>
        <v>-3230804821.2995472</v>
      </c>
      <c r="K236" s="194">
        <f>-K246*K33</f>
        <v>-3747105814.1707258</v>
      </c>
    </row>
    <row r="237" spans="3:11" x14ac:dyDescent="0.25">
      <c r="C237" s="17" t="s">
        <v>188</v>
      </c>
      <c r="D237" s="194"/>
      <c r="E237" s="197">
        <v>0</v>
      </c>
      <c r="F237" s="197">
        <v>0</v>
      </c>
      <c r="G237" s="197">
        <v>0</v>
      </c>
      <c r="H237" s="197">
        <v>0</v>
      </c>
      <c r="I237" s="197">
        <v>0</v>
      </c>
      <c r="J237" s="197">
        <v>0</v>
      </c>
      <c r="K237" s="197">
        <v>0</v>
      </c>
    </row>
    <row r="238" spans="3:11" x14ac:dyDescent="0.25">
      <c r="C238" s="17" t="s">
        <v>189</v>
      </c>
      <c r="D238" s="194">
        <f>D107</f>
        <v>953209740</v>
      </c>
      <c r="E238" s="194">
        <f t="shared" ref="E238:F238" si="209">E107</f>
        <v>1399544940</v>
      </c>
      <c r="F238" s="194">
        <f t="shared" si="209"/>
        <v>1956948840</v>
      </c>
      <c r="G238" s="194">
        <f>SUM(G234:G237)</f>
        <v>2813424319.0335188</v>
      </c>
      <c r="H238" s="194">
        <f t="shared" ref="H238:K238" si="210">SUM(H234:H237)</f>
        <v>3868756725.8306613</v>
      </c>
      <c r="I238" s="194">
        <f t="shared" si="210"/>
        <v>5151025723.1012897</v>
      </c>
      <c r="J238" s="194">
        <f t="shared" si="210"/>
        <v>6671404462.5363712</v>
      </c>
      <c r="K238" s="194">
        <f t="shared" si="210"/>
        <v>8434748375.0873003</v>
      </c>
    </row>
    <row r="239" spans="3:11" x14ac:dyDescent="0.25">
      <c r="D239" s="194"/>
      <c r="E239" s="194"/>
      <c r="F239" s="194"/>
      <c r="G239" s="194"/>
      <c r="H239" s="194"/>
      <c r="I239" s="194"/>
      <c r="J239" s="194"/>
      <c r="K239" s="194"/>
    </row>
    <row r="240" spans="3:11" x14ac:dyDescent="0.25">
      <c r="C240" s="13" t="s">
        <v>190</v>
      </c>
      <c r="D240" s="194"/>
      <c r="E240" s="194"/>
      <c r="F240" s="194"/>
      <c r="G240" s="194"/>
      <c r="H240" s="194"/>
      <c r="I240" s="194"/>
      <c r="J240" s="194"/>
      <c r="K240" s="194"/>
    </row>
    <row r="241" spans="3:11" x14ac:dyDescent="0.25">
      <c r="C241" s="17" t="s">
        <v>33</v>
      </c>
      <c r="D241" s="194"/>
      <c r="E241" s="194">
        <f>D244</f>
        <v>117780537</v>
      </c>
      <c r="F241" s="194">
        <f>E244</f>
        <v>149016821</v>
      </c>
      <c r="G241" s="194">
        <f t="shared" ref="G241:K241" si="211">F244</f>
        <v>156666060</v>
      </c>
      <c r="H241" s="194">
        <f t="shared" si="211"/>
        <v>192527512.57534686</v>
      </c>
      <c r="I241" s="194">
        <f t="shared" si="211"/>
        <v>236715296.0951845</v>
      </c>
      <c r="J241" s="194">
        <f t="shared" si="211"/>
        <v>290405133.06091809</v>
      </c>
      <c r="K241" s="194">
        <f t="shared" si="211"/>
        <v>354064854.08684015</v>
      </c>
    </row>
    <row r="242" spans="3:11" x14ac:dyDescent="0.25">
      <c r="C242" s="17" t="s">
        <v>191</v>
      </c>
      <c r="D242" s="194">
        <f t="shared" ref="D242:K242" si="212">D34</f>
        <v>9297140</v>
      </c>
      <c r="E242" s="194">
        <f t="shared" si="212"/>
        <v>57009155</v>
      </c>
      <c r="F242" s="194">
        <f t="shared" si="212"/>
        <v>51248807</v>
      </c>
      <c r="G242" s="194">
        <f t="shared" si="212"/>
        <v>71393801.358180851</v>
      </c>
      <c r="H242" s="194">
        <f t="shared" si="212"/>
        <v>87970051.755302384</v>
      </c>
      <c r="I242" s="194">
        <f t="shared" si="212"/>
        <v>106886957.44354199</v>
      </c>
      <c r="J242" s="194">
        <f t="shared" si="212"/>
        <v>126735231.03652272</v>
      </c>
      <c r="K242" s="194">
        <f t="shared" si="212"/>
        <v>146988242.04620519</v>
      </c>
    </row>
    <row r="243" spans="3:11" x14ac:dyDescent="0.25">
      <c r="C243" s="17" t="s">
        <v>192</v>
      </c>
      <c r="D243" s="194"/>
      <c r="E243" s="197">
        <v>-16721284</v>
      </c>
      <c r="F243" s="197">
        <v>-35980842</v>
      </c>
      <c r="G243" s="194">
        <f>-AVERAGE(-$E$243/$E$34,-$F$243/$F$34)*G34</f>
        <v>-35532348.782834001</v>
      </c>
      <c r="H243" s="194">
        <f>-AVERAGE(-$E$243/$E$34,-$F$243/$F$34)*H34</f>
        <v>-43782268.235464759</v>
      </c>
      <c r="I243" s="194">
        <f>-AVERAGE(-$E$243/$E$34,-$F$243/$F$34)*I34</f>
        <v>-53197120.477808408</v>
      </c>
      <c r="J243" s="194">
        <f>-AVERAGE(-$E$243/$E$34,-$F$243/$F$34)*J34</f>
        <v>-63075510.010600694</v>
      </c>
      <c r="K243" s="194">
        <f>-AVERAGE(-$E$243/$E$34,-$F$243/$F$34)*K34</f>
        <v>-73155335.393314436</v>
      </c>
    </row>
    <row r="244" spans="3:11" x14ac:dyDescent="0.25">
      <c r="C244" s="17" t="s">
        <v>189</v>
      </c>
      <c r="D244" s="194">
        <f>D109</f>
        <v>117780537</v>
      </c>
      <c r="E244" s="194">
        <f t="shared" ref="E244:F244" si="213">E109</f>
        <v>149016821</v>
      </c>
      <c r="F244" s="194">
        <f t="shared" si="213"/>
        <v>156666060</v>
      </c>
      <c r="G244" s="194">
        <f>SUM(G241:G243)</f>
        <v>192527512.57534686</v>
      </c>
      <c r="H244" s="194">
        <f t="shared" ref="H244:K244" si="214">SUM(H241:H243)</f>
        <v>236715296.0951845</v>
      </c>
      <c r="I244" s="194">
        <f t="shared" si="214"/>
        <v>290405133.06091809</v>
      </c>
      <c r="J244" s="194">
        <f t="shared" si="214"/>
        <v>354064854.08684015</v>
      </c>
      <c r="K244" s="194">
        <f t="shared" si="214"/>
        <v>427897760.73973089</v>
      </c>
    </row>
    <row r="245" spans="3:11" x14ac:dyDescent="0.25">
      <c r="D245" s="194"/>
      <c r="E245" s="194"/>
      <c r="F245" s="194"/>
      <c r="G245" s="194"/>
      <c r="H245" s="194"/>
      <c r="I245" s="194"/>
      <c r="J245" s="194"/>
      <c r="K245" s="194"/>
    </row>
    <row r="246" spans="3:11" x14ac:dyDescent="0.25">
      <c r="C246" s="6" t="s">
        <v>41</v>
      </c>
      <c r="D246" s="1"/>
      <c r="E246" s="255">
        <f>-E236/E33</f>
        <v>0.44223102542951032</v>
      </c>
      <c r="F246" s="255">
        <f>-F236/F33</f>
        <v>0.41183348490685928</v>
      </c>
      <c r="G246" s="255">
        <v>0.68</v>
      </c>
      <c r="H246" s="255">
        <f>G246</f>
        <v>0.68</v>
      </c>
      <c r="I246" s="255">
        <f t="shared" ref="I246:K247" si="215">H246</f>
        <v>0.68</v>
      </c>
      <c r="J246" s="255">
        <f t="shared" si="215"/>
        <v>0.68</v>
      </c>
      <c r="K246" s="255">
        <f t="shared" si="215"/>
        <v>0.68</v>
      </c>
    </row>
    <row r="247" spans="3:11" x14ac:dyDescent="0.25">
      <c r="C247" s="6" t="s">
        <v>193</v>
      </c>
      <c r="D247" s="1">
        <f>D34/D32</f>
        <v>7.3378975615912435E-3</v>
      </c>
      <c r="E247" s="1">
        <f>E34/E32</f>
        <v>3.1101583244842898E-2</v>
      </c>
      <c r="F247" s="1">
        <f>F34/F32</f>
        <v>2.0861246169340823E-2</v>
      </c>
      <c r="G247" s="255">
        <f>AVERAGE(E247:F247)</f>
        <v>2.5981414707091859E-2</v>
      </c>
      <c r="H247" s="255">
        <f>G247</f>
        <v>2.5981414707091859E-2</v>
      </c>
      <c r="I247" s="255">
        <f t="shared" si="215"/>
        <v>2.5981414707091859E-2</v>
      </c>
      <c r="J247" s="255">
        <f t="shared" si="215"/>
        <v>2.5981414707091859E-2</v>
      </c>
      <c r="K247" s="255">
        <f t="shared" si="215"/>
        <v>2.5981414707091859E-2</v>
      </c>
    </row>
  </sheetData>
  <conditionalFormatting sqref="C48:C50">
    <cfRule type="expression" dxfId="2" priority="1">
      <formula>#REF!=$C48</formula>
    </cfRule>
  </conditionalFormatting>
  <pageMargins left="0.7" right="0.7" top="0.75" bottom="0.75" header="0.511811023622047" footer="0.511811023622047"/>
  <pageSetup orientation="portrait" horizontalDpi="300" verticalDpi="30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87BFB8B-B60E-497E-A730-4D15A5E1DAC7}">
  <dimension ref="B1:Q132"/>
  <sheetViews>
    <sheetView showGridLines="0" tabSelected="1" zoomScaleNormal="100" workbookViewId="0">
      <selection activeCell="D14" sqref="D14"/>
    </sheetView>
  </sheetViews>
  <sheetFormatPr defaultColWidth="9.140625" defaultRowHeight="15" x14ac:dyDescent="0.25"/>
  <cols>
    <col min="1" max="1" width="1.42578125" style="54" customWidth="1"/>
    <col min="2" max="2" width="54.42578125" style="54" customWidth="1"/>
    <col min="3" max="3" width="16.7109375" style="54" customWidth="1"/>
    <col min="4" max="4" width="15.5703125" style="54" bestFit="1" customWidth="1"/>
    <col min="5" max="9" width="16.42578125" style="54" customWidth="1"/>
    <col min="10" max="10" width="1.7109375" style="54" customWidth="1"/>
    <col min="11" max="11" width="12.140625" style="54" bestFit="1" customWidth="1"/>
    <col min="12" max="16" width="9.42578125" style="54" customWidth="1"/>
    <col min="17" max="16384" width="9.140625" style="54"/>
  </cols>
  <sheetData>
    <row r="1" spans="2:10" ht="15.75" thickBot="1" x14ac:dyDescent="0.3"/>
    <row r="2" spans="2:10" ht="15.75" thickBot="1" x14ac:dyDescent="0.3">
      <c r="B2" s="55" t="s">
        <v>49</v>
      </c>
      <c r="C2" s="56"/>
      <c r="D2" s="56"/>
      <c r="E2" s="56"/>
      <c r="F2" s="56"/>
      <c r="G2" s="56"/>
      <c r="H2" s="56"/>
      <c r="I2" s="56"/>
    </row>
    <row r="3" spans="2:10" x14ac:dyDescent="0.25">
      <c r="B3" s="193" t="str">
        <f>FSM!C3</f>
        <v>All amounts are shown in Egyptian pounds, except per-share data, ratios, and shares outstanding</v>
      </c>
    </row>
    <row r="4" spans="2:10" x14ac:dyDescent="0.25">
      <c r="B4" s="54" t="s">
        <v>50</v>
      </c>
      <c r="C4" s="58"/>
      <c r="D4" s="58">
        <v>46022</v>
      </c>
      <c r="F4" s="54" t="s">
        <v>51</v>
      </c>
      <c r="H4" s="59">
        <f>+WACC!E21</f>
        <v>0.23149630653388753</v>
      </c>
      <c r="I4" s="54" t="s">
        <v>52</v>
      </c>
    </row>
    <row r="5" spans="2:10" x14ac:dyDescent="0.25">
      <c r="B5" s="54" t="s">
        <v>53</v>
      </c>
      <c r="C5" s="60"/>
      <c r="D5" s="60">
        <f>EOMONTH(D4,12)</f>
        <v>46387</v>
      </c>
      <c r="F5" s="54" t="s">
        <v>54</v>
      </c>
      <c r="H5" s="161">
        <v>21.6</v>
      </c>
    </row>
    <row r="6" spans="2:10" x14ac:dyDescent="0.25">
      <c r="B6" s="54" t="s">
        <v>55</v>
      </c>
      <c r="C6" s="58"/>
      <c r="D6" s="58">
        <v>46022</v>
      </c>
      <c r="F6" s="54" t="s">
        <v>56</v>
      </c>
      <c r="H6" s="61">
        <v>46180</v>
      </c>
      <c r="J6" s="62"/>
    </row>
    <row r="7" spans="2:10" x14ac:dyDescent="0.25">
      <c r="B7" s="54" t="s">
        <v>57</v>
      </c>
      <c r="C7" s="58"/>
      <c r="D7" s="58">
        <v>46181</v>
      </c>
      <c r="E7" s="62"/>
      <c r="F7" s="229" t="s">
        <v>155</v>
      </c>
      <c r="G7" s="62"/>
      <c r="H7" s="161">
        <f ca="1">C73</f>
        <v>6.9962450673477932</v>
      </c>
    </row>
    <row r="8" spans="2:10" x14ac:dyDescent="0.25">
      <c r="B8" s="54" t="s">
        <v>58</v>
      </c>
      <c r="C8" s="141"/>
      <c r="D8" s="141">
        <f>YEARFRAC(D7,D5)</f>
        <v>0.56388888888888888</v>
      </c>
      <c r="F8" s="229" t="s">
        <v>156</v>
      </c>
      <c r="H8" s="221">
        <f ca="1">(H7-H5)/H5</f>
        <v>-0.67609976540056516</v>
      </c>
    </row>
    <row r="9" spans="2:10" x14ac:dyDescent="0.25">
      <c r="D9" s="64"/>
    </row>
    <row r="10" spans="2:10" x14ac:dyDescent="0.25">
      <c r="B10" s="65" t="s">
        <v>59</v>
      </c>
      <c r="C10" s="66"/>
      <c r="D10" s="67"/>
      <c r="F10" s="66"/>
      <c r="G10" s="66"/>
      <c r="H10" s="66"/>
      <c r="I10" s="66"/>
    </row>
    <row r="11" spans="2:10" ht="17.25" customHeight="1" x14ac:dyDescent="0.4">
      <c r="C11" s="68" t="s">
        <v>60</v>
      </c>
      <c r="D11" s="68" t="s">
        <v>61</v>
      </c>
      <c r="E11" s="69" t="s">
        <v>62</v>
      </c>
      <c r="F11" s="68"/>
      <c r="G11" s="68"/>
      <c r="H11" s="68"/>
      <c r="I11" s="68"/>
    </row>
    <row r="12" spans="2:10" x14ac:dyDescent="0.25">
      <c r="B12" s="70" t="s">
        <v>63</v>
      </c>
      <c r="C12" s="71">
        <f>D7</f>
        <v>46181</v>
      </c>
      <c r="D12" s="253">
        <f>D4</f>
        <v>46022</v>
      </c>
      <c r="E12" s="253">
        <f>EOMONTH(D12,12)</f>
        <v>46387</v>
      </c>
      <c r="F12" s="253">
        <f>EOMONTH(E12,12)</f>
        <v>46752</v>
      </c>
      <c r="G12" s="253">
        <f t="shared" ref="G12:I12" si="0">EOMONTH(F12,12)</f>
        <v>47118</v>
      </c>
      <c r="H12" s="253">
        <f t="shared" si="0"/>
        <v>47483</v>
      </c>
      <c r="I12" s="253">
        <f t="shared" si="0"/>
        <v>47848</v>
      </c>
    </row>
    <row r="13" spans="2:10" x14ac:dyDescent="0.25">
      <c r="B13" s="70"/>
      <c r="D13" s="184"/>
      <c r="E13" s="192"/>
      <c r="F13" s="192"/>
      <c r="G13" s="192"/>
      <c r="H13" s="192"/>
      <c r="I13" s="190"/>
    </row>
    <row r="14" spans="2:10" x14ac:dyDescent="0.25">
      <c r="B14" s="54" t="s">
        <v>64</v>
      </c>
      <c r="C14" s="162">
        <f>+E14*(1-$D$8)+D14*$D$8</f>
        <v>7591877262.2974167</v>
      </c>
      <c r="D14" s="185">
        <f>FSM!F16</f>
        <v>6773084743</v>
      </c>
      <c r="E14" s="185">
        <f>FSM!G16</f>
        <v>8650570774.5100002</v>
      </c>
      <c r="F14" s="185">
        <f>FSM!H16</f>
        <v>10804847473.887901</v>
      </c>
      <c r="G14" s="185">
        <f>FSM!I16</f>
        <v>13193920125.57682</v>
      </c>
      <c r="H14" s="185">
        <f>FSM!J16</f>
        <v>15599691688.378994</v>
      </c>
      <c r="I14" s="185">
        <f>FSM!K16</f>
        <v>17927936014.026058</v>
      </c>
    </row>
    <row r="15" spans="2:10" x14ac:dyDescent="0.25">
      <c r="B15" s="74" t="s">
        <v>42</v>
      </c>
      <c r="D15" s="186"/>
      <c r="E15" s="186">
        <f>E14/D14-1</f>
        <v>0.27719807189041701</v>
      </c>
      <c r="F15" s="186">
        <f t="shared" ref="F15:I15" si="1">F14/E14-1</f>
        <v>0.24903289684950614</v>
      </c>
      <c r="G15" s="186">
        <f t="shared" si="1"/>
        <v>0.22111118712805489</v>
      </c>
      <c r="H15" s="186">
        <f t="shared" si="1"/>
        <v>0.18233940632538093</v>
      </c>
      <c r="I15" s="186">
        <f t="shared" si="1"/>
        <v>0.14924938083112838</v>
      </c>
    </row>
    <row r="16" spans="2:10" x14ac:dyDescent="0.25">
      <c r="B16" s="54" t="s">
        <v>25</v>
      </c>
      <c r="C16" s="162">
        <f>+E16*(1-$D$8)+D16*$D$8</f>
        <v>3051579673.7655382</v>
      </c>
      <c r="D16" s="185">
        <f>FSM!F36</f>
        <v>2802201304</v>
      </c>
      <c r="E16" s="185">
        <f>FSM!G36</f>
        <v>3374024317.4751196</v>
      </c>
      <c r="F16" s="185">
        <f>FSM!H36</f>
        <v>4214267367.296628</v>
      </c>
      <c r="G16" s="185">
        <f>FSM!I36</f>
        <v>5146089027.7546062</v>
      </c>
      <c r="H16" s="185">
        <f>FSM!J36</f>
        <v>6084423845.9729404</v>
      </c>
      <c r="I16" s="185">
        <f>FSM!K36</f>
        <v>6992520337.6985531</v>
      </c>
    </row>
    <row r="17" spans="2:13" x14ac:dyDescent="0.25">
      <c r="B17" s="74" t="s">
        <v>65</v>
      </c>
      <c r="D17" s="186">
        <f>D16/D14</f>
        <v>0.41372600673512644</v>
      </c>
      <c r="E17" s="186">
        <f>E16/E14</f>
        <v>0.39003487809349052</v>
      </c>
      <c r="F17" s="186">
        <f t="shared" ref="F17:I17" si="2">F16/F14</f>
        <v>0.39003487809349063</v>
      </c>
      <c r="G17" s="186">
        <f t="shared" si="2"/>
        <v>0.39003487809349052</v>
      </c>
      <c r="H17" s="186">
        <f t="shared" si="2"/>
        <v>0.39003487809349069</v>
      </c>
      <c r="I17" s="186">
        <f t="shared" si="2"/>
        <v>0.39003487809349058</v>
      </c>
    </row>
    <row r="18" spans="2:13" x14ac:dyDescent="0.25">
      <c r="B18" s="54" t="s">
        <v>66</v>
      </c>
      <c r="C18" s="162">
        <f>+E18*(1-$D$8)+D18*$D$8</f>
        <v>2744909848.269537</v>
      </c>
      <c r="D18" s="185">
        <f>FSM!F25</f>
        <v>2538650585</v>
      </c>
      <c r="E18" s="185">
        <f>FSM!G25</f>
        <v>3011601761.9237795</v>
      </c>
      <c r="F18" s="185">
        <f>FSM!H25</f>
        <v>3761589672.852736</v>
      </c>
      <c r="G18" s="185">
        <f>FSM!I25</f>
        <v>4593319230.9058352</v>
      </c>
      <c r="H18" s="185">
        <f>FSM!J25</f>
        <v>5430862332.5321627</v>
      </c>
      <c r="I18" s="185">
        <f>FSM!K25</f>
        <v>6241415173.0416842</v>
      </c>
    </row>
    <row r="19" spans="2:13" x14ac:dyDescent="0.25">
      <c r="B19" s="74" t="s">
        <v>65</v>
      </c>
      <c r="D19" s="186">
        <f>D18/D14</f>
        <v>0.37481453153582667</v>
      </c>
      <c r="E19" s="186">
        <f>E18/E14</f>
        <v>0.34813908127286175</v>
      </c>
      <c r="F19" s="186">
        <f t="shared" ref="F19:I19" si="3">F18/F14</f>
        <v>0.34813908127286186</v>
      </c>
      <c r="G19" s="186">
        <f t="shared" si="3"/>
        <v>0.34813908127286175</v>
      </c>
      <c r="H19" s="186">
        <f t="shared" si="3"/>
        <v>0.34813908127286186</v>
      </c>
      <c r="I19" s="186">
        <f t="shared" si="3"/>
        <v>0.34813908127286181</v>
      </c>
    </row>
    <row r="20" spans="2:13" x14ac:dyDescent="0.25">
      <c r="B20" s="74"/>
      <c r="D20" s="185"/>
      <c r="E20" s="185"/>
      <c r="F20" s="185"/>
      <c r="G20" s="185"/>
      <c r="H20" s="185"/>
      <c r="I20" s="191"/>
    </row>
    <row r="21" spans="2:13" x14ac:dyDescent="0.25">
      <c r="B21" s="54" t="s">
        <v>67</v>
      </c>
      <c r="D21" s="187">
        <f>D18*D22</f>
        <v>710483073.1157918</v>
      </c>
      <c r="E21" s="187">
        <f t="shared" ref="E21:I21" si="4">E18*E22</f>
        <v>677610396.43285036</v>
      </c>
      <c r="F21" s="187">
        <f t="shared" si="4"/>
        <v>846357676.39186561</v>
      </c>
      <c r="G21" s="187">
        <f t="shared" si="4"/>
        <v>1033496826.953813</v>
      </c>
      <c r="H21" s="187">
        <f t="shared" si="4"/>
        <v>1221944024.8197367</v>
      </c>
      <c r="I21" s="187">
        <f t="shared" si="4"/>
        <v>1404318413.9343789</v>
      </c>
    </row>
    <row r="22" spans="2:13" ht="15" customHeight="1" x14ac:dyDescent="0.25">
      <c r="B22" s="74" t="s">
        <v>27</v>
      </c>
      <c r="D22" s="188">
        <f>FSM!F51</f>
        <v>0.27986642876880663</v>
      </c>
      <c r="E22" s="188">
        <f>FSM!G51</f>
        <v>0.22500000000000001</v>
      </c>
      <c r="F22" s="188">
        <f>FSM!H51</f>
        <v>0.22500000000000001</v>
      </c>
      <c r="G22" s="188">
        <f>FSM!I51</f>
        <v>0.22500000000000001</v>
      </c>
      <c r="H22" s="188">
        <f>FSM!J51</f>
        <v>0.22500000000000001</v>
      </c>
      <c r="I22" s="188">
        <f>FSM!K51</f>
        <v>0.22500000000000001</v>
      </c>
    </row>
    <row r="23" spans="2:13" x14ac:dyDescent="0.25">
      <c r="B23" s="75" t="s">
        <v>68</v>
      </c>
      <c r="C23" s="75"/>
      <c r="D23" s="189">
        <f>D18*(1-D22)</f>
        <v>1828167511.8842082</v>
      </c>
      <c r="E23" s="189">
        <f t="shared" ref="E23:I23" si="5">E18*(1-E22)</f>
        <v>2333991365.4909291</v>
      </c>
      <c r="F23" s="189">
        <f t="shared" si="5"/>
        <v>2915231996.4608703</v>
      </c>
      <c r="G23" s="189">
        <f t="shared" si="5"/>
        <v>3559822403.9520226</v>
      </c>
      <c r="H23" s="189">
        <f t="shared" si="5"/>
        <v>4208918307.7124262</v>
      </c>
      <c r="I23" s="189">
        <f t="shared" si="5"/>
        <v>4837096759.1073055</v>
      </c>
    </row>
    <row r="24" spans="2:13" x14ac:dyDescent="0.25">
      <c r="D24" s="72"/>
      <c r="E24" s="72"/>
      <c r="F24" s="72"/>
      <c r="G24" s="72"/>
      <c r="H24" s="72"/>
      <c r="I24" s="72"/>
    </row>
    <row r="25" spans="2:13" x14ac:dyDescent="0.25">
      <c r="B25" s="54" t="s">
        <v>24</v>
      </c>
      <c r="D25" s="73">
        <f>FSM!D164</f>
        <v>158720980</v>
      </c>
      <c r="E25" s="73">
        <f>FSM!E164</f>
        <v>239966711</v>
      </c>
      <c r="F25" s="73">
        <f>FSM!F164</f>
        <v>263550719</v>
      </c>
      <c r="G25" s="73">
        <f>FSM!G164</f>
        <v>362422555.55134034</v>
      </c>
      <c r="H25" s="73">
        <f>FSM!H164</f>
        <v>452677694.44389176</v>
      </c>
      <c r="I25" s="73">
        <f>FSM!I164</f>
        <v>552769796.84877157</v>
      </c>
      <c r="M25" s="77"/>
    </row>
    <row r="26" spans="2:13" x14ac:dyDescent="0.25">
      <c r="B26" s="54" t="s">
        <v>69</v>
      </c>
      <c r="D26" s="72"/>
      <c r="E26" s="72">
        <f>D32-E32</f>
        <v>-581767346.67466593</v>
      </c>
      <c r="F26" s="72">
        <f t="shared" ref="F26:I26" si="6">E32-F32</f>
        <v>-667535107.24772882</v>
      </c>
      <c r="G26" s="72">
        <f t="shared" si="6"/>
        <v>-740290172.20875549</v>
      </c>
      <c r="H26" s="72">
        <f t="shared" si="6"/>
        <v>-745464581.52401447</v>
      </c>
      <c r="I26" s="72">
        <f t="shared" si="6"/>
        <v>-721441598.50428486</v>
      </c>
      <c r="M26" s="77"/>
    </row>
    <row r="27" spans="2:13" x14ac:dyDescent="0.25">
      <c r="B27" s="54" t="s">
        <v>70</v>
      </c>
      <c r="D27" s="73"/>
      <c r="E27" s="73">
        <f>FSM!G132</f>
        <v>-783455622.53389204</v>
      </c>
      <c r="F27" s="73">
        <f>FSM!H132</f>
        <v>-870513371.02766132</v>
      </c>
      <c r="G27" s="73">
        <f>FSM!I132</f>
        <v>-931054414.65066421</v>
      </c>
      <c r="H27" s="73">
        <f>FSM!J132</f>
        <v>-944825406.99090147</v>
      </c>
      <c r="I27" s="73">
        <f>FSM!K132</f>
        <v>-906560653.83755159</v>
      </c>
      <c r="M27" s="77"/>
    </row>
    <row r="28" spans="2:13" x14ac:dyDescent="0.25">
      <c r="B28" s="74" t="s">
        <v>39</v>
      </c>
      <c r="D28" s="1"/>
      <c r="E28" s="1">
        <f>E27/E14</f>
        <v>-9.0566928235815719E-2</v>
      </c>
      <c r="F28" s="1">
        <f t="shared" ref="F28:I28" si="7">F27/F14</f>
        <v>-8.0566928235815724E-2</v>
      </c>
      <c r="G28" s="1">
        <f t="shared" si="7"/>
        <v>-7.0566928235815715E-2</v>
      </c>
      <c r="H28" s="1">
        <f t="shared" si="7"/>
        <v>-6.056692823581572E-2</v>
      </c>
      <c r="I28" s="1">
        <f t="shared" si="7"/>
        <v>-5.0566928235815704E-2</v>
      </c>
      <c r="M28" s="77"/>
    </row>
    <row r="29" spans="2:13" x14ac:dyDescent="0.25">
      <c r="B29" s="229"/>
      <c r="D29" s="73"/>
      <c r="E29" s="73"/>
      <c r="F29" s="73"/>
      <c r="G29" s="73"/>
      <c r="H29" s="73"/>
      <c r="I29" s="73"/>
      <c r="M29" s="77"/>
    </row>
    <row r="30" spans="2:13" x14ac:dyDescent="0.25">
      <c r="B30" s="75" t="s">
        <v>71</v>
      </c>
      <c r="C30" s="75"/>
      <c r="D30" s="76"/>
      <c r="E30" s="76">
        <f>E23+E25+E26+E27</f>
        <v>1208735107.282371</v>
      </c>
      <c r="F30" s="76">
        <f t="shared" ref="F30:I30" si="8">F23+F25+F26+F27</f>
        <v>1640734237.1854801</v>
      </c>
      <c r="G30" s="76">
        <f t="shared" si="8"/>
        <v>2250900372.6439428</v>
      </c>
      <c r="H30" s="76">
        <f t="shared" si="8"/>
        <v>2971306013.6414018</v>
      </c>
      <c r="I30" s="76">
        <f t="shared" si="8"/>
        <v>3761864303.6142411</v>
      </c>
      <c r="M30" s="76"/>
    </row>
    <row r="31" spans="2:13" x14ac:dyDescent="0.25">
      <c r="D31" s="73"/>
      <c r="E31" s="73"/>
      <c r="F31" s="73"/>
      <c r="G31" s="73"/>
      <c r="H31" s="73"/>
      <c r="I31" s="73"/>
      <c r="M31" s="77"/>
    </row>
    <row r="32" spans="2:13" x14ac:dyDescent="0.25">
      <c r="B32" s="54" t="s">
        <v>72</v>
      </c>
      <c r="C32" s="73"/>
      <c r="D32" s="73">
        <f>FSM!F206</f>
        <v>2098742400</v>
      </c>
      <c r="E32" s="73">
        <f>FSM!G206</f>
        <v>2680509746.6746659</v>
      </c>
      <c r="F32" s="73">
        <f>FSM!H206</f>
        <v>3348044853.9223948</v>
      </c>
      <c r="G32" s="73">
        <f>FSM!I206</f>
        <v>4088335026.1311502</v>
      </c>
      <c r="H32" s="73">
        <f>FSM!J206</f>
        <v>4833799607.6551647</v>
      </c>
      <c r="I32" s="73">
        <f>FSM!K206</f>
        <v>5555241206.1594496</v>
      </c>
    </row>
    <row r="33" spans="2:13" x14ac:dyDescent="0.25">
      <c r="B33" s="74" t="s">
        <v>39</v>
      </c>
      <c r="D33" s="63">
        <f>D32/D14</f>
        <v>0.30986507324731993</v>
      </c>
      <c r="E33" s="63">
        <f t="shared" ref="E33:I33" si="9">E32/E14</f>
        <v>0.30986507324731988</v>
      </c>
      <c r="F33" s="63">
        <f t="shared" si="9"/>
        <v>0.30986507324731999</v>
      </c>
      <c r="G33" s="63">
        <f t="shared" si="9"/>
        <v>0.30986507324731993</v>
      </c>
      <c r="H33" s="63">
        <f t="shared" si="9"/>
        <v>0.30986507324731993</v>
      </c>
      <c r="I33" s="63">
        <f t="shared" si="9"/>
        <v>0.30986507324731993</v>
      </c>
      <c r="J33" s="73"/>
    </row>
    <row r="34" spans="2:13" x14ac:dyDescent="0.25">
      <c r="D34"/>
      <c r="E34" s="63"/>
      <c r="F34" s="63"/>
      <c r="G34" s="63"/>
      <c r="H34" s="63"/>
      <c r="I34" s="63"/>
      <c r="J34" s="73"/>
      <c r="K34" s="78"/>
      <c r="M34" s="63"/>
    </row>
    <row r="35" spans="2:13" x14ac:dyDescent="0.25">
      <c r="B35" s="65" t="str">
        <f>"Present value of UFCF on "&amp;TEXT(D7,"mmm dd, yyyy")&amp;" valuation date"</f>
        <v>Present value of UFCF on Jun 08, 2026 valuation date</v>
      </c>
      <c r="C35" s="66"/>
      <c r="D35" s="79"/>
      <c r="E35" s="66"/>
      <c r="F35" s="79"/>
      <c r="G35" s="79"/>
      <c r="H35" s="79"/>
      <c r="I35" s="79"/>
      <c r="J35" s="73"/>
    </row>
    <row r="36" spans="2:13" ht="17.25" x14ac:dyDescent="0.4">
      <c r="B36" s="75"/>
      <c r="D36" s="80" t="s">
        <v>73</v>
      </c>
      <c r="E36" s="80" t="s">
        <v>74</v>
      </c>
      <c r="F36" s="81" t="s">
        <v>75</v>
      </c>
      <c r="G36" s="81" t="s">
        <v>76</v>
      </c>
      <c r="H36" s="81" t="s">
        <v>77</v>
      </c>
      <c r="I36" s="81" t="s">
        <v>78</v>
      </c>
      <c r="J36" s="73"/>
    </row>
    <row r="37" spans="2:13" x14ac:dyDescent="0.25">
      <c r="B37" s="54" t="s">
        <v>79</v>
      </c>
      <c r="D37" s="82">
        <f>D7</f>
        <v>46181</v>
      </c>
      <c r="E37" s="163">
        <f ca="1">IF($H$7=1,AVERAGE(E12,D37),E12)</f>
        <v>46387</v>
      </c>
      <c r="F37" s="163">
        <f ca="1">IF($H$7=1,AVERAGE(F12,E12),F12)</f>
        <v>46752</v>
      </c>
      <c r="G37" s="163">
        <f ca="1">IF($H$7=1,AVERAGE(G12,F12),G12)</f>
        <v>47118</v>
      </c>
      <c r="H37" s="163">
        <f ca="1">IF($H$7=1,AVERAGE(H12,G12),H12)</f>
        <v>47483</v>
      </c>
      <c r="I37" s="163">
        <f ca="1">IF($H$7=1,AVERAGE(I12,H12),I12)</f>
        <v>47848</v>
      </c>
      <c r="J37" s="73"/>
    </row>
    <row r="38" spans="2:13" x14ac:dyDescent="0.25">
      <c r="B38" s="54" t="s">
        <v>80</v>
      </c>
      <c r="C38" s="83">
        <f>D8</f>
        <v>0.56388888888888888</v>
      </c>
      <c r="D38" s="77"/>
      <c r="E38" s="84">
        <f>E30*C38</f>
        <v>681592296.60644805</v>
      </c>
      <c r="F38" s="84">
        <f>F30</f>
        <v>1640734237.1854801</v>
      </c>
      <c r="G38" s="84">
        <f t="shared" ref="G38:I38" si="10">G30</f>
        <v>2250900372.6439428</v>
      </c>
      <c r="H38" s="84">
        <f t="shared" si="10"/>
        <v>2971306013.6414018</v>
      </c>
      <c r="I38" s="84">
        <f t="shared" si="10"/>
        <v>3761864303.6142411</v>
      </c>
      <c r="J38" s="72"/>
    </row>
    <row r="39" spans="2:13" ht="15" customHeight="1" x14ac:dyDescent="0.25">
      <c r="B39" s="75" t="s">
        <v>81</v>
      </c>
      <c r="C39" s="85"/>
      <c r="D39" s="76"/>
      <c r="E39" s="76">
        <f ca="1">E38/(1+$H$4)^((E37-$D$37)/365)</f>
        <v>606018260.63538349</v>
      </c>
      <c r="F39" s="76">
        <f t="shared" ref="F39:I39" ca="1" si="11">F38/(1+$H$4)^((F37-$D$37)/365)</f>
        <v>1184584823.1506555</v>
      </c>
      <c r="G39" s="76">
        <f t="shared" ca="1" si="11"/>
        <v>1318874043.3571134</v>
      </c>
      <c r="H39" s="76">
        <f t="shared" ca="1" si="11"/>
        <v>1413713210.2811522</v>
      </c>
      <c r="I39" s="76">
        <f t="shared" ca="1" si="11"/>
        <v>1453395952.6705914</v>
      </c>
      <c r="J39" s="72"/>
    </row>
    <row r="41" spans="2:13" x14ac:dyDescent="0.25">
      <c r="B41" s="65" t="s">
        <v>82</v>
      </c>
      <c r="C41" s="65"/>
      <c r="E41" s="65" t="s">
        <v>83</v>
      </c>
      <c r="F41" s="66"/>
      <c r="G41" s="66"/>
      <c r="H41" s="66"/>
      <c r="I41" s="66"/>
    </row>
    <row r="42" spans="2:13" x14ac:dyDescent="0.25">
      <c r="B42" s="54" t="s">
        <v>84</v>
      </c>
      <c r="C42" s="86">
        <v>0.1</v>
      </c>
      <c r="E42" s="54" t="s">
        <v>85</v>
      </c>
      <c r="I42" s="77">
        <f>I16</f>
        <v>6992520337.6985531</v>
      </c>
      <c r="J42" s="77"/>
    </row>
    <row r="43" spans="2:13" x14ac:dyDescent="0.25">
      <c r="B43" s="87" t="str">
        <f>YEAR(I12)&amp;" FCF x (1+g)"</f>
        <v>2030 FCF x (1+g)</v>
      </c>
      <c r="C43" s="77">
        <f>I38*(1+C42)</f>
        <v>4138050733.9756656</v>
      </c>
      <c r="E43" s="54" t="s">
        <v>86</v>
      </c>
      <c r="I43" s="88">
        <v>8</v>
      </c>
      <c r="J43" s="88"/>
    </row>
    <row r="44" spans="2:13" x14ac:dyDescent="0.25">
      <c r="B44" s="54" t="str">
        <f>"Terminal value in "&amp;YEAR(I12)</f>
        <v>Terminal value in 2030</v>
      </c>
      <c r="C44" s="77">
        <f>C43/(H4-C42)</f>
        <v>31468950292.602028</v>
      </c>
      <c r="E44" s="54" t="str">
        <f>"Terminal value in "&amp;YEAR(I12)</f>
        <v>Terminal value in 2030</v>
      </c>
      <c r="I44" s="77">
        <f>I42*I43</f>
        <v>55940162701.588425</v>
      </c>
      <c r="J44" s="77"/>
    </row>
    <row r="45" spans="2:13" x14ac:dyDescent="0.25">
      <c r="B45" s="54" t="s">
        <v>87</v>
      </c>
      <c r="C45" s="77">
        <f ca="1">C44/(1+H4)^((I37-$D$37)/365)</f>
        <v>12158026260.042866</v>
      </c>
      <c r="E45" s="54" t="s">
        <v>87</v>
      </c>
      <c r="I45" s="77">
        <f ca="1">I44/(1+H4)^((I37-D37)/365)</f>
        <v>21612477085.925266</v>
      </c>
      <c r="J45" s="77"/>
    </row>
    <row r="46" spans="2:13" x14ac:dyDescent="0.25">
      <c r="B46" s="54" t="s">
        <v>88</v>
      </c>
      <c r="C46" s="72">
        <f ca="1">SUM(E39:I39)</f>
        <v>5976586290.0948963</v>
      </c>
      <c r="E46" s="54" t="s">
        <v>88</v>
      </c>
      <c r="I46" s="77">
        <f ca="1">C46</f>
        <v>5976586290.0948963</v>
      </c>
      <c r="J46" s="77"/>
    </row>
    <row r="47" spans="2:13" x14ac:dyDescent="0.25">
      <c r="B47" s="75" t="s">
        <v>89</v>
      </c>
      <c r="C47" s="89">
        <f ca="1">C45+C46</f>
        <v>18134612550.137764</v>
      </c>
      <c r="E47" s="75" t="s">
        <v>90</v>
      </c>
      <c r="I47" s="89">
        <f ca="1">I45+I46</f>
        <v>27589063376.020164</v>
      </c>
      <c r="J47" s="89"/>
    </row>
    <row r="49" spans="2:10" x14ac:dyDescent="0.25">
      <c r="B49" s="90" t="s">
        <v>91</v>
      </c>
      <c r="C49" s="91">
        <f ca="1">C45/C47</f>
        <v>0.67043209367880896</v>
      </c>
      <c r="E49" s="90" t="s">
        <v>91</v>
      </c>
      <c r="I49" s="91">
        <f ca="1">I45/I47</f>
        <v>0.78337117833113457</v>
      </c>
      <c r="J49" s="91"/>
    </row>
    <row r="50" spans="2:10" x14ac:dyDescent="0.25">
      <c r="B50" s="90" t="s">
        <v>92</v>
      </c>
      <c r="C50" s="91">
        <f ca="1">1-C49</f>
        <v>0.32956790632119104</v>
      </c>
      <c r="E50" s="90" t="s">
        <v>93</v>
      </c>
      <c r="G50" s="92"/>
      <c r="I50" s="93">
        <f ca="1">1-I49</f>
        <v>0.21662882166886543</v>
      </c>
      <c r="J50" s="93"/>
    </row>
    <row r="51" spans="2:10" x14ac:dyDescent="0.25">
      <c r="B51" s="90" t="s">
        <v>94</v>
      </c>
      <c r="C51" s="94">
        <f ca="1">C45/I16</f>
        <v>1.738718755595988</v>
      </c>
      <c r="E51" s="54" t="s">
        <v>95</v>
      </c>
      <c r="I51" s="234">
        <f>(H4-I38/I44)/(1+I38/I44)</f>
        <v>0.15389890778595389</v>
      </c>
      <c r="J51" s="95"/>
    </row>
    <row r="52" spans="2:10" x14ac:dyDescent="0.25">
      <c r="B52" s="90"/>
      <c r="C52" s="70"/>
      <c r="D52" s="94"/>
      <c r="I52" s="95"/>
      <c r="J52" s="95"/>
    </row>
    <row r="53" spans="2:10" x14ac:dyDescent="0.25">
      <c r="B53" s="65" t="s">
        <v>96</v>
      </c>
      <c r="C53" s="66"/>
      <c r="E53" s="65" t="s">
        <v>31</v>
      </c>
      <c r="F53" s="66"/>
      <c r="G53" s="65"/>
      <c r="H53" s="66"/>
      <c r="I53" s="66"/>
    </row>
    <row r="54" spans="2:10" x14ac:dyDescent="0.25">
      <c r="B54" s="54" t="s">
        <v>97</v>
      </c>
      <c r="C54" s="200" t="s">
        <v>210</v>
      </c>
    </row>
    <row r="55" spans="2:10" x14ac:dyDescent="0.25">
      <c r="B55" s="96" t="s">
        <v>98</v>
      </c>
      <c r="C55" s="61" t="s">
        <v>211</v>
      </c>
      <c r="G55" s="97" t="s">
        <v>97</v>
      </c>
      <c r="H55" s="98" t="s">
        <v>99</v>
      </c>
      <c r="I55" s="98" t="s">
        <v>100</v>
      </c>
    </row>
    <row r="56" spans="2:10" x14ac:dyDescent="0.25">
      <c r="B56" s="99" t="s">
        <v>101</v>
      </c>
      <c r="C56" s="100"/>
      <c r="E56" s="54" t="s">
        <v>102</v>
      </c>
      <c r="G56" s="201" t="s">
        <v>269</v>
      </c>
      <c r="H56" s="61" t="s">
        <v>211</v>
      </c>
      <c r="I56" s="198">
        <v>3466666667</v>
      </c>
      <c r="J56" s="101"/>
    </row>
    <row r="57" spans="2:10" x14ac:dyDescent="0.25">
      <c r="B57" s="74" t="s">
        <v>103</v>
      </c>
      <c r="C57" s="103">
        <f>FSM!F216</f>
        <v>112248966</v>
      </c>
      <c r="E57" s="96" t="s">
        <v>104</v>
      </c>
      <c r="G57" s="201"/>
      <c r="H57" s="61"/>
      <c r="I57" s="198"/>
      <c r="J57" s="102"/>
    </row>
    <row r="58" spans="2:10" x14ac:dyDescent="0.25">
      <c r="B58" s="74" t="s">
        <v>105</v>
      </c>
      <c r="C58" s="103"/>
      <c r="E58" s="96" t="s">
        <v>106</v>
      </c>
      <c r="G58" s="61"/>
      <c r="H58" s="61"/>
      <c r="I58" s="104"/>
    </row>
    <row r="59" spans="2:10" ht="15" customHeight="1" x14ac:dyDescent="0.25">
      <c r="B59" s="74" t="s">
        <v>107</v>
      </c>
      <c r="C59" s="103"/>
      <c r="E59" s="54" t="s">
        <v>105</v>
      </c>
      <c r="G59" s="61"/>
      <c r="H59" s="61"/>
      <c r="I59" s="104"/>
    </row>
    <row r="60" spans="2:10" x14ac:dyDescent="0.25">
      <c r="B60" s="105" t="s">
        <v>108</v>
      </c>
      <c r="C60" s="103">
        <f>FSM!F244</f>
        <v>156666060</v>
      </c>
      <c r="E60" s="54" t="s">
        <v>109</v>
      </c>
      <c r="G60" s="61"/>
      <c r="H60" s="61"/>
      <c r="I60" s="104"/>
    </row>
    <row r="61" spans="2:10" ht="15" customHeight="1" x14ac:dyDescent="0.25">
      <c r="B61" s="99" t="s">
        <v>110</v>
      </c>
      <c r="C61" s="103"/>
      <c r="E61" s="106" t="s">
        <v>111</v>
      </c>
      <c r="I61" s="199">
        <f>SUM(I56:I60)</f>
        <v>3466666667</v>
      </c>
      <c r="J61" s="107"/>
    </row>
    <row r="62" spans="2:10" x14ac:dyDescent="0.25">
      <c r="B62" s="108" t="s">
        <v>112</v>
      </c>
      <c r="C62" s="103">
        <f>FSM!F66</f>
        <v>1382001641</v>
      </c>
      <c r="J62" s="109"/>
    </row>
    <row r="63" spans="2:10" x14ac:dyDescent="0.25">
      <c r="B63" s="108" t="s">
        <v>113</v>
      </c>
      <c r="C63" s="103">
        <f>FSM!F64+FSM!F65+FSM!F73+FSM!F74</f>
        <v>5005950404</v>
      </c>
      <c r="J63" s="109"/>
    </row>
    <row r="64" spans="2:10" x14ac:dyDescent="0.25">
      <c r="B64" s="108" t="s">
        <v>194</v>
      </c>
      <c r="C64" s="103">
        <v>0</v>
      </c>
      <c r="J64" s="110"/>
    </row>
    <row r="65" spans="2:6" x14ac:dyDescent="0.25">
      <c r="B65" s="111" t="s">
        <v>96</v>
      </c>
      <c r="C65" s="14">
        <f>SUM(C57:C60)-SUM(C62:C64)</f>
        <v>-6119037019</v>
      </c>
    </row>
    <row r="67" spans="2:6" x14ac:dyDescent="0.25">
      <c r="B67" s="65" t="s">
        <v>114</v>
      </c>
      <c r="C67" s="66"/>
      <c r="D67" s="66"/>
    </row>
    <row r="68" spans="2:6" ht="17.25" x14ac:dyDescent="0.4">
      <c r="C68" s="112" t="s">
        <v>115</v>
      </c>
      <c r="D68" s="112" t="s">
        <v>25</v>
      </c>
    </row>
    <row r="69" spans="2:6" x14ac:dyDescent="0.25">
      <c r="B69" s="54" t="s">
        <v>116</v>
      </c>
      <c r="C69" s="113">
        <f ca="1">C47</f>
        <v>18134612550.137764</v>
      </c>
      <c r="D69" s="113">
        <f ca="1">I47</f>
        <v>27589063376.020164</v>
      </c>
    </row>
    <row r="70" spans="2:6" x14ac:dyDescent="0.25">
      <c r="B70" s="54" t="s">
        <v>96</v>
      </c>
      <c r="C70" s="114">
        <f>C65</f>
        <v>-6119037019</v>
      </c>
      <c r="D70" s="114">
        <f>C65</f>
        <v>-6119037019</v>
      </c>
    </row>
    <row r="71" spans="2:6" x14ac:dyDescent="0.25">
      <c r="B71" s="54" t="s">
        <v>117</v>
      </c>
      <c r="C71" s="115">
        <f ca="1">C69-C70</f>
        <v>24253649569.137764</v>
      </c>
      <c r="D71" s="115">
        <f ca="1">D69-D70</f>
        <v>33708100395.020164</v>
      </c>
    </row>
    <row r="72" spans="2:6" x14ac:dyDescent="0.25">
      <c r="B72" s="54" t="s">
        <v>31</v>
      </c>
      <c r="C72" s="230">
        <f>$I$61</f>
        <v>3466666667</v>
      </c>
      <c r="D72" s="230">
        <f t="shared" ref="D72" si="12">$I$61</f>
        <v>3466666667</v>
      </c>
    </row>
    <row r="73" spans="2:6" x14ac:dyDescent="0.25">
      <c r="B73" s="75" t="s">
        <v>118</v>
      </c>
      <c r="C73" s="235">
        <f ca="1">C71/C72</f>
        <v>6.9962450673477932</v>
      </c>
      <c r="D73" s="235">
        <f t="shared" ref="D73" ca="1" si="13">D71/D72</f>
        <v>9.7234904976285588</v>
      </c>
    </row>
    <row r="75" spans="2:6" ht="17.25" x14ac:dyDescent="0.4">
      <c r="C75" s="68" t="s">
        <v>119</v>
      </c>
      <c r="D75" s="68"/>
    </row>
    <row r="76" spans="2:6" x14ac:dyDescent="0.25">
      <c r="B76" s="97"/>
      <c r="C76" s="98" t="s">
        <v>115</v>
      </c>
      <c r="D76" s="98" t="s">
        <v>25</v>
      </c>
    </row>
    <row r="77" spans="2:6" x14ac:dyDescent="0.25">
      <c r="B77" s="54" t="s">
        <v>120</v>
      </c>
      <c r="C77" s="262">
        <f ca="1">C69/$C$14</f>
        <v>2.3886862133819529</v>
      </c>
      <c r="D77" s="262">
        <f ca="1">D69/$C$14</f>
        <v>3.6340238945948524</v>
      </c>
    </row>
    <row r="78" spans="2:6" x14ac:dyDescent="0.25">
      <c r="B78" s="54" t="s">
        <v>121</v>
      </c>
      <c r="C78" s="263">
        <f ca="1">C69/$C$16</f>
        <v>5.9426967304970653</v>
      </c>
      <c r="D78" s="263">
        <f ca="1">D69/$C$16</f>
        <v>9.0409120276962209</v>
      </c>
    </row>
    <row r="79" spans="2:6" x14ac:dyDescent="0.25">
      <c r="B79" s="72" t="s">
        <v>122</v>
      </c>
      <c r="C79" s="263">
        <f ca="1">C69/$C$18</f>
        <v>6.6066332056662258</v>
      </c>
      <c r="D79" s="263">
        <f ca="1">D69/$C$18</f>
        <v>10.050990706821585</v>
      </c>
    </row>
    <row r="80" spans="2:6" ht="17.25" x14ac:dyDescent="0.4">
      <c r="B80" s="72"/>
      <c r="C80" s="68" t="s">
        <v>123</v>
      </c>
      <c r="D80" s="68"/>
      <c r="E80" s="116"/>
      <c r="F80" s="116"/>
    </row>
    <row r="81" spans="2:17" x14ac:dyDescent="0.25">
      <c r="B81" s="97"/>
      <c r="C81" s="98" t="s">
        <v>115</v>
      </c>
      <c r="D81" s="98" t="s">
        <v>25</v>
      </c>
      <c r="E81" s="116"/>
      <c r="F81" s="116"/>
    </row>
    <row r="82" spans="2:17" x14ac:dyDescent="0.25">
      <c r="B82" s="54" t="s">
        <v>120</v>
      </c>
      <c r="C82" s="262">
        <f ca="1">C69/$E$14</f>
        <v>2.0963486714164214</v>
      </c>
      <c r="D82" s="262">
        <f ca="1">D69/$E$14</f>
        <v>3.1892766495032703</v>
      </c>
      <c r="E82" s="116"/>
      <c r="F82" s="116"/>
    </row>
    <row r="83" spans="2:17" x14ac:dyDescent="0.25">
      <c r="B83" s="54" t="s">
        <v>121</v>
      </c>
      <c r="C83" s="263">
        <f ca="1">C69/$E$16</f>
        <v>5.374772332319294</v>
      </c>
      <c r="D83" s="263">
        <f ca="1">D69/$E$16</f>
        <v>8.176901166102402</v>
      </c>
      <c r="E83" s="116"/>
      <c r="F83" s="116"/>
    </row>
    <row r="84" spans="2:17" x14ac:dyDescent="0.25">
      <c r="B84" s="72" t="s">
        <v>122</v>
      </c>
      <c r="C84" s="263">
        <f ca="1">C69/$E$18</f>
        <v>6.0215838559456696</v>
      </c>
      <c r="D84" s="263">
        <f ca="1">D69/$E$18</f>
        <v>9.1609268279868985</v>
      </c>
      <c r="E84" s="116"/>
      <c r="F84" s="116"/>
    </row>
    <row r="86" spans="2:17" x14ac:dyDescent="0.25">
      <c r="B86" s="65" t="s">
        <v>124</v>
      </c>
      <c r="C86" s="65"/>
      <c r="D86" s="65"/>
      <c r="E86" s="65"/>
      <c r="F86" s="65"/>
      <c r="G86" s="65"/>
      <c r="H86" s="65"/>
      <c r="I86" s="65"/>
      <c r="J86" s="65"/>
      <c r="K86" s="65"/>
      <c r="L86" s="65"/>
      <c r="M86" s="65"/>
      <c r="N86" s="65"/>
      <c r="O86" s="65"/>
      <c r="P86" s="65"/>
      <c r="Q86" s="65"/>
    </row>
    <row r="87" spans="2:17" x14ac:dyDescent="0.25">
      <c r="B87" s="75"/>
    </row>
    <row r="88" spans="2:17" ht="17.25" customHeight="1" x14ac:dyDescent="0.4">
      <c r="B88" s="117"/>
      <c r="C88" s="75"/>
      <c r="D88" s="118" t="s">
        <v>118</v>
      </c>
      <c r="E88" s="68"/>
      <c r="F88" s="68"/>
      <c r="G88" s="68"/>
      <c r="H88" s="68"/>
      <c r="I88" s="68"/>
      <c r="J88" s="119"/>
      <c r="L88" s="118" t="s">
        <v>125</v>
      </c>
      <c r="M88" s="68"/>
      <c r="N88" s="68"/>
      <c r="O88" s="68"/>
      <c r="P88" s="68"/>
      <c r="Q88" s="68"/>
    </row>
    <row r="89" spans="2:17" ht="15" customHeight="1" x14ac:dyDescent="0.25">
      <c r="B89" s="117"/>
      <c r="D89" s="96"/>
      <c r="E89" s="120" t="s">
        <v>126</v>
      </c>
      <c r="F89" s="120"/>
      <c r="G89" s="120"/>
      <c r="H89" s="120"/>
      <c r="I89" s="120"/>
      <c r="J89" s="121"/>
      <c r="L89" s="120" t="s">
        <v>126</v>
      </c>
      <c r="M89" s="120"/>
      <c r="N89" s="120"/>
      <c r="O89" s="120"/>
      <c r="P89" s="120"/>
      <c r="Q89" s="120"/>
    </row>
    <row r="90" spans="2:17" ht="15" customHeight="1" x14ac:dyDescent="0.25">
      <c r="B90" s="117"/>
      <c r="C90" s="122"/>
      <c r="D90" s="168">
        <f ca="1">C73</f>
        <v>6.9962450673477932</v>
      </c>
      <c r="E90" s="204">
        <f>F90-0.005</f>
        <v>0.09</v>
      </c>
      <c r="F90" s="205">
        <f>G90-0.005</f>
        <v>9.5000000000000001E-2</v>
      </c>
      <c r="G90" s="123">
        <f>$C$42</f>
        <v>0.1</v>
      </c>
      <c r="H90" s="205">
        <f>G90+0.005</f>
        <v>0.10500000000000001</v>
      </c>
      <c r="I90" s="236">
        <f>H90+0.005</f>
        <v>0.11000000000000001</v>
      </c>
      <c r="K90" s="127"/>
      <c r="L90" s="124">
        <f ca="1">C78</f>
        <v>5.9426967304970653</v>
      </c>
      <c r="M90" s="204">
        <f>N90-0.005</f>
        <v>0.09</v>
      </c>
      <c r="N90" s="205">
        <f>O90-0.005</f>
        <v>9.5000000000000001E-2</v>
      </c>
      <c r="O90" s="123">
        <f>$C$42</f>
        <v>0.1</v>
      </c>
      <c r="P90" s="205">
        <f>O90+0.005</f>
        <v>0.10500000000000001</v>
      </c>
      <c r="Q90" s="236">
        <f>P90+0.005</f>
        <v>0.11000000000000001</v>
      </c>
    </row>
    <row r="91" spans="2:17" ht="15" customHeight="1" x14ac:dyDescent="0.25">
      <c r="B91" s="117"/>
      <c r="D91" s="202">
        <f>D92+0.01</f>
        <v>0.25149630653388755</v>
      </c>
      <c r="E91" s="125">
        <f t="dataTable" ref="E91:I95" dt2D="1" dtr="1" r1="C42" r2="H4" ca="1"/>
        <v>6.0400580077402601</v>
      </c>
      <c r="F91" s="125">
        <v>5.9494116097278793</v>
      </c>
      <c r="G91" s="125">
        <v>5.9494116097278793</v>
      </c>
      <c r="H91" s="125">
        <v>6.0400580077402601</v>
      </c>
      <c r="I91" s="125">
        <v>6.2393010231636934</v>
      </c>
      <c r="J91" s="126"/>
      <c r="L91" s="202">
        <f>L92+0.01</f>
        <v>0.25149630653388755</v>
      </c>
      <c r="M91" s="127">
        <f t="dataTable" ref="M91:Q95" dt2D="1" dtr="1" r1="C42" r2="H4" ca="1"/>
        <v>4.8564456207995566</v>
      </c>
      <c r="N91" s="127">
        <v>4.7534691692342683</v>
      </c>
      <c r="O91" s="127">
        <v>4.7534691692342683</v>
      </c>
      <c r="P91" s="127">
        <v>4.8564456207995566</v>
      </c>
      <c r="Q91" s="127">
        <v>5.0827903976176145</v>
      </c>
    </row>
    <row r="92" spans="2:17" ht="15" customHeight="1" x14ac:dyDescent="0.25">
      <c r="B92" s="117"/>
      <c r="D92" s="202">
        <f>D93+0.01</f>
        <v>0.24149630653388754</v>
      </c>
      <c r="E92" s="125">
        <v>6.3564809829065725</v>
      </c>
      <c r="F92" s="125">
        <v>6.2506921147450738</v>
      </c>
      <c r="G92" s="125">
        <v>6.2506921147450738</v>
      </c>
      <c r="H92" s="125">
        <v>6.3564809829065725</v>
      </c>
      <c r="I92" s="125">
        <v>6.5904880399842076</v>
      </c>
      <c r="J92" s="126"/>
      <c r="L92" s="202">
        <f>L93+0.01</f>
        <v>0.24149630653388754</v>
      </c>
      <c r="M92" s="127">
        <v>5.2159096027209095</v>
      </c>
      <c r="N92" s="127">
        <v>5.0957309470076257</v>
      </c>
      <c r="O92" s="127">
        <v>5.0957309470076257</v>
      </c>
      <c r="P92" s="127">
        <v>5.2159096027209095</v>
      </c>
      <c r="Q92" s="127">
        <v>5.4817471528880928</v>
      </c>
    </row>
    <row r="93" spans="2:17" ht="15" customHeight="1" x14ac:dyDescent="0.25">
      <c r="B93" s="117"/>
      <c r="C93" s="122" t="s">
        <v>127</v>
      </c>
      <c r="D93" s="128">
        <f>WACC!$E$21</f>
        <v>0.23149630653388753</v>
      </c>
      <c r="E93" s="125">
        <v>6.7187557188317584</v>
      </c>
      <c r="F93" s="125">
        <v>6.5942173420778278</v>
      </c>
      <c r="G93" s="125">
        <v>6.5942173420778278</v>
      </c>
      <c r="H93" s="125">
        <v>6.7187557188317584</v>
      </c>
      <c r="I93" s="125">
        <v>6.9962450673477932</v>
      </c>
      <c r="J93" s="126"/>
      <c r="K93" s="122" t="s">
        <v>127</v>
      </c>
      <c r="L93" s="128">
        <f>WACC!$E$21</f>
        <v>0.23149630653388753</v>
      </c>
      <c r="M93" s="127">
        <v>5.627462269074317</v>
      </c>
      <c r="N93" s="127">
        <v>5.4859837282494608</v>
      </c>
      <c r="O93" s="127">
        <v>5.4859837282494608</v>
      </c>
      <c r="P93" s="127">
        <v>5.627462269074317</v>
      </c>
      <c r="Q93" s="127">
        <v>5.9426967304970653</v>
      </c>
    </row>
    <row r="94" spans="2:17" ht="15" customHeight="1" x14ac:dyDescent="0.25">
      <c r="B94" s="117"/>
      <c r="D94" s="202">
        <f t="shared" ref="D94:D95" si="14">D93-0.01</f>
        <v>0.22149630653388752</v>
      </c>
      <c r="E94" s="125">
        <v>7.1373907392476932</v>
      </c>
      <c r="F94" s="125">
        <v>6.9893192138876721</v>
      </c>
      <c r="G94" s="125">
        <v>6.9893192138876721</v>
      </c>
      <c r="H94" s="125">
        <v>7.1373907392476932</v>
      </c>
      <c r="I94" s="125">
        <v>7.470095771870958</v>
      </c>
      <c r="J94" s="126"/>
      <c r="L94" s="202">
        <f t="shared" ref="L94:L95" si="15">L93-0.01</f>
        <v>0.22149630653388752</v>
      </c>
      <c r="M94" s="127">
        <v>6.1030415513035674</v>
      </c>
      <c r="N94" s="127">
        <v>5.9348287971977518</v>
      </c>
      <c r="O94" s="127">
        <v>5.9348287971977518</v>
      </c>
      <c r="P94" s="127">
        <v>6.1030415513035674</v>
      </c>
      <c r="Q94" s="127">
        <v>6.4810023355012794</v>
      </c>
    </row>
    <row r="95" spans="2:17" ht="15" customHeight="1" x14ac:dyDescent="0.25">
      <c r="B95" s="129" t="s">
        <v>128</v>
      </c>
      <c r="D95" s="203">
        <f t="shared" si="14"/>
        <v>0.21149630653388751</v>
      </c>
      <c r="E95" s="125">
        <v>7.6263568183600965</v>
      </c>
      <c r="F95" s="125">
        <v>7.4482830532586428</v>
      </c>
      <c r="G95" s="125">
        <v>7.4482830532586428</v>
      </c>
      <c r="H95" s="125">
        <v>7.6263568183600965</v>
      </c>
      <c r="I95" s="125">
        <v>8.0304181595143991</v>
      </c>
      <c r="J95" s="126"/>
      <c r="L95" s="203">
        <f t="shared" si="15"/>
        <v>0.21149630653388751</v>
      </c>
      <c r="M95" s="127">
        <v>6.6585185792590549</v>
      </c>
      <c r="N95" s="127">
        <v>6.4562225713745081</v>
      </c>
      <c r="O95" s="127">
        <v>6.4562225713745081</v>
      </c>
      <c r="P95" s="127">
        <v>6.6585185792590549</v>
      </c>
      <c r="Q95" s="127">
        <v>7.1175418172381129</v>
      </c>
    </row>
    <row r="96" spans="2:17" ht="15" customHeight="1" x14ac:dyDescent="0.25">
      <c r="B96" s="129" t="s">
        <v>129</v>
      </c>
      <c r="E96" s="130"/>
      <c r="F96" s="130"/>
      <c r="G96" s="130"/>
      <c r="H96" s="130"/>
      <c r="I96" s="130"/>
      <c r="J96" s="130"/>
    </row>
    <row r="97" spans="2:17" ht="17.25" customHeight="1" x14ac:dyDescent="0.4">
      <c r="B97" s="117"/>
      <c r="D97" s="118" t="s">
        <v>118</v>
      </c>
      <c r="E97" s="68"/>
      <c r="F97" s="68"/>
      <c r="G97" s="68"/>
      <c r="H97" s="68"/>
      <c r="I97" s="68"/>
      <c r="J97" s="119"/>
      <c r="L97" s="118" t="s">
        <v>125</v>
      </c>
      <c r="M97" s="68"/>
      <c r="N97" s="68"/>
      <c r="O97" s="68"/>
      <c r="P97" s="68"/>
      <c r="Q97" s="68"/>
    </row>
    <row r="98" spans="2:17" ht="15" customHeight="1" x14ac:dyDescent="0.25">
      <c r="B98" s="117"/>
      <c r="E98" s="120" t="s">
        <v>130</v>
      </c>
      <c r="F98" s="120"/>
      <c r="G98" s="120"/>
      <c r="H98" s="120"/>
      <c r="I98" s="120"/>
      <c r="J98" s="121"/>
      <c r="M98" s="120" t="s">
        <v>130</v>
      </c>
      <c r="N98" s="120"/>
      <c r="O98" s="120"/>
      <c r="P98" s="120"/>
      <c r="Q98" s="120"/>
    </row>
    <row r="99" spans="2:17" ht="15" customHeight="1" x14ac:dyDescent="0.25">
      <c r="B99" s="117"/>
      <c r="D99" s="169">
        <f ca="1">D73</f>
        <v>9.7234904976285588</v>
      </c>
      <c r="E99" s="170">
        <f>+F99-0.5</f>
        <v>7</v>
      </c>
      <c r="F99" s="170">
        <f>+G99-0.5</f>
        <v>7.5</v>
      </c>
      <c r="G99" s="131">
        <f>$I$43</f>
        <v>8</v>
      </c>
      <c r="H99" s="170">
        <f>+G99+0.5</f>
        <v>8.5</v>
      </c>
      <c r="I99" s="238">
        <f>+H99+0.5</f>
        <v>9</v>
      </c>
      <c r="J99" s="237"/>
      <c r="L99" s="124">
        <f ca="1">D78</f>
        <v>9.0409120276962209</v>
      </c>
      <c r="M99" s="170">
        <f>+N99-0.5</f>
        <v>7</v>
      </c>
      <c r="N99" s="170">
        <f>+O99-0.5</f>
        <v>7.5</v>
      </c>
      <c r="O99" s="131">
        <f>$I$43</f>
        <v>8</v>
      </c>
      <c r="P99" s="170">
        <f>+O99+0.5</f>
        <v>8.5</v>
      </c>
      <c r="Q99" s="238">
        <f>+P99+0.5</f>
        <v>9</v>
      </c>
    </row>
    <row r="100" spans="2:17" ht="15" customHeight="1" x14ac:dyDescent="0.25">
      <c r="B100" s="117"/>
      <c r="D100" s="202">
        <f>D101+0.01</f>
        <v>0.25149630653388755</v>
      </c>
      <c r="E100" s="125">
        <f t="dataTable" ref="E100:I104" dt2D="1" dtr="1" r1="I43" r2="H4" ca="1"/>
        <v>8.4792287731589209</v>
      </c>
      <c r="F100" s="125">
        <v>8.1172202550811878</v>
      </c>
      <c r="G100" s="125">
        <v>8.1172202550811878</v>
      </c>
      <c r="H100" s="125">
        <v>8.4792287731589209</v>
      </c>
      <c r="I100" s="125">
        <v>9.2032458093143887</v>
      </c>
      <c r="J100" s="126"/>
      <c r="L100" s="202">
        <f>L101+0.01</f>
        <v>0.25149630653388755</v>
      </c>
      <c r="M100" s="127">
        <f t="dataTable" ref="M100:Q104" dt2D="1" dtr="1" r1="I43" r2="H4" ca="1"/>
        <v>7.6274012869066157</v>
      </c>
      <c r="N100" s="127">
        <v>7.2161510503228978</v>
      </c>
      <c r="O100" s="127">
        <v>7.2161510503228978</v>
      </c>
      <c r="P100" s="127">
        <v>7.6274012869066157</v>
      </c>
      <c r="Q100" s="127">
        <v>8.449901760074054</v>
      </c>
    </row>
    <row r="101" spans="2:17" ht="15" customHeight="1" x14ac:dyDescent="0.25">
      <c r="B101" s="117"/>
      <c r="D101" s="202">
        <f>D102+0.01</f>
        <v>0.24149630653388754</v>
      </c>
      <c r="E101" s="125">
        <v>8.7066718290503893</v>
      </c>
      <c r="F101" s="125">
        <v>8.3311533715915456</v>
      </c>
      <c r="G101" s="125">
        <v>8.3311533715915456</v>
      </c>
      <c r="H101" s="125">
        <v>8.7066718290503893</v>
      </c>
      <c r="I101" s="125">
        <v>9.457708743968082</v>
      </c>
      <c r="J101" s="126"/>
      <c r="L101" s="202">
        <f>L102+0.01</f>
        <v>0.24149630653388754</v>
      </c>
      <c r="M101" s="127">
        <v>7.8857819765140507</v>
      </c>
      <c r="N101" s="127">
        <v>7.4591841293375873</v>
      </c>
      <c r="O101" s="127">
        <v>7.4591841293375873</v>
      </c>
      <c r="P101" s="127">
        <v>7.8857819765140507</v>
      </c>
      <c r="Q101" s="127">
        <v>8.7389776708669817</v>
      </c>
    </row>
    <row r="102" spans="2:17" ht="15" customHeight="1" x14ac:dyDescent="0.25">
      <c r="B102" s="117"/>
      <c r="C102" s="122" t="s">
        <v>127</v>
      </c>
      <c r="D102" s="128">
        <f>WACC!$E$21</f>
        <v>0.23149630653388753</v>
      </c>
      <c r="E102" s="125">
        <v>8.9441944489321461</v>
      </c>
      <c r="F102" s="125">
        <v>8.5545464245839398</v>
      </c>
      <c r="G102" s="125">
        <v>8.5545464245839398</v>
      </c>
      <c r="H102" s="125">
        <v>8.9441944489321461</v>
      </c>
      <c r="I102" s="125">
        <v>9.7234904976285588</v>
      </c>
      <c r="J102" s="126"/>
      <c r="K102" s="122" t="s">
        <v>127</v>
      </c>
      <c r="L102" s="128">
        <f>WACC!$E$21</f>
        <v>0.23149630653388753</v>
      </c>
      <c r="M102" s="127">
        <v>8.1556132891556548</v>
      </c>
      <c r="N102" s="127">
        <v>7.7129639198853726</v>
      </c>
      <c r="O102" s="127">
        <v>7.7129639198853726</v>
      </c>
      <c r="P102" s="127">
        <v>8.1556132891556548</v>
      </c>
      <c r="Q102" s="127">
        <v>9.0409120276962209</v>
      </c>
    </row>
    <row r="103" spans="2:17" ht="15" customHeight="1" x14ac:dyDescent="0.25">
      <c r="B103" s="117"/>
      <c r="D103" s="202">
        <f t="shared" ref="D103:D104" si="16">D102-0.01</f>
        <v>0.22149630653388752</v>
      </c>
      <c r="E103" s="125">
        <v>9.1923366240103963</v>
      </c>
      <c r="F103" s="125">
        <v>8.7879056037511507</v>
      </c>
      <c r="G103" s="125">
        <v>8.7879056037511507</v>
      </c>
      <c r="H103" s="125">
        <v>9.1923366240103963</v>
      </c>
      <c r="I103" s="125">
        <v>10.001198664528895</v>
      </c>
      <c r="J103" s="126"/>
      <c r="L103" s="202">
        <f t="shared" ref="L103:L104" si="17">L102-0.01</f>
        <v>0.22149630653388752</v>
      </c>
      <c r="M103" s="127">
        <v>8.4375086676103042</v>
      </c>
      <c r="N103" s="127">
        <v>7.9780654654266048</v>
      </c>
      <c r="O103" s="127">
        <v>7.9780654654266048</v>
      </c>
      <c r="P103" s="127">
        <v>8.4375086676103042</v>
      </c>
      <c r="Q103" s="127">
        <v>9.3563950719777118</v>
      </c>
    </row>
    <row r="104" spans="2:17" ht="15" customHeight="1" x14ac:dyDescent="0.25">
      <c r="B104" s="117"/>
      <c r="D104" s="203">
        <f t="shared" si="16"/>
        <v>0.21149630653388751</v>
      </c>
      <c r="E104" s="125">
        <v>9.4516721902801084</v>
      </c>
      <c r="F104" s="125">
        <v>9.031768801124068</v>
      </c>
      <c r="G104" s="125">
        <v>9.031768801124068</v>
      </c>
      <c r="H104" s="125">
        <v>9.4516721902801084</v>
      </c>
      <c r="I104" s="125">
        <v>10.291478968592195</v>
      </c>
      <c r="J104" s="126"/>
      <c r="L104" s="203">
        <f t="shared" si="17"/>
        <v>0.21149630653388751</v>
      </c>
      <c r="M104" s="127">
        <v>8.7321200031371955</v>
      </c>
      <c r="N104" s="127">
        <v>8.2550998240273579</v>
      </c>
      <c r="O104" s="127">
        <v>8.2550998240273579</v>
      </c>
      <c r="P104" s="127">
        <v>8.7321200031371955</v>
      </c>
      <c r="Q104" s="127">
        <v>9.6861603613568761</v>
      </c>
    </row>
    <row r="105" spans="2:17" x14ac:dyDescent="0.25">
      <c r="J105" s="132"/>
    </row>
    <row r="106" spans="2:17" x14ac:dyDescent="0.25">
      <c r="B106" s="133" t="s">
        <v>131</v>
      </c>
      <c r="C106" s="133"/>
      <c r="D106" s="133"/>
      <c r="E106" s="133"/>
      <c r="G106" s="133" t="s">
        <v>132</v>
      </c>
      <c r="H106" s="133"/>
      <c r="I106" s="133"/>
      <c r="J106" s="134"/>
      <c r="K106" s="133"/>
      <c r="L106" s="133"/>
      <c r="M106" s="133"/>
      <c r="N106" s="133"/>
      <c r="O106" s="133"/>
      <c r="P106" s="133"/>
    </row>
    <row r="107" spans="2:17" x14ac:dyDescent="0.25">
      <c r="J107" s="132"/>
    </row>
    <row r="108" spans="2:17" x14ac:dyDescent="0.25">
      <c r="J108" s="132"/>
    </row>
    <row r="109" spans="2:17" x14ac:dyDescent="0.25">
      <c r="J109" s="132"/>
    </row>
    <row r="110" spans="2:17" x14ac:dyDescent="0.25">
      <c r="J110" s="132"/>
    </row>
    <row r="111" spans="2:17" x14ac:dyDescent="0.25">
      <c r="J111" s="132"/>
    </row>
    <row r="112" spans="2:17" x14ac:dyDescent="0.25">
      <c r="J112" s="132"/>
    </row>
    <row r="113" spans="2:17" x14ac:dyDescent="0.25">
      <c r="J113" s="132"/>
    </row>
    <row r="114" spans="2:17" x14ac:dyDescent="0.25">
      <c r="J114" s="132"/>
    </row>
    <row r="115" spans="2:17" x14ac:dyDescent="0.25">
      <c r="J115" s="132"/>
    </row>
    <row r="116" spans="2:17" x14ac:dyDescent="0.25">
      <c r="J116" s="132"/>
    </row>
    <row r="117" spans="2:17" x14ac:dyDescent="0.25">
      <c r="J117" s="132"/>
    </row>
    <row r="118" spans="2:17" x14ac:dyDescent="0.25">
      <c r="J118" s="132"/>
    </row>
    <row r="119" spans="2:17" x14ac:dyDescent="0.25">
      <c r="J119" s="132"/>
    </row>
    <row r="120" spans="2:17" x14ac:dyDescent="0.25">
      <c r="J120" s="132"/>
      <c r="M120" s="135"/>
    </row>
    <row r="121" spans="2:17" x14ac:dyDescent="0.25">
      <c r="J121" s="132"/>
    </row>
    <row r="122" spans="2:17" x14ac:dyDescent="0.25">
      <c r="J122" s="132"/>
    </row>
    <row r="123" spans="2:17" x14ac:dyDescent="0.25">
      <c r="J123" s="132"/>
    </row>
    <row r="124" spans="2:17" x14ac:dyDescent="0.25">
      <c r="J124" s="132"/>
    </row>
    <row r="125" spans="2:17" x14ac:dyDescent="0.25">
      <c r="J125" s="132"/>
    </row>
    <row r="126" spans="2:17" x14ac:dyDescent="0.25">
      <c r="J126" s="132"/>
    </row>
    <row r="127" spans="2:17" x14ac:dyDescent="0.25">
      <c r="B127" s="136"/>
      <c r="C127" s="137" t="s">
        <v>133</v>
      </c>
      <c r="D127" s="137" t="s">
        <v>134</v>
      </c>
      <c r="E127" s="138" t="s">
        <v>135</v>
      </c>
      <c r="G127" s="136"/>
      <c r="H127" s="139"/>
      <c r="I127" s="139"/>
      <c r="J127" s="140"/>
      <c r="K127" s="139"/>
      <c r="L127" s="139"/>
      <c r="M127" s="139"/>
      <c r="N127" s="139"/>
      <c r="O127" s="137" t="s">
        <v>133</v>
      </c>
      <c r="P127" s="137" t="s">
        <v>134</v>
      </c>
      <c r="Q127" s="138" t="s">
        <v>135</v>
      </c>
    </row>
    <row r="128" spans="2:17" x14ac:dyDescent="0.25">
      <c r="B128" s="171" t="str">
        <f>"DCF Value at "&amp;TEXT(E99,"0.0x")&amp;"-"&amp;TEXT(I99,"0.0x")&amp;" Exit EBITDA Range at "&amp;TEXT(D102,"0.0%")&amp;" WACC"</f>
        <v>DCF Value at 7.0x-9.0x Exit EBITDA Range at 23.1% WACC</v>
      </c>
      <c r="C128" s="172">
        <f>E102</f>
        <v>8.9441944489321461</v>
      </c>
      <c r="D128" s="172">
        <f>E128-C128</f>
        <v>0.77929604869641267</v>
      </c>
      <c r="E128" s="173">
        <f>I102</f>
        <v>9.7234904976285588</v>
      </c>
      <c r="G128" s="171" t="str">
        <f>"LTM EBITDA Purchase Multiple at "&amp;TEXT(M90,"0.0%")&amp;"-"&amp;TEXT(Q90,"0.0%")&amp;" Perpetuity Growth at "&amp;TEXT(L93,"0.0%")&amp;" WACC"</f>
        <v>LTM EBITDA Purchase Multiple at 9.0%-11.0% Perpetuity Growth at 23.1% WACC</v>
      </c>
      <c r="H128"/>
      <c r="I128"/>
      <c r="J128" s="179"/>
      <c r="K128"/>
      <c r="L128"/>
      <c r="M128"/>
      <c r="N128"/>
      <c r="O128" s="180">
        <f>M93</f>
        <v>5.627462269074317</v>
      </c>
      <c r="P128" s="180">
        <f>Q128-O128</f>
        <v>0.31523446142274825</v>
      </c>
      <c r="Q128" s="181">
        <f>Q93</f>
        <v>5.9426967304970653</v>
      </c>
    </row>
    <row r="129" spans="2:17" x14ac:dyDescent="0.25">
      <c r="B129" s="174" t="str">
        <f>"DCF Value at "&amp;TEXT(E90,"0.0%")&amp;"-"&amp;TEXT(I90,"0.0%")&amp;" Perpetuity Range at "&amp;TEXT(D102,"0.0%")&amp;" WACC"</f>
        <v>DCF Value at 9.0%-11.0% Perpetuity Range at 23.1% WACC</v>
      </c>
      <c r="C129" s="172">
        <f>E93</f>
        <v>6.7187557188317584</v>
      </c>
      <c r="D129" s="172">
        <f>E129-C129</f>
        <v>0.2774893485160348</v>
      </c>
      <c r="E129" s="173">
        <f>I93</f>
        <v>6.9962450673477932</v>
      </c>
      <c r="G129" s="174" t="str">
        <f>"LTM EBITDA Purchase Multiple at "&amp;TEXT(M102,"0.0x")&amp;"-"&amp;TEXT(Q102,"0.0x")&amp;" Exit EBITDA Multiple at "&amp;TEXT(L102,"0.0%")&amp;" WACC"</f>
        <v>LTM EBITDA Purchase Multiple at 8.2x-9.0x Exit EBITDA Multiple at 23.1% WACC</v>
      </c>
      <c r="H129"/>
      <c r="I129"/>
      <c r="J129" s="179"/>
      <c r="K129"/>
      <c r="L129"/>
      <c r="M129"/>
      <c r="N129"/>
      <c r="O129" s="180">
        <f>M102</f>
        <v>8.1556132891556548</v>
      </c>
      <c r="P129" s="180">
        <f>Q129-O129</f>
        <v>0.88529873854056618</v>
      </c>
      <c r="Q129" s="181">
        <f>Q102</f>
        <v>9.0409120276962209</v>
      </c>
    </row>
    <row r="130" spans="2:17" x14ac:dyDescent="0.25">
      <c r="B130" s="175" t="s">
        <v>136</v>
      </c>
      <c r="C130" s="176">
        <v>21</v>
      </c>
      <c r="D130" s="177">
        <f>E130-C130</f>
        <v>0.80000000000000071</v>
      </c>
      <c r="E130" s="178">
        <v>21.8</v>
      </c>
      <c r="G130" s="175" t="str">
        <f>"LTM EBITDA Purchase Multiple at "&amp;TEXT(L104,"0.0%")&amp;"-"&amp;TEXT(L100,"0.0%")&amp;" WACC at "&amp;TEXT(O99,"0.0x")&amp;" Exit EBITDA"</f>
        <v>LTM EBITDA Purchase Multiple at 21.1%-25.1% WACC at 8.0x Exit EBITDA</v>
      </c>
      <c r="H130" s="42"/>
      <c r="I130" s="42"/>
      <c r="J130" s="182"/>
      <c r="K130" s="42"/>
      <c r="L130" s="42"/>
      <c r="M130" s="42"/>
      <c r="N130" s="42"/>
      <c r="O130" s="177">
        <f>O100</f>
        <v>7.2161510503228978</v>
      </c>
      <c r="P130" s="177">
        <f>Q130-O130</f>
        <v>1.03894877370446</v>
      </c>
      <c r="Q130" s="183">
        <f>O104</f>
        <v>8.2550998240273579</v>
      </c>
    </row>
    <row r="131" spans="2:17" x14ac:dyDescent="0.25">
      <c r="J131" s="132"/>
    </row>
    <row r="132" spans="2:17" x14ac:dyDescent="0.25">
      <c r="J132" s="132"/>
    </row>
  </sheetData>
  <conditionalFormatting sqref="E91:J95 E100:J104">
    <cfRule type="cellIs" dxfId="1" priority="2" operator="lessThan">
      <formula>#REF!</formula>
    </cfRule>
  </conditionalFormatting>
  <pageMargins left="0.7" right="0.7" top="0.75" bottom="0.75" header="0.3" footer="0.3"/>
  <pageSetup orientation="portrait" r:id="rId1"/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3F4E94-4BEA-4BEC-A3D4-AE92824096F5}">
  <dimension ref="B1:I24"/>
  <sheetViews>
    <sheetView zoomScaleNormal="100" workbookViewId="0">
      <selection activeCell="E21" sqref="E21"/>
    </sheetView>
  </sheetViews>
  <sheetFormatPr defaultColWidth="9.140625" defaultRowHeight="15" x14ac:dyDescent="0.25"/>
  <cols>
    <col min="1" max="1" width="1.42578125" style="54" customWidth="1"/>
    <col min="2" max="2" width="50.28515625" style="54" customWidth="1"/>
    <col min="3" max="3" width="15.5703125" style="54" bestFit="1" customWidth="1"/>
    <col min="4" max="9" width="12.7109375" style="54" customWidth="1"/>
    <col min="10" max="10" width="1.7109375" style="54" customWidth="1"/>
    <col min="11" max="11" width="11" style="54" bestFit="1" customWidth="1"/>
    <col min="12" max="16" width="9.42578125" style="54" customWidth="1"/>
    <col min="17" max="16384" width="9.140625" style="54"/>
  </cols>
  <sheetData>
    <row r="1" spans="2:9" ht="15.75" thickBot="1" x14ac:dyDescent="0.3"/>
    <row r="2" spans="2:9" ht="15.75" thickBot="1" x14ac:dyDescent="0.3">
      <c r="B2" s="55" t="s">
        <v>137</v>
      </c>
      <c r="C2" s="56"/>
      <c r="D2" s="56"/>
      <c r="E2" s="56"/>
      <c r="F2" s="56"/>
      <c r="G2" s="56"/>
      <c r="H2" s="56"/>
      <c r="I2" s="56"/>
    </row>
    <row r="3" spans="2:9" x14ac:dyDescent="0.25">
      <c r="B3" s="57" t="str">
        <f>DCF!B3</f>
        <v>All amounts are shown in Egyptian pounds, except per-share data, ratios, and shares outstanding</v>
      </c>
    </row>
    <row r="4" spans="2:9" ht="15" customHeight="1" x14ac:dyDescent="0.25">
      <c r="B4" s="142" t="s">
        <v>138</v>
      </c>
      <c r="C4" s="143"/>
      <c r="D4" s="143"/>
      <c r="E4" s="144"/>
      <c r="F4" s="145"/>
    </row>
    <row r="5" spans="2:9" x14ac:dyDescent="0.25">
      <c r="E5" s="97"/>
    </row>
    <row r="6" spans="2:9" ht="15" customHeight="1" x14ac:dyDescent="0.25">
      <c r="B6" s="54" t="s">
        <v>139</v>
      </c>
      <c r="C6" s="149">
        <v>0.15</v>
      </c>
    </row>
    <row r="7" spans="2:9" ht="15" customHeight="1" x14ac:dyDescent="0.25">
      <c r="B7" s="54" t="s">
        <v>27</v>
      </c>
      <c r="C7" s="261">
        <v>0.22500000000000001</v>
      </c>
    </row>
    <row r="8" spans="2:9" ht="15" customHeight="1" x14ac:dyDescent="0.25">
      <c r="B8" s="54" t="s">
        <v>140</v>
      </c>
      <c r="C8" s="150">
        <f>C6*(1-C7)</f>
        <v>0.11624999999999999</v>
      </c>
    </row>
    <row r="10" spans="2:9" x14ac:dyDescent="0.25">
      <c r="B10" s="54" t="s">
        <v>141</v>
      </c>
      <c r="C10" s="148">
        <v>0.19700000000000001</v>
      </c>
    </row>
    <row r="11" spans="2:9" x14ac:dyDescent="0.25">
      <c r="B11" s="54" t="s">
        <v>142</v>
      </c>
      <c r="C11" s="164">
        <f>(2/3*0.666)+1/3</f>
        <v>0.77733333333333332</v>
      </c>
    </row>
    <row r="12" spans="2:9" ht="15" customHeight="1" x14ac:dyDescent="0.25">
      <c r="B12" s="54" t="s">
        <v>143</v>
      </c>
      <c r="C12" s="151">
        <v>4.4600000000000001E-2</v>
      </c>
    </row>
    <row r="13" spans="2:9" x14ac:dyDescent="0.25">
      <c r="B13" s="54" t="s">
        <v>144</v>
      </c>
      <c r="C13" s="152">
        <f>C10+C11*C12</f>
        <v>0.23166906666666667</v>
      </c>
    </row>
    <row r="14" spans="2:9" x14ac:dyDescent="0.25">
      <c r="C14" s="153"/>
    </row>
    <row r="15" spans="2:9" x14ac:dyDescent="0.25">
      <c r="B15" s="146" t="s">
        <v>145</v>
      </c>
      <c r="C15" s="154"/>
      <c r="D15" s="154"/>
      <c r="E15" s="154"/>
    </row>
    <row r="16" spans="2:9" x14ac:dyDescent="0.25">
      <c r="B16" s="75"/>
      <c r="C16" s="122"/>
      <c r="D16" s="122" t="s">
        <v>146</v>
      </c>
    </row>
    <row r="17" spans="2:5" ht="17.25" x14ac:dyDescent="0.4">
      <c r="C17" s="155" t="s">
        <v>147</v>
      </c>
      <c r="D17" s="155" t="s">
        <v>148</v>
      </c>
      <c r="E17" s="155" t="s">
        <v>149</v>
      </c>
    </row>
    <row r="18" spans="2:5" x14ac:dyDescent="0.25">
      <c r="B18" s="54" t="s">
        <v>15</v>
      </c>
      <c r="C18" s="73">
        <f>DCF!I61*DCF!H5</f>
        <v>74880000007.200012</v>
      </c>
      <c r="D18" s="156"/>
      <c r="E18" s="157">
        <f>C18/(C18+C19)</f>
        <v>0.99850319242939212</v>
      </c>
    </row>
    <row r="19" spans="2:5" x14ac:dyDescent="0.25">
      <c r="B19" s="54" t="s">
        <v>103</v>
      </c>
      <c r="C19" s="73">
        <f>DCF!C57</f>
        <v>112248966</v>
      </c>
      <c r="D19" s="158"/>
      <c r="E19" s="157">
        <f>C19/(C19+C18)</f>
        <v>1.4968075706079228E-3</v>
      </c>
    </row>
    <row r="21" spans="2:5" x14ac:dyDescent="0.25">
      <c r="B21" s="147" t="s">
        <v>150</v>
      </c>
      <c r="C21" s="159"/>
      <c r="D21" s="139"/>
      <c r="E21" s="160">
        <f>C8*E19+C13*E18</f>
        <v>0.23149630653388753</v>
      </c>
    </row>
    <row r="22" spans="2:5" x14ac:dyDescent="0.25">
      <c r="B22" s="74"/>
      <c r="C22" s="102"/>
    </row>
    <row r="23" spans="2:5" x14ac:dyDescent="0.25">
      <c r="B23" s="74"/>
      <c r="C23" s="102"/>
    </row>
    <row r="24" spans="2:5" x14ac:dyDescent="0.25">
      <c r="B24" s="74"/>
      <c r="C24" s="102"/>
    </row>
  </sheetData>
  <conditionalFormatting sqref="B22:C24">
    <cfRule type="expression" dxfId="0" priority="1">
      <formula>#REF!="Industry"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FSM</vt:lpstr>
      <vt:lpstr>DCF</vt:lpstr>
      <vt:lpstr>WACC</vt:lpstr>
      <vt:lpstr>Company_Name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Ahmed WAEL</dc:creator>
  <dc:description/>
  <cp:lastModifiedBy>Ahmed Wael</cp:lastModifiedBy>
  <cp:revision>0</cp:revision>
  <dcterms:created xsi:type="dcterms:W3CDTF">2015-06-05T18:17:20Z</dcterms:created>
  <dcterms:modified xsi:type="dcterms:W3CDTF">2026-06-10T02:47:45Z</dcterms:modified>
  <dc:language>en-US</dc:language>
</cp:coreProperties>
</file>