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7\Elm - 7203.SR\"/>
    </mc:Choice>
  </mc:AlternateContent>
  <xr:revisionPtr revIDLastSave="0" documentId="13_ncr:1_{92FC9D2A-4F5E-4883-B007-DEDC217014F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SM" sheetId="5" r:id="rId1"/>
    <sheet name="DCF" sheetId="2" r:id="rId2"/>
    <sheet name="WACC" sheetId="3" r:id="rId3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9" i="5" l="1"/>
  <c r="J159" i="5"/>
  <c r="I159" i="5"/>
  <c r="H159" i="5"/>
  <c r="G159" i="5"/>
  <c r="G218" i="5"/>
  <c r="B3" i="2"/>
  <c r="I22" i="2"/>
  <c r="H22" i="2"/>
  <c r="G22" i="2"/>
  <c r="F22" i="2"/>
  <c r="E22" i="2"/>
  <c r="D72" i="2"/>
  <c r="C72" i="2"/>
  <c r="D70" i="2"/>
  <c r="C70" i="2"/>
  <c r="E21" i="3"/>
  <c r="E19" i="3"/>
  <c r="E18" i="3"/>
  <c r="C19" i="3"/>
  <c r="C18" i="3"/>
  <c r="C13" i="3"/>
  <c r="C11" i="3"/>
  <c r="C8" i="3"/>
  <c r="C14" i="2"/>
  <c r="D8" i="2" l="1"/>
  <c r="I27" i="2"/>
  <c r="I28" i="2" s="1"/>
  <c r="H27" i="2"/>
  <c r="H28" i="2" s="1"/>
  <c r="G27" i="2"/>
  <c r="G28" i="2" s="1"/>
  <c r="F27" i="2"/>
  <c r="F28" i="2" s="1"/>
  <c r="I26" i="2"/>
  <c r="H26" i="2"/>
  <c r="G26" i="2"/>
  <c r="F26" i="2"/>
  <c r="E26" i="2"/>
  <c r="I33" i="2"/>
  <c r="H33" i="2"/>
  <c r="G33" i="2"/>
  <c r="F33" i="2"/>
  <c r="E33" i="2"/>
  <c r="D33" i="2"/>
  <c r="I32" i="2"/>
  <c r="H32" i="2"/>
  <c r="G32" i="2"/>
  <c r="F32" i="2"/>
  <c r="E32" i="2"/>
  <c r="D32" i="2"/>
  <c r="E28" i="2"/>
  <c r="E27" i="2"/>
  <c r="D23" i="2"/>
  <c r="D21" i="2"/>
  <c r="D22" i="2"/>
  <c r="I15" i="2"/>
  <c r="H15" i="2"/>
  <c r="G15" i="2"/>
  <c r="F15" i="2"/>
  <c r="I14" i="2"/>
  <c r="H14" i="2"/>
  <c r="G14" i="2"/>
  <c r="F14" i="2"/>
  <c r="E14" i="2"/>
  <c r="E15" i="2"/>
  <c r="D19" i="2"/>
  <c r="D18" i="2"/>
  <c r="D17" i="2"/>
  <c r="D16" i="2"/>
  <c r="E38" i="5"/>
  <c r="F37" i="5"/>
  <c r="F38" i="5" s="1"/>
  <c r="E37" i="5"/>
  <c r="D38" i="5"/>
  <c r="D37" i="5"/>
  <c r="D14" i="2"/>
  <c r="C65" i="2"/>
  <c r="I61" i="2"/>
  <c r="C63" i="2"/>
  <c r="C64" i="2"/>
  <c r="G237" i="5"/>
  <c r="C62" i="2"/>
  <c r="C60" i="2"/>
  <c r="C57" i="2"/>
  <c r="K208" i="5"/>
  <c r="J208" i="5"/>
  <c r="I208" i="5"/>
  <c r="H208" i="5"/>
  <c r="G208" i="5"/>
  <c r="F208" i="5"/>
  <c r="E208" i="5"/>
  <c r="F207" i="5" s="1"/>
  <c r="F209" i="5" s="1"/>
  <c r="H209" i="5"/>
  <c r="D208" i="5"/>
  <c r="I101" i="5"/>
  <c r="J101" i="5" s="1"/>
  <c r="K101" i="5" s="1"/>
  <c r="H101" i="5"/>
  <c r="I100" i="5"/>
  <c r="J100" i="5" s="1"/>
  <c r="K100" i="5" s="1"/>
  <c r="H100" i="5"/>
  <c r="I99" i="5"/>
  <c r="J99" i="5" s="1"/>
  <c r="K99" i="5" s="1"/>
  <c r="H99" i="5"/>
  <c r="I98" i="5"/>
  <c r="J98" i="5" s="1"/>
  <c r="H98" i="5"/>
  <c r="H93" i="5"/>
  <c r="K92" i="5"/>
  <c r="J92" i="5"/>
  <c r="I92" i="5"/>
  <c r="H92" i="5"/>
  <c r="K91" i="5"/>
  <c r="J91" i="5"/>
  <c r="I91" i="5"/>
  <c r="H91" i="5"/>
  <c r="I90" i="5"/>
  <c r="I93" i="5" s="1"/>
  <c r="H90" i="5"/>
  <c r="H87" i="5"/>
  <c r="H95" i="5" s="1"/>
  <c r="K86" i="5"/>
  <c r="J86" i="5"/>
  <c r="I86" i="5"/>
  <c r="H86" i="5"/>
  <c r="I85" i="5"/>
  <c r="J85" i="5" s="1"/>
  <c r="K85" i="5" s="1"/>
  <c r="H85" i="5"/>
  <c r="K84" i="5"/>
  <c r="J84" i="5"/>
  <c r="I84" i="5"/>
  <c r="H84" i="5"/>
  <c r="K83" i="5"/>
  <c r="J83" i="5"/>
  <c r="I83" i="5"/>
  <c r="H83" i="5"/>
  <c r="K82" i="5"/>
  <c r="J82" i="5"/>
  <c r="I82" i="5"/>
  <c r="H82" i="5"/>
  <c r="I81" i="5"/>
  <c r="J81" i="5" s="1"/>
  <c r="H81" i="5"/>
  <c r="H74" i="5"/>
  <c r="K73" i="5"/>
  <c r="J73" i="5"/>
  <c r="I73" i="5"/>
  <c r="H73" i="5"/>
  <c r="I72" i="5"/>
  <c r="J72" i="5" s="1"/>
  <c r="K72" i="5" s="1"/>
  <c r="H72" i="5"/>
  <c r="I71" i="5"/>
  <c r="J71" i="5" s="1"/>
  <c r="K71" i="5" s="1"/>
  <c r="H71" i="5"/>
  <c r="I70" i="5"/>
  <c r="I74" i="5" s="1"/>
  <c r="H70" i="5"/>
  <c r="K69" i="5"/>
  <c r="J69" i="5"/>
  <c r="I69" i="5"/>
  <c r="H69" i="5"/>
  <c r="K68" i="5"/>
  <c r="J68" i="5"/>
  <c r="I68" i="5"/>
  <c r="H68" i="5"/>
  <c r="K67" i="5"/>
  <c r="J67" i="5"/>
  <c r="I67" i="5"/>
  <c r="H67" i="5"/>
  <c r="K66" i="5"/>
  <c r="J66" i="5"/>
  <c r="I66" i="5"/>
  <c r="H66" i="5"/>
  <c r="I61" i="5"/>
  <c r="J61" i="5" s="1"/>
  <c r="H61" i="5"/>
  <c r="I60" i="5"/>
  <c r="J60" i="5" s="1"/>
  <c r="K60" i="5" s="1"/>
  <c r="H60" i="5"/>
  <c r="K59" i="5"/>
  <c r="J59" i="5"/>
  <c r="I59" i="5"/>
  <c r="H59" i="5"/>
  <c r="I58" i="5"/>
  <c r="J58" i="5" s="1"/>
  <c r="H58" i="5"/>
  <c r="K57" i="5"/>
  <c r="J57" i="5"/>
  <c r="I57" i="5"/>
  <c r="H57" i="5"/>
  <c r="K56" i="5"/>
  <c r="J56" i="5"/>
  <c r="I56" i="5"/>
  <c r="H56" i="5"/>
  <c r="K135" i="5"/>
  <c r="J135" i="5"/>
  <c r="I135" i="5"/>
  <c r="H135" i="5"/>
  <c r="K131" i="5"/>
  <c r="J131" i="5"/>
  <c r="I131" i="5"/>
  <c r="H131" i="5"/>
  <c r="K130" i="5"/>
  <c r="J130" i="5"/>
  <c r="I130" i="5"/>
  <c r="H130" i="5"/>
  <c r="K126" i="5"/>
  <c r="J126" i="5"/>
  <c r="I126" i="5"/>
  <c r="H126" i="5"/>
  <c r="K125" i="5"/>
  <c r="J125" i="5"/>
  <c r="I125" i="5"/>
  <c r="H125" i="5"/>
  <c r="K121" i="5"/>
  <c r="J121" i="5"/>
  <c r="I121" i="5"/>
  <c r="H121" i="5"/>
  <c r="K120" i="5"/>
  <c r="J120" i="5"/>
  <c r="I120" i="5"/>
  <c r="H120" i="5"/>
  <c r="K119" i="5"/>
  <c r="J119" i="5"/>
  <c r="I119" i="5"/>
  <c r="H119" i="5"/>
  <c r="K118" i="5"/>
  <c r="J118" i="5"/>
  <c r="I118" i="5"/>
  <c r="H118" i="5"/>
  <c r="K117" i="5"/>
  <c r="J117" i="5"/>
  <c r="I117" i="5"/>
  <c r="H117" i="5"/>
  <c r="K116" i="5"/>
  <c r="J116" i="5"/>
  <c r="I116" i="5"/>
  <c r="H116" i="5"/>
  <c r="F314" i="5"/>
  <c r="E314" i="5"/>
  <c r="D314" i="5"/>
  <c r="F313" i="5"/>
  <c r="E313" i="5"/>
  <c r="D313" i="5"/>
  <c r="G313" i="5" s="1"/>
  <c r="F312" i="5"/>
  <c r="E312" i="5"/>
  <c r="D312" i="5"/>
  <c r="F311" i="5"/>
  <c r="E311" i="5"/>
  <c r="D311" i="5"/>
  <c r="E305" i="5" s="1"/>
  <c r="H310" i="5"/>
  <c r="I310" i="5" s="1"/>
  <c r="J310" i="5" s="1"/>
  <c r="K310" i="5" s="1"/>
  <c r="H306" i="5"/>
  <c r="I306" i="5" s="1"/>
  <c r="J306" i="5" s="1"/>
  <c r="K306" i="5" s="1"/>
  <c r="G305" i="5"/>
  <c r="F305" i="5"/>
  <c r="F299" i="5"/>
  <c r="E299" i="5"/>
  <c r="G299" i="5" s="1"/>
  <c r="F298" i="5"/>
  <c r="G298" i="5" s="1"/>
  <c r="E298" i="5"/>
  <c r="F297" i="5"/>
  <c r="E297" i="5"/>
  <c r="F294" i="5" s="1"/>
  <c r="D297" i="5"/>
  <c r="E294" i="5" s="1"/>
  <c r="G294" i="5"/>
  <c r="F288" i="5"/>
  <c r="G288" i="5" s="1"/>
  <c r="H288" i="5" s="1"/>
  <c r="E288" i="5"/>
  <c r="F287" i="5"/>
  <c r="G287" i="5" s="1"/>
  <c r="H287" i="5" s="1"/>
  <c r="I287" i="5" s="1"/>
  <c r="E287" i="5"/>
  <c r="F285" i="5"/>
  <c r="G282" i="5" s="1"/>
  <c r="E285" i="5"/>
  <c r="D285" i="5"/>
  <c r="E282" i="5" s="1"/>
  <c r="F282" i="5"/>
  <c r="D276" i="5"/>
  <c r="D275" i="5"/>
  <c r="F274" i="5"/>
  <c r="G271" i="5" s="1"/>
  <c r="E274" i="5"/>
  <c r="D274" i="5"/>
  <c r="E271" i="5" s="1"/>
  <c r="E276" i="5" s="1"/>
  <c r="F272" i="5"/>
  <c r="E272" i="5"/>
  <c r="D272" i="5"/>
  <c r="F271" i="5"/>
  <c r="F276" i="5" s="1"/>
  <c r="H265" i="5"/>
  <c r="G265" i="5"/>
  <c r="F265" i="5"/>
  <c r="E265" i="5"/>
  <c r="D265" i="5"/>
  <c r="F264" i="5"/>
  <c r="G264" i="5" s="1"/>
  <c r="H264" i="5" s="1"/>
  <c r="I264" i="5" s="1"/>
  <c r="E264" i="5"/>
  <c r="D264" i="5"/>
  <c r="F263" i="5"/>
  <c r="G263" i="5" s="1"/>
  <c r="H263" i="5" s="1"/>
  <c r="I263" i="5" s="1"/>
  <c r="J263" i="5" s="1"/>
  <c r="K263" i="5" s="1"/>
  <c r="E263" i="5"/>
  <c r="D263" i="5"/>
  <c r="F262" i="5"/>
  <c r="G261" i="5" s="1"/>
  <c r="E262" i="5"/>
  <c r="F261" i="5" s="1"/>
  <c r="D262" i="5"/>
  <c r="E261" i="5" s="1"/>
  <c r="F260" i="5"/>
  <c r="G257" i="5" s="1"/>
  <c r="E260" i="5"/>
  <c r="D260" i="5"/>
  <c r="F257" i="5"/>
  <c r="E257" i="5"/>
  <c r="D251" i="5"/>
  <c r="F250" i="5"/>
  <c r="G250" i="5" s="1"/>
  <c r="E250" i="5"/>
  <c r="D250" i="5"/>
  <c r="F249" i="5"/>
  <c r="E249" i="5"/>
  <c r="F245" i="5" s="1"/>
  <c r="F251" i="5" s="1"/>
  <c r="D249" i="5"/>
  <c r="E245" i="5" s="1"/>
  <c r="E251" i="5" s="1"/>
  <c r="F247" i="5"/>
  <c r="E247" i="5"/>
  <c r="D247" i="5"/>
  <c r="G245" i="5"/>
  <c r="F235" i="5"/>
  <c r="G232" i="5" s="1"/>
  <c r="E235" i="5"/>
  <c r="F232" i="5" s="1"/>
  <c r="D235" i="5"/>
  <c r="E232" i="5" s="1"/>
  <c r="G234" i="5"/>
  <c r="H234" i="5" s="1"/>
  <c r="I234" i="5" s="1"/>
  <c r="J234" i="5" s="1"/>
  <c r="K234" i="5" s="1"/>
  <c r="F233" i="5"/>
  <c r="E233" i="5"/>
  <c r="D233" i="5"/>
  <c r="F229" i="5"/>
  <c r="G226" i="5" s="1"/>
  <c r="E229" i="5"/>
  <c r="F226" i="5" s="1"/>
  <c r="D229" i="5"/>
  <c r="E226" i="5"/>
  <c r="F218" i="5"/>
  <c r="E218" i="5"/>
  <c r="D218" i="5"/>
  <c r="F217" i="5"/>
  <c r="E217" i="5"/>
  <c r="E219" i="5" s="1"/>
  <c r="D217" i="5"/>
  <c r="D219" i="5" s="1"/>
  <c r="F213" i="5"/>
  <c r="E213" i="5"/>
  <c r="F214" i="5" s="1"/>
  <c r="F215" i="5" s="1"/>
  <c r="G215" i="5" s="1"/>
  <c r="D213" i="5"/>
  <c r="H210" i="5"/>
  <c r="G207" i="5"/>
  <c r="E207" i="5"/>
  <c r="F190" i="5"/>
  <c r="E190" i="5"/>
  <c r="D190" i="5"/>
  <c r="F189" i="5"/>
  <c r="E189" i="5"/>
  <c r="D189" i="5"/>
  <c r="F188" i="5"/>
  <c r="F200" i="5" s="1"/>
  <c r="E188" i="5"/>
  <c r="D188" i="5"/>
  <c r="F184" i="5"/>
  <c r="E184" i="5"/>
  <c r="D184" i="5"/>
  <c r="F183" i="5"/>
  <c r="F199" i="5" s="1"/>
  <c r="E183" i="5"/>
  <c r="E185" i="5" s="1"/>
  <c r="D183" i="5"/>
  <c r="D199" i="5" s="1"/>
  <c r="F176" i="5"/>
  <c r="E176" i="5"/>
  <c r="F175" i="5"/>
  <c r="E175" i="5"/>
  <c r="F174" i="5"/>
  <c r="E174" i="5"/>
  <c r="D172" i="5"/>
  <c r="F170" i="5"/>
  <c r="F172" i="5" s="1"/>
  <c r="E170" i="5"/>
  <c r="E172" i="5" s="1"/>
  <c r="D170" i="5"/>
  <c r="H169" i="5"/>
  <c r="I169" i="5" s="1"/>
  <c r="J169" i="5" s="1"/>
  <c r="K169" i="5" s="1"/>
  <c r="G169" i="5"/>
  <c r="G168" i="5"/>
  <c r="H168" i="5" s="1"/>
  <c r="I168" i="5" s="1"/>
  <c r="J168" i="5" s="1"/>
  <c r="K168" i="5" s="1"/>
  <c r="G167" i="5"/>
  <c r="F159" i="5"/>
  <c r="F161" i="5" s="1"/>
  <c r="E159" i="5"/>
  <c r="E161" i="5" s="1"/>
  <c r="D159" i="5"/>
  <c r="D161" i="5" s="1"/>
  <c r="F155" i="5"/>
  <c r="E155" i="5"/>
  <c r="D155" i="5"/>
  <c r="G155" i="5" s="1"/>
  <c r="H155" i="5" s="1"/>
  <c r="F152" i="5"/>
  <c r="E152" i="5"/>
  <c r="F149" i="5" s="1"/>
  <c r="D152" i="5"/>
  <c r="F150" i="5"/>
  <c r="F154" i="5" s="1"/>
  <c r="E150" i="5"/>
  <c r="E154" i="5" s="1"/>
  <c r="D150" i="5"/>
  <c r="D154" i="5" s="1"/>
  <c r="G149" i="5"/>
  <c r="E149" i="5"/>
  <c r="G140" i="5"/>
  <c r="F103" i="5"/>
  <c r="F105" i="5" s="1"/>
  <c r="E103" i="5"/>
  <c r="E105" i="5" s="1"/>
  <c r="D103" i="5"/>
  <c r="D105" i="5" s="1"/>
  <c r="G101" i="5"/>
  <c r="G100" i="5"/>
  <c r="G99" i="5"/>
  <c r="G98" i="5"/>
  <c r="F93" i="5"/>
  <c r="E93" i="5"/>
  <c r="D93" i="5"/>
  <c r="G90" i="5"/>
  <c r="F87" i="5"/>
  <c r="E87" i="5"/>
  <c r="E95" i="5" s="1"/>
  <c r="E107" i="5" s="1"/>
  <c r="D87" i="5"/>
  <c r="D95" i="5" s="1"/>
  <c r="G85" i="5"/>
  <c r="G81" i="5"/>
  <c r="F74" i="5"/>
  <c r="E74" i="5"/>
  <c r="D74" i="5"/>
  <c r="G72" i="5"/>
  <c r="G71" i="5"/>
  <c r="G70" i="5"/>
  <c r="F63" i="5"/>
  <c r="F76" i="5" s="1"/>
  <c r="E63" i="5"/>
  <c r="E76" i="5" s="1"/>
  <c r="D63" i="5"/>
  <c r="D76" i="5" s="1"/>
  <c r="G61" i="5"/>
  <c r="G60" i="5"/>
  <c r="G58" i="5"/>
  <c r="I48" i="5"/>
  <c r="J48" i="5" s="1"/>
  <c r="K48" i="5" s="1"/>
  <c r="H48" i="5"/>
  <c r="G47" i="5"/>
  <c r="H47" i="5" s="1"/>
  <c r="I47" i="5" s="1"/>
  <c r="J47" i="5" s="1"/>
  <c r="K47" i="5" s="1"/>
  <c r="F47" i="5"/>
  <c r="E47" i="5"/>
  <c r="D47" i="5"/>
  <c r="G46" i="5"/>
  <c r="H46" i="5" s="1"/>
  <c r="F46" i="5"/>
  <c r="E46" i="5"/>
  <c r="D46" i="5"/>
  <c r="G45" i="5"/>
  <c r="F45" i="5"/>
  <c r="E45" i="5"/>
  <c r="D45" i="5"/>
  <c r="G44" i="5"/>
  <c r="F44" i="5"/>
  <c r="E44" i="5"/>
  <c r="D44" i="5"/>
  <c r="G43" i="5"/>
  <c r="F43" i="5"/>
  <c r="E43" i="5"/>
  <c r="D43" i="5"/>
  <c r="F41" i="5"/>
  <c r="E41" i="5"/>
  <c r="D31" i="5"/>
  <c r="D33" i="5" s="1"/>
  <c r="H24" i="5"/>
  <c r="I24" i="5" s="1"/>
  <c r="J24" i="5" s="1"/>
  <c r="K24" i="5" s="1"/>
  <c r="F18" i="5"/>
  <c r="F42" i="5" s="1"/>
  <c r="E18" i="5"/>
  <c r="E25" i="5" s="1"/>
  <c r="E31" i="5" s="1"/>
  <c r="D18" i="5"/>
  <c r="D25" i="5" s="1"/>
  <c r="F14" i="5"/>
  <c r="E14" i="5" s="1"/>
  <c r="E52" i="5" s="1"/>
  <c r="F13" i="5"/>
  <c r="E13" i="5" s="1"/>
  <c r="C2" i="5"/>
  <c r="E209" i="5" l="1"/>
  <c r="K81" i="5"/>
  <c r="J209" i="5"/>
  <c r="J87" i="5"/>
  <c r="K58" i="5"/>
  <c r="K61" i="5"/>
  <c r="K98" i="5"/>
  <c r="I87" i="5"/>
  <c r="I95" i="5" s="1"/>
  <c r="I209" i="5"/>
  <c r="J70" i="5"/>
  <c r="J90" i="5"/>
  <c r="F25" i="5"/>
  <c r="F31" i="5" s="1"/>
  <c r="F95" i="5"/>
  <c r="D191" i="5"/>
  <c r="F210" i="5"/>
  <c r="F275" i="5"/>
  <c r="G275" i="5" s="1"/>
  <c r="G272" i="5" s="1"/>
  <c r="G312" i="5"/>
  <c r="E191" i="5"/>
  <c r="E193" i="5" s="1"/>
  <c r="E194" i="5" s="1"/>
  <c r="D107" i="5"/>
  <c r="D109" i="5" s="1"/>
  <c r="D185" i="5"/>
  <c r="D200" i="5"/>
  <c r="E214" i="5"/>
  <c r="E215" i="5" s="1"/>
  <c r="G314" i="5"/>
  <c r="D237" i="5"/>
  <c r="D34" i="5"/>
  <c r="D227" i="5" s="1"/>
  <c r="H45" i="5"/>
  <c r="E303" i="5"/>
  <c r="E280" i="5"/>
  <c r="E269" i="5"/>
  <c r="E255" i="5"/>
  <c r="E223" i="5"/>
  <c r="E180" i="5"/>
  <c r="E204" i="5"/>
  <c r="E165" i="5"/>
  <c r="E292" i="5"/>
  <c r="E243" i="5"/>
  <c r="D14" i="5"/>
  <c r="E147" i="5"/>
  <c r="I46" i="5"/>
  <c r="F33" i="5"/>
  <c r="F48" i="5"/>
  <c r="E302" i="5"/>
  <c r="E279" i="5"/>
  <c r="E268" i="5"/>
  <c r="E254" i="5"/>
  <c r="E222" i="5"/>
  <c r="E179" i="5"/>
  <c r="E291" i="5"/>
  <c r="E203" i="5"/>
  <c r="E242" i="5"/>
  <c r="D13" i="5"/>
  <c r="E164" i="5"/>
  <c r="E146" i="5"/>
  <c r="H43" i="5"/>
  <c r="E51" i="5"/>
  <c r="G154" i="5"/>
  <c r="H215" i="5"/>
  <c r="E33" i="5"/>
  <c r="E48" i="5"/>
  <c r="H44" i="5"/>
  <c r="E109" i="5"/>
  <c r="F107" i="5"/>
  <c r="F109" i="5" s="1"/>
  <c r="I155" i="5"/>
  <c r="F279" i="5"/>
  <c r="F268" i="5"/>
  <c r="F254" i="5"/>
  <c r="F291" i="5"/>
  <c r="F242" i="5"/>
  <c r="F203" i="5"/>
  <c r="F164" i="5"/>
  <c r="F302" i="5"/>
  <c r="F280" i="5"/>
  <c r="F269" i="5"/>
  <c r="F255" i="5"/>
  <c r="F292" i="5"/>
  <c r="F243" i="5"/>
  <c r="F303" i="5"/>
  <c r="F204" i="5"/>
  <c r="F165" i="5"/>
  <c r="F51" i="5"/>
  <c r="D160" i="5"/>
  <c r="F222" i="5"/>
  <c r="H314" i="5"/>
  <c r="D42" i="5"/>
  <c r="G13" i="5"/>
  <c r="G14" i="5"/>
  <c r="E42" i="5"/>
  <c r="G209" i="5"/>
  <c r="G217" i="5" s="1"/>
  <c r="E160" i="5"/>
  <c r="G170" i="5"/>
  <c r="H167" i="5"/>
  <c r="F179" i="5"/>
  <c r="F180" i="5"/>
  <c r="F185" i="5"/>
  <c r="I288" i="5"/>
  <c r="H313" i="5"/>
  <c r="F191" i="5"/>
  <c r="D239" i="5"/>
  <c r="F52" i="5"/>
  <c r="F146" i="5"/>
  <c r="F147" i="5"/>
  <c r="F160" i="5"/>
  <c r="H217" i="5"/>
  <c r="I210" i="5"/>
  <c r="F219" i="5"/>
  <c r="F223" i="5"/>
  <c r="E275" i="5"/>
  <c r="H298" i="5"/>
  <c r="H312" i="5"/>
  <c r="J264" i="5"/>
  <c r="H275" i="5"/>
  <c r="E199" i="5"/>
  <c r="G199" i="5" s="1"/>
  <c r="E200" i="5"/>
  <c r="H250" i="5"/>
  <c r="I265" i="5"/>
  <c r="G276" i="5"/>
  <c r="J287" i="5"/>
  <c r="H299" i="5"/>
  <c r="G251" i="5"/>
  <c r="K70" i="5" l="1"/>
  <c r="K74" i="5" s="1"/>
  <c r="J74" i="5"/>
  <c r="J95" i="5"/>
  <c r="K87" i="5"/>
  <c r="K90" i="5"/>
  <c r="K93" i="5" s="1"/>
  <c r="J93" i="5"/>
  <c r="D193" i="5"/>
  <c r="G200" i="5"/>
  <c r="G42" i="5"/>
  <c r="H42" i="5" s="1"/>
  <c r="I42" i="5" s="1"/>
  <c r="J42" i="5" s="1"/>
  <c r="K42" i="5" s="1"/>
  <c r="G26" i="5"/>
  <c r="J265" i="5"/>
  <c r="K264" i="5"/>
  <c r="K287" i="5"/>
  <c r="I298" i="5"/>
  <c r="E237" i="5"/>
  <c r="E34" i="5"/>
  <c r="E227" i="5" s="1"/>
  <c r="D291" i="5"/>
  <c r="D302" i="5"/>
  <c r="D268" i="5"/>
  <c r="D222" i="5"/>
  <c r="D179" i="5"/>
  <c r="D254" i="5"/>
  <c r="D203" i="5"/>
  <c r="D51" i="5"/>
  <c r="D146" i="5"/>
  <c r="D279" i="5"/>
  <c r="D242" i="5"/>
  <c r="D164" i="5"/>
  <c r="F237" i="5"/>
  <c r="F34" i="5"/>
  <c r="F227" i="5" s="1"/>
  <c r="F239" i="5"/>
  <c r="G239" i="5" s="1"/>
  <c r="D292" i="5"/>
  <c r="D243" i="5"/>
  <c r="D303" i="5"/>
  <c r="D255" i="5"/>
  <c r="D280" i="5"/>
  <c r="D223" i="5"/>
  <c r="D180" i="5"/>
  <c r="D269" i="5"/>
  <c r="D204" i="5"/>
  <c r="D52" i="5"/>
  <c r="D165" i="5"/>
  <c r="D147" i="5"/>
  <c r="H199" i="5"/>
  <c r="G183" i="5"/>
  <c r="J288" i="5"/>
  <c r="H154" i="5"/>
  <c r="I299" i="5"/>
  <c r="G273" i="5"/>
  <c r="H276" i="5"/>
  <c r="I250" i="5"/>
  <c r="I312" i="5"/>
  <c r="H26" i="5"/>
  <c r="I313" i="5"/>
  <c r="F193" i="5"/>
  <c r="G16" i="5"/>
  <c r="G280" i="5"/>
  <c r="G269" i="5"/>
  <c r="G255" i="5"/>
  <c r="G292" i="5"/>
  <c r="G243" i="5"/>
  <c r="G303" i="5"/>
  <c r="G223" i="5"/>
  <c r="G204" i="5"/>
  <c r="G180" i="5"/>
  <c r="G165" i="5"/>
  <c r="H14" i="5"/>
  <c r="G113" i="5"/>
  <c r="G52" i="5"/>
  <c r="G147" i="5"/>
  <c r="E239" i="5"/>
  <c r="J155" i="5"/>
  <c r="I44" i="5"/>
  <c r="I43" i="5"/>
  <c r="J46" i="5"/>
  <c r="I45" i="5"/>
  <c r="I275" i="5"/>
  <c r="I217" i="5"/>
  <c r="J210" i="5"/>
  <c r="I167" i="5"/>
  <c r="H170" i="5"/>
  <c r="G248" i="5"/>
  <c r="H251" i="5"/>
  <c r="H200" i="5"/>
  <c r="G279" i="5"/>
  <c r="G268" i="5"/>
  <c r="G254" i="5"/>
  <c r="G291" i="5"/>
  <c r="G242" i="5"/>
  <c r="G302" i="5"/>
  <c r="G222" i="5"/>
  <c r="G179" i="5"/>
  <c r="G164" i="5"/>
  <c r="H13" i="5"/>
  <c r="G112" i="5"/>
  <c r="G146" i="5"/>
  <c r="G51" i="5"/>
  <c r="G203" i="5"/>
  <c r="I314" i="5"/>
  <c r="I215" i="5"/>
  <c r="K95" i="5" l="1"/>
  <c r="K209" i="5"/>
  <c r="E195" i="5"/>
  <c r="D194" i="5"/>
  <c r="H291" i="5"/>
  <c r="H302" i="5"/>
  <c r="H254" i="5"/>
  <c r="H242" i="5"/>
  <c r="H222" i="5"/>
  <c r="H179" i="5"/>
  <c r="H279" i="5"/>
  <c r="H203" i="5"/>
  <c r="H268" i="5"/>
  <c r="H51" i="5"/>
  <c r="H112" i="5"/>
  <c r="H146" i="5"/>
  <c r="H164" i="5"/>
  <c r="I13" i="5"/>
  <c r="I251" i="5"/>
  <c r="K210" i="5"/>
  <c r="J217" i="5"/>
  <c r="J313" i="5"/>
  <c r="J312" i="5"/>
  <c r="I276" i="5"/>
  <c r="I154" i="5"/>
  <c r="G56" i="5"/>
  <c r="H237" i="5"/>
  <c r="K265" i="5"/>
  <c r="J314" i="5"/>
  <c r="I170" i="5"/>
  <c r="J167" i="5"/>
  <c r="K46" i="5"/>
  <c r="J215" i="5"/>
  <c r="I26" i="5"/>
  <c r="J45" i="5"/>
  <c r="J43" i="5"/>
  <c r="K155" i="5"/>
  <c r="G283" i="5"/>
  <c r="G258" i="5"/>
  <c r="G259" i="5"/>
  <c r="G160" i="5" s="1"/>
  <c r="G189" i="5"/>
  <c r="G83" i="5" s="1"/>
  <c r="G184" i="5"/>
  <c r="G57" i="5" s="1"/>
  <c r="G151" i="5"/>
  <c r="G41" i="5"/>
  <c r="G22" i="5"/>
  <c r="G18" i="5"/>
  <c r="G21" i="5"/>
  <c r="G20" i="5"/>
  <c r="G308" i="5"/>
  <c r="G307" i="5"/>
  <c r="G311" i="5" s="1"/>
  <c r="G296" i="5"/>
  <c r="G246" i="5"/>
  <c r="G309" i="5"/>
  <c r="G247" i="5" s="1"/>
  <c r="G295" i="5"/>
  <c r="G19" i="5"/>
  <c r="G284" i="5"/>
  <c r="G190" i="5"/>
  <c r="G84" i="5" s="1"/>
  <c r="G121" i="5"/>
  <c r="G274" i="5"/>
  <c r="G150" i="5"/>
  <c r="I199" i="5"/>
  <c r="J298" i="5"/>
  <c r="I200" i="5"/>
  <c r="F194" i="5"/>
  <c r="F195" i="5"/>
  <c r="J299" i="5"/>
  <c r="H16" i="5"/>
  <c r="H183" i="5" s="1"/>
  <c r="J275" i="5"/>
  <c r="J44" i="5"/>
  <c r="H292" i="5"/>
  <c r="H243" i="5"/>
  <c r="H303" i="5"/>
  <c r="H280" i="5"/>
  <c r="H269" i="5"/>
  <c r="H223" i="5"/>
  <c r="H180" i="5"/>
  <c r="H204" i="5"/>
  <c r="H113" i="5"/>
  <c r="H52" i="5"/>
  <c r="H255" i="5"/>
  <c r="H147" i="5"/>
  <c r="H165" i="5"/>
  <c r="I14" i="5"/>
  <c r="G172" i="5"/>
  <c r="J250" i="5"/>
  <c r="K288" i="5"/>
  <c r="H239" i="5"/>
  <c r="K217" i="5" l="1"/>
  <c r="K26" i="5" s="1"/>
  <c r="G285" i="5"/>
  <c r="I303" i="5"/>
  <c r="I280" i="5"/>
  <c r="I269" i="5"/>
  <c r="I255" i="5"/>
  <c r="I223" i="5"/>
  <c r="I180" i="5"/>
  <c r="I204" i="5"/>
  <c r="I165" i="5"/>
  <c r="I292" i="5"/>
  <c r="I243" i="5"/>
  <c r="I147" i="5"/>
  <c r="J14" i="5"/>
  <c r="I113" i="5"/>
  <c r="I52" i="5"/>
  <c r="K299" i="5"/>
  <c r="H271" i="5"/>
  <c r="G92" i="5"/>
  <c r="G260" i="5"/>
  <c r="G262" i="5"/>
  <c r="K275" i="5"/>
  <c r="G297" i="5"/>
  <c r="H305" i="5"/>
  <c r="G67" i="5"/>
  <c r="G118" i="5" s="1"/>
  <c r="G17" i="5"/>
  <c r="G188" i="5" s="1"/>
  <c r="H282" i="5"/>
  <c r="G73" i="5"/>
  <c r="G120" i="5" s="1"/>
  <c r="K43" i="5"/>
  <c r="G185" i="5"/>
  <c r="J276" i="5"/>
  <c r="K313" i="5"/>
  <c r="J251" i="5"/>
  <c r="J154" i="5"/>
  <c r="K312" i="5"/>
  <c r="J26" i="5"/>
  <c r="I302" i="5"/>
  <c r="I279" i="5"/>
  <c r="I268" i="5"/>
  <c r="I254" i="5"/>
  <c r="I291" i="5"/>
  <c r="I242" i="5"/>
  <c r="I222" i="5"/>
  <c r="I179" i="5"/>
  <c r="I203" i="5"/>
  <c r="I164" i="5"/>
  <c r="I112" i="5"/>
  <c r="J13" i="5"/>
  <c r="I146" i="5"/>
  <c r="I51" i="5"/>
  <c r="K298" i="5"/>
  <c r="G116" i="5"/>
  <c r="G161" i="5"/>
  <c r="G23" i="5" s="1"/>
  <c r="I16" i="5"/>
  <c r="I239" i="5"/>
  <c r="K250" i="5"/>
  <c r="H258" i="5"/>
  <c r="H41" i="5"/>
  <c r="H18" i="5"/>
  <c r="H22" i="5"/>
  <c r="H184" i="5"/>
  <c r="H185" i="5" s="1"/>
  <c r="H259" i="5"/>
  <c r="H283" i="5"/>
  <c r="H284" i="5"/>
  <c r="H189" i="5"/>
  <c r="H151" i="5"/>
  <c r="H190" i="5"/>
  <c r="H295" i="5"/>
  <c r="H296" i="5"/>
  <c r="H309" i="5"/>
  <c r="H247" i="5" s="1"/>
  <c r="H20" i="5"/>
  <c r="H307" i="5"/>
  <c r="H308" i="5"/>
  <c r="H19" i="5"/>
  <c r="H21" i="5"/>
  <c r="H246" i="5"/>
  <c r="J200" i="5"/>
  <c r="J199" i="5"/>
  <c r="K314" i="5"/>
  <c r="K44" i="5"/>
  <c r="H172" i="5"/>
  <c r="G130" i="5"/>
  <c r="G152" i="5"/>
  <c r="G249" i="5"/>
  <c r="K45" i="5"/>
  <c r="K215" i="5"/>
  <c r="J170" i="5"/>
  <c r="K167" i="5"/>
  <c r="K170" i="5" s="1"/>
  <c r="I237" i="5"/>
  <c r="H150" i="5"/>
  <c r="E25" i="2" l="1"/>
  <c r="G25" i="5"/>
  <c r="E18" i="2" s="1"/>
  <c r="H245" i="5"/>
  <c r="G69" i="5"/>
  <c r="G119" i="5" s="1"/>
  <c r="K246" i="5"/>
  <c r="K276" i="5"/>
  <c r="G82" i="5"/>
  <c r="G191" i="5"/>
  <c r="H294" i="5"/>
  <c r="H297" i="5" s="1"/>
  <c r="I294" i="5" s="1"/>
  <c r="G59" i="5"/>
  <c r="H261" i="5"/>
  <c r="H262" i="5" s="1"/>
  <c r="I261" i="5" s="1"/>
  <c r="G86" i="5"/>
  <c r="G91" i="5"/>
  <c r="G93" i="5" s="1"/>
  <c r="K296" i="5"/>
  <c r="J237" i="5"/>
  <c r="I41" i="5"/>
  <c r="I18" i="5"/>
  <c r="I258" i="5"/>
  <c r="I189" i="5"/>
  <c r="I190" i="5"/>
  <c r="I184" i="5"/>
  <c r="I283" i="5"/>
  <c r="I22" i="5"/>
  <c r="I259" i="5"/>
  <c r="I284" i="5"/>
  <c r="I151" i="5"/>
  <c r="I307" i="5"/>
  <c r="I295" i="5"/>
  <c r="I21" i="5"/>
  <c r="I20" i="5"/>
  <c r="I246" i="5"/>
  <c r="I308" i="5"/>
  <c r="I19" i="5"/>
  <c r="I309" i="5"/>
  <c r="I247" i="5" s="1"/>
  <c r="I296" i="5"/>
  <c r="J279" i="5"/>
  <c r="J268" i="5"/>
  <c r="J254" i="5"/>
  <c r="J291" i="5"/>
  <c r="J242" i="5"/>
  <c r="J203" i="5"/>
  <c r="J164" i="5"/>
  <c r="J302" i="5"/>
  <c r="J146" i="5"/>
  <c r="J179" i="5"/>
  <c r="J112" i="5"/>
  <c r="J222" i="5"/>
  <c r="K13" i="5"/>
  <c r="J51" i="5"/>
  <c r="I150" i="5"/>
  <c r="K199" i="5"/>
  <c r="H17" i="5"/>
  <c r="H188" i="5" s="1"/>
  <c r="H191" i="5" s="1"/>
  <c r="H193" i="5" s="1"/>
  <c r="K251" i="5"/>
  <c r="J280" i="5"/>
  <c r="J269" i="5"/>
  <c r="J255" i="5"/>
  <c r="J292" i="5"/>
  <c r="J243" i="5"/>
  <c r="J204" i="5"/>
  <c r="J165" i="5"/>
  <c r="J303" i="5"/>
  <c r="J147" i="5"/>
  <c r="J223" i="5"/>
  <c r="J180" i="5"/>
  <c r="K14" i="5"/>
  <c r="J52" i="5"/>
  <c r="J113" i="5"/>
  <c r="G193" i="5"/>
  <c r="H257" i="5"/>
  <c r="H260" i="5" s="1"/>
  <c r="I257" i="5" s="1"/>
  <c r="G68" i="5"/>
  <c r="K16" i="5"/>
  <c r="K309" i="5" s="1"/>
  <c r="K247" i="5" s="1"/>
  <c r="K21" i="5"/>
  <c r="G66" i="5"/>
  <c r="G74" i="5" s="1"/>
  <c r="H149" i="5"/>
  <c r="H152" i="5" s="1"/>
  <c r="I149" i="5" s="1"/>
  <c r="K200" i="5"/>
  <c r="J239" i="5"/>
  <c r="I172" i="5"/>
  <c r="K154" i="5"/>
  <c r="K308" i="5"/>
  <c r="J16" i="5"/>
  <c r="G131" i="5"/>
  <c r="I183" i="5"/>
  <c r="H285" i="5"/>
  <c r="I282" i="5" s="1"/>
  <c r="H311" i="5"/>
  <c r="I305" i="5" s="1"/>
  <c r="H274" i="5"/>
  <c r="I271" i="5" s="1"/>
  <c r="H272" i="5"/>
  <c r="H273" i="5"/>
  <c r="E23" i="2" l="1"/>
  <c r="E30" i="2" s="1"/>
  <c r="E38" i="2" s="1"/>
  <c r="C18" i="2"/>
  <c r="E21" i="2"/>
  <c r="E19" i="2"/>
  <c r="G37" i="5"/>
  <c r="I285" i="5"/>
  <c r="J282" i="5" s="1"/>
  <c r="K295" i="5"/>
  <c r="G135" i="5"/>
  <c r="I185" i="5"/>
  <c r="K150" i="5"/>
  <c r="I152" i="5"/>
  <c r="J149" i="5" s="1"/>
  <c r="K172" i="5"/>
  <c r="K19" i="5"/>
  <c r="G87" i="5"/>
  <c r="G95" i="5" s="1"/>
  <c r="H194" i="5"/>
  <c r="I272" i="5"/>
  <c r="I273" i="5"/>
  <c r="J41" i="5"/>
  <c r="J18" i="5"/>
  <c r="J184" i="5"/>
  <c r="J189" i="5"/>
  <c r="J190" i="5"/>
  <c r="J283" i="5"/>
  <c r="J258" i="5"/>
  <c r="J259" i="5"/>
  <c r="J151" i="5"/>
  <c r="J22" i="5"/>
  <c r="J284" i="5"/>
  <c r="J307" i="5"/>
  <c r="J246" i="5"/>
  <c r="J21" i="5"/>
  <c r="J20" i="5"/>
  <c r="J296" i="5"/>
  <c r="J308" i="5"/>
  <c r="J295" i="5"/>
  <c r="J19" i="5"/>
  <c r="J309" i="5"/>
  <c r="J247" i="5" s="1"/>
  <c r="J150" i="5"/>
  <c r="K239" i="5"/>
  <c r="J172" i="5"/>
  <c r="K280" i="5"/>
  <c r="K269" i="5"/>
  <c r="K255" i="5"/>
  <c r="K292" i="5"/>
  <c r="K243" i="5"/>
  <c r="K303" i="5"/>
  <c r="K223" i="5"/>
  <c r="K204" i="5"/>
  <c r="K147" i="5"/>
  <c r="K113" i="5"/>
  <c r="K52" i="5"/>
  <c r="K180" i="5"/>
  <c r="K165" i="5"/>
  <c r="K183" i="5"/>
  <c r="I297" i="5"/>
  <c r="J294" i="5" s="1"/>
  <c r="H248" i="5"/>
  <c r="J152" i="5"/>
  <c r="K149" i="5" s="1"/>
  <c r="K279" i="5"/>
  <c r="K268" i="5"/>
  <c r="K254" i="5"/>
  <c r="K291" i="5"/>
  <c r="K242" i="5"/>
  <c r="K302" i="5"/>
  <c r="K222" i="5"/>
  <c r="K203" i="5"/>
  <c r="K51" i="5"/>
  <c r="K112" i="5"/>
  <c r="K179" i="5"/>
  <c r="K164" i="5"/>
  <c r="K146" i="5"/>
  <c r="I262" i="5"/>
  <c r="J261" i="5" s="1"/>
  <c r="I311" i="5"/>
  <c r="J305" i="5" s="1"/>
  <c r="H195" i="5"/>
  <c r="G194" i="5"/>
  <c r="G195" i="5"/>
  <c r="G125" i="5" s="1"/>
  <c r="G126" i="5" s="1"/>
  <c r="G117" i="5"/>
  <c r="I193" i="5"/>
  <c r="K189" i="5"/>
  <c r="K184" i="5"/>
  <c r="K18" i="5"/>
  <c r="K41" i="5"/>
  <c r="K190" i="5"/>
  <c r="K258" i="5"/>
  <c r="K283" i="5"/>
  <c r="K284" i="5"/>
  <c r="K22" i="5"/>
  <c r="K151" i="5"/>
  <c r="K259" i="5"/>
  <c r="I260" i="5"/>
  <c r="J257" i="5" s="1"/>
  <c r="J260" i="5" s="1"/>
  <c r="K257" i="5" s="1"/>
  <c r="K20" i="5"/>
  <c r="J183" i="5"/>
  <c r="I17" i="5"/>
  <c r="I188" i="5" s="1"/>
  <c r="I191" i="5" s="1"/>
  <c r="K237" i="5"/>
  <c r="K307" i="5"/>
  <c r="G38" i="5" l="1"/>
  <c r="E16" i="2"/>
  <c r="J311" i="5"/>
  <c r="K305" i="5" s="1"/>
  <c r="I274" i="5"/>
  <c r="J271" i="5" s="1"/>
  <c r="J262" i="5"/>
  <c r="K261" i="5" s="1"/>
  <c r="K262" i="5" s="1"/>
  <c r="J285" i="5"/>
  <c r="K282" i="5" s="1"/>
  <c r="K285" i="5" s="1"/>
  <c r="J185" i="5"/>
  <c r="J272" i="5"/>
  <c r="J273" i="5"/>
  <c r="I194" i="5"/>
  <c r="K152" i="5"/>
  <c r="J297" i="5"/>
  <c r="K294" i="5" s="1"/>
  <c r="K297" i="5" s="1"/>
  <c r="K311" i="5"/>
  <c r="H160" i="5"/>
  <c r="H161" i="5"/>
  <c r="H23" i="5" s="1"/>
  <c r="K17" i="5"/>
  <c r="K188" i="5" s="1"/>
  <c r="K191" i="5" s="1"/>
  <c r="J17" i="5"/>
  <c r="J188" i="5" s="1"/>
  <c r="J191" i="5" s="1"/>
  <c r="J193" i="5" s="1"/>
  <c r="K260" i="5"/>
  <c r="H249" i="5"/>
  <c r="I245" i="5" s="1"/>
  <c r="K185" i="5"/>
  <c r="I195" i="5"/>
  <c r="H25" i="5" l="1"/>
  <c r="F18" i="2" s="1"/>
  <c r="F25" i="2"/>
  <c r="H37" i="5"/>
  <c r="E17" i="2"/>
  <c r="C16" i="2"/>
  <c r="J274" i="5"/>
  <c r="K271" i="5" s="1"/>
  <c r="K272" i="5"/>
  <c r="K273" i="5"/>
  <c r="K193" i="5"/>
  <c r="K194" i="5" s="1"/>
  <c r="J194" i="5"/>
  <c r="I248" i="5"/>
  <c r="J195" i="5"/>
  <c r="H38" i="5" l="1"/>
  <c r="F16" i="2"/>
  <c r="F17" i="2" s="1"/>
  <c r="F21" i="2"/>
  <c r="F23" i="2"/>
  <c r="F30" i="2" s="1"/>
  <c r="F38" i="2" s="1"/>
  <c r="F19" i="2"/>
  <c r="K274" i="5"/>
  <c r="I249" i="5"/>
  <c r="J245" i="5" s="1"/>
  <c r="J248" i="5"/>
  <c r="K195" i="5"/>
  <c r="I160" i="5"/>
  <c r="I161" i="5"/>
  <c r="I23" i="5" s="1"/>
  <c r="I25" i="5" l="1"/>
  <c r="G18" i="2" s="1"/>
  <c r="G25" i="2"/>
  <c r="I37" i="5"/>
  <c r="J160" i="5"/>
  <c r="J161" i="5"/>
  <c r="J23" i="5" s="1"/>
  <c r="J249" i="5"/>
  <c r="K245" i="5" s="1"/>
  <c r="I38" i="5" l="1"/>
  <c r="G16" i="2"/>
  <c r="G17" i="2" s="1"/>
  <c r="J25" i="5"/>
  <c r="H18" i="2" s="1"/>
  <c r="J37" i="5"/>
  <c r="H25" i="2"/>
  <c r="G21" i="2"/>
  <c r="G23" i="2"/>
  <c r="G30" i="2" s="1"/>
  <c r="G38" i="2" s="1"/>
  <c r="G19" i="2"/>
  <c r="K248" i="5"/>
  <c r="J38" i="5" l="1"/>
  <c r="H16" i="2"/>
  <c r="H17" i="2" s="1"/>
  <c r="H19" i="2"/>
  <c r="H21" i="2"/>
  <c r="H23" i="2"/>
  <c r="H30" i="2" s="1"/>
  <c r="H38" i="2" s="1"/>
  <c r="K160" i="5"/>
  <c r="K161" i="5"/>
  <c r="K23" i="5" s="1"/>
  <c r="K249" i="5"/>
  <c r="K25" i="5" l="1"/>
  <c r="I18" i="2" s="1"/>
  <c r="K37" i="5"/>
  <c r="I25" i="2"/>
  <c r="O90" i="2"/>
  <c r="P90" i="2" s="1"/>
  <c r="Q90" i="2" s="1"/>
  <c r="G90" i="2"/>
  <c r="F90" i="2" s="1"/>
  <c r="E90" i="2" s="1"/>
  <c r="K38" i="5" l="1"/>
  <c r="I16" i="2"/>
  <c r="I23" i="2"/>
  <c r="I30" i="2" s="1"/>
  <c r="I38" i="2" s="1"/>
  <c r="I21" i="2"/>
  <c r="I19" i="2"/>
  <c r="H90" i="2"/>
  <c r="I90" i="2" s="1"/>
  <c r="N90" i="2"/>
  <c r="M90" i="2" s="1"/>
  <c r="C43" i="2" l="1"/>
  <c r="C44" i="2" s="1"/>
  <c r="I17" i="2"/>
  <c r="I42" i="2"/>
  <c r="I44" i="2" s="1"/>
  <c r="I45" i="2" s="1"/>
  <c r="Q130" i="2"/>
  <c r="O130" i="2"/>
  <c r="Q129" i="2"/>
  <c r="O129" i="2"/>
  <c r="Q128" i="2"/>
  <c r="O128" i="2"/>
  <c r="D130" i="2"/>
  <c r="E129" i="2"/>
  <c r="C129" i="2"/>
  <c r="E128" i="2"/>
  <c r="C128" i="2"/>
  <c r="I51" i="2" l="1"/>
  <c r="C45" i="2"/>
  <c r="C51" i="2"/>
  <c r="P129" i="2"/>
  <c r="D128" i="2"/>
  <c r="P128" i="2"/>
  <c r="P130" i="2"/>
  <c r="D129" i="2"/>
  <c r="B3" i="3" l="1"/>
  <c r="B35" i="2"/>
  <c r="C12" i="2" l="1"/>
  <c r="D37" i="2"/>
  <c r="D12" i="2"/>
  <c r="E12" i="2" s="1"/>
  <c r="E37" i="2" s="1"/>
  <c r="D5" i="2"/>
  <c r="C38" i="2" l="1"/>
  <c r="F12" i="2"/>
  <c r="F37" i="2" s="1"/>
  <c r="G12" i="2" l="1"/>
  <c r="G37" i="2" s="1"/>
  <c r="H12" i="2" l="1"/>
  <c r="H37" i="2" s="1"/>
  <c r="I12" i="2" l="1"/>
  <c r="I37" i="2" s="1"/>
  <c r="B43" i="2" l="1"/>
  <c r="E44" i="2"/>
  <c r="B44" i="2"/>
  <c r="G99" i="2" l="1"/>
  <c r="F99" i="2" s="1"/>
  <c r="E99" i="2" s="1"/>
  <c r="O99" i="2"/>
  <c r="P99" i="2" s="1"/>
  <c r="Q99" i="2" s="1"/>
  <c r="N99" i="2" l="1"/>
  <c r="M99" i="2" s="1"/>
  <c r="H99" i="2"/>
  <c r="I99" i="2" s="1"/>
  <c r="H4" i="2" l="1"/>
  <c r="L93" i="2"/>
  <c r="D102" i="2"/>
  <c r="D93" i="2"/>
  <c r="L102" i="2"/>
  <c r="I39" i="2" l="1"/>
  <c r="E39" i="2"/>
  <c r="H39" i="2"/>
  <c r="G39" i="2"/>
  <c r="F39" i="2"/>
  <c r="B129" i="2"/>
  <c r="D103" i="2"/>
  <c r="D104" i="2" s="1"/>
  <c r="D101" i="2"/>
  <c r="D100" i="2" s="1"/>
  <c r="B128" i="2"/>
  <c r="G128" i="2"/>
  <c r="L94" i="2"/>
  <c r="L95" i="2" s="1"/>
  <c r="L92" i="2"/>
  <c r="L91" i="2" s="1"/>
  <c r="D94" i="2"/>
  <c r="D95" i="2" s="1"/>
  <c r="D92" i="2"/>
  <c r="D91" i="2" s="1"/>
  <c r="G129" i="2"/>
  <c r="L101" i="2"/>
  <c r="L100" i="2" s="1"/>
  <c r="L103" i="2"/>
  <c r="L104" i="2" s="1"/>
  <c r="G130" i="2" s="1"/>
  <c r="C46" i="2" l="1"/>
  <c r="I46" i="2" l="1"/>
  <c r="I47" i="2" s="1"/>
  <c r="C47" i="2"/>
  <c r="C69" i="2" s="1"/>
  <c r="C83" i="2" l="1"/>
  <c r="C71" i="2"/>
  <c r="C73" i="2" s="1"/>
  <c r="I49" i="2"/>
  <c r="I50" i="2" s="1"/>
  <c r="D69" i="2"/>
  <c r="D71" i="2" s="1"/>
  <c r="D73" i="2" s="1"/>
  <c r="D99" i="2" s="1"/>
  <c r="C84" i="2"/>
  <c r="C77" i="2"/>
  <c r="C79" i="2"/>
  <c r="C78" i="2"/>
  <c r="L90" i="2" s="1"/>
  <c r="C82" i="2"/>
  <c r="C49" i="2"/>
  <c r="C50" i="2" s="1"/>
  <c r="D90" i="2" l="1"/>
  <c r="H7" i="2"/>
  <c r="H8" i="2" s="1"/>
  <c r="D77" i="2"/>
  <c r="D79" i="2"/>
  <c r="D78" i="2"/>
  <c r="L99" i="2" s="1"/>
  <c r="D82" i="2"/>
  <c r="D84" i="2"/>
  <c r="D83" i="2"/>
  <c r="G27" i="5"/>
  <c r="G31" i="5"/>
  <c r="G32" i="5" s="1"/>
  <c r="G33" i="5" s="1"/>
  <c r="G219" i="5"/>
  <c r="G115" i="5" l="1"/>
  <c r="G122" i="5" s="1"/>
  <c r="G127" i="5" s="1"/>
  <c r="G233" i="5"/>
  <c r="G228" i="5"/>
  <c r="G136" i="5" s="1"/>
  <c r="G137" i="5" s="1"/>
  <c r="G35" i="5" l="1"/>
  <c r="G34" i="5" s="1"/>
  <c r="G227" i="5" s="1"/>
  <c r="G229" i="5" s="1"/>
  <c r="G235" i="5"/>
  <c r="G139" i="5"/>
  <c r="G141" i="5" s="1"/>
  <c r="G62" i="5" l="1"/>
  <c r="G143" i="5" s="1"/>
  <c r="H232" i="5"/>
  <c r="G104" i="5"/>
  <c r="G102" i="5"/>
  <c r="G103" i="5" s="1"/>
  <c r="H226" i="5"/>
  <c r="G105" i="5" l="1"/>
  <c r="G107" i="5" s="1"/>
  <c r="H140" i="5"/>
  <c r="G63" i="5"/>
  <c r="G76" i="5" s="1"/>
  <c r="G213" i="5"/>
  <c r="H218" i="5" s="1"/>
  <c r="G109" i="5" l="1"/>
  <c r="G214" i="5"/>
  <c r="H219" i="5" l="1"/>
  <c r="H27" i="5" l="1"/>
  <c r="H31" i="5" s="1"/>
  <c r="H32" i="5" s="1"/>
  <c r="H33" i="5" s="1"/>
  <c r="H115" i="5" s="1"/>
  <c r="H122" i="5" s="1"/>
  <c r="H127" i="5" s="1"/>
  <c r="H233" i="5" l="1"/>
  <c r="H228" i="5"/>
  <c r="H136" i="5" s="1"/>
  <c r="H137" i="5" s="1"/>
  <c r="H139" i="5" s="1"/>
  <c r="H141" i="5" s="1"/>
  <c r="H35" i="5"/>
  <c r="H34" i="5" s="1"/>
  <c r="H227" i="5" s="1"/>
  <c r="H229" i="5" s="1"/>
  <c r="H235" i="5"/>
  <c r="H62" i="5" l="1"/>
  <c r="H143" i="5"/>
  <c r="H104" i="5"/>
  <c r="I232" i="5"/>
  <c r="I226" i="5"/>
  <c r="H102" i="5"/>
  <c r="H103" i="5" s="1"/>
  <c r="H63" i="5" l="1"/>
  <c r="H76" i="5" s="1"/>
  <c r="H213" i="5"/>
  <c r="I140" i="5"/>
  <c r="H105" i="5"/>
  <c r="H107" i="5" s="1"/>
  <c r="H109" i="5" s="1"/>
  <c r="I218" i="5" l="1"/>
  <c r="H214" i="5"/>
  <c r="I27" i="5" l="1"/>
  <c r="I31" i="5" s="1"/>
  <c r="I32" i="5" s="1"/>
  <c r="I33" i="5" s="1"/>
  <c r="I219" i="5"/>
  <c r="I233" i="5" l="1"/>
  <c r="I115" i="5"/>
  <c r="I122" i="5" s="1"/>
  <c r="I127" i="5" s="1"/>
  <c r="I139" i="5" s="1"/>
  <c r="I141" i="5" s="1"/>
  <c r="I62" i="5" s="1"/>
  <c r="I63" i="5" s="1"/>
  <c r="I76" i="5" s="1"/>
  <c r="I228" i="5"/>
  <c r="I136" i="5" s="1"/>
  <c r="I137" i="5" s="1"/>
  <c r="J140" i="5" l="1"/>
  <c r="I213" i="5"/>
  <c r="J218" i="5" s="1"/>
  <c r="I143" i="5"/>
  <c r="I35" i="5"/>
  <c r="I34" i="5" s="1"/>
  <c r="I227" i="5" s="1"/>
  <c r="I229" i="5" s="1"/>
  <c r="I235" i="5"/>
  <c r="I214" i="5"/>
  <c r="J226" i="5" l="1"/>
  <c r="I102" i="5"/>
  <c r="I103" i="5" s="1"/>
  <c r="I105" i="5" s="1"/>
  <c r="I107" i="5" s="1"/>
  <c r="I109" i="5" s="1"/>
  <c r="I104" i="5"/>
  <c r="J232" i="5"/>
  <c r="J219" i="5"/>
  <c r="J27" i="5"/>
  <c r="J31" i="5" s="1"/>
  <c r="J32" i="5" l="1"/>
  <c r="J33" i="5" s="1"/>
  <c r="J233" i="5" l="1"/>
  <c r="J228" i="5"/>
  <c r="J136" i="5" s="1"/>
  <c r="J137" i="5" s="1"/>
  <c r="J115" i="5"/>
  <c r="J122" i="5" s="1"/>
  <c r="J127" i="5" s="1"/>
  <c r="J139" i="5" s="1"/>
  <c r="J141" i="5" s="1"/>
  <c r="J62" i="5" l="1"/>
  <c r="J35" i="5"/>
  <c r="J34" i="5" s="1"/>
  <c r="J227" i="5" s="1"/>
  <c r="J229" i="5" s="1"/>
  <c r="J235" i="5"/>
  <c r="K232" i="5" l="1"/>
  <c r="J104" i="5"/>
  <c r="K226" i="5"/>
  <c r="J102" i="5"/>
  <c r="J103" i="5" s="1"/>
  <c r="J105" i="5" s="1"/>
  <c r="J107" i="5" s="1"/>
  <c r="J213" i="5"/>
  <c r="K218" i="5" s="1"/>
  <c r="J63" i="5"/>
  <c r="J76" i="5" s="1"/>
  <c r="K140" i="5"/>
  <c r="J143" i="5"/>
  <c r="J214" i="5" l="1"/>
  <c r="J109" i="5"/>
  <c r="K27" i="5" l="1"/>
  <c r="K31" i="5" s="1"/>
  <c r="K219" i="5"/>
  <c r="K32" i="5" l="1"/>
  <c r="K33" i="5" s="1"/>
  <c r="K115" i="5" l="1"/>
  <c r="K122" i="5" s="1"/>
  <c r="K127" i="5" s="1"/>
  <c r="K233" i="5"/>
  <c r="K228" i="5"/>
  <c r="K136" i="5" s="1"/>
  <c r="K137" i="5" s="1"/>
  <c r="K139" i="5" l="1"/>
  <c r="K141" i="5" s="1"/>
  <c r="K35" i="5"/>
  <c r="K34" i="5" s="1"/>
  <c r="K227" i="5" s="1"/>
  <c r="K229" i="5" s="1"/>
  <c r="K102" i="5" s="1"/>
  <c r="K103" i="5" s="1"/>
  <c r="K235" i="5"/>
  <c r="K104" i="5" s="1"/>
  <c r="K62" i="5"/>
  <c r="K143" i="5" s="1"/>
  <c r="K105" i="5" l="1"/>
  <c r="K107" i="5" s="1"/>
  <c r="K63" i="5"/>
  <c r="K76" i="5" s="1"/>
  <c r="K109" i="5" s="1"/>
  <c r="K213" i="5"/>
  <c r="K21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F150" authorId="0" shapeId="0" xr:uid="{1563D1C4-FE2D-4959-AA60-B7F4622F4FC3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 Cash paid for Property, Equipment &amp; Intangibles [12] + Cash paid for Capital Work in Progress (CWIP) [12]</t>
        </r>
      </text>
    </comment>
    <comment ref="F159" authorId="0" shapeId="0" xr:uid="{3A00B54E-E030-48B9-9373-8C822E4FBEE1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Depreciation of Right-of-Use (ROU) Assets (Note 13) and Amortization of Intangible Assets (Note 14)</t>
        </r>
      </text>
    </comment>
    <comment ref="F272" authorId="0" shapeId="0" xr:uid="{32551BF0-7F24-48E8-B957-471861EA5847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Current Service Cost + Current Service Financing Cost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C06B5A11-57DD-4143-83C1-616DBB15F6A2}">
      <text>
        <r>
          <rPr>
            <b/>
            <sz val="9"/>
            <color indexed="81"/>
            <rFont val="Tahoma"/>
            <family val="2"/>
          </rPr>
          <t>Wall Street Prep:</t>
        </r>
        <r>
          <rPr>
            <sz val="9"/>
            <color indexed="81"/>
            <rFont val="Tahoma"/>
            <family val="2"/>
          </rPr>
          <t xml:space="preserve">
Implied g = [r -FCF(t)/TV]/(1+FCF(t)/TV)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10" authorId="0" shapeId="0" xr:uid="{80123CF2-7060-49DA-81F5-1263CAECCF1A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Saudi sovereign USD/SAR yield 10Y</t>
        </r>
      </text>
    </comment>
    <comment ref="C11" authorId="0" shapeId="0" xr:uid="{6B95AB09-7B91-47F8-B246-AFB96B32D79E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Blume-adjusted 0.31
Raw Beta -0.03</t>
        </r>
      </text>
    </comment>
    <comment ref="C12" authorId="0" shapeId="0" xr:uid="{59E05674-684A-4763-8371-658A97CA9A72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Damodaran Market Risk Premium</t>
        </r>
      </text>
    </comment>
  </commentList>
</comments>
</file>

<file path=xl/sharedStrings.xml><?xml version="1.0" encoding="utf-8"?>
<sst xmlns="http://schemas.openxmlformats.org/spreadsheetml/2006/main" count="405" uniqueCount="300">
  <si>
    <t>Company Name</t>
  </si>
  <si>
    <t>Ticker</t>
  </si>
  <si>
    <t>Last Historical Year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</si>
  <si>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</si>
  <si>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</si>
  <si>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</si>
  <si>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</si>
  <si>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</si>
  <si>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</si>
  <si>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</si>
  <si>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</si>
  <si>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</si>
  <si>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</si>
  <si>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</si>
  <si>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</si>
  <si>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</si>
  <si>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</si>
  <si>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Total Liabilites &amp; Equity</t>
  </si>
  <si>
    <t>Balance Check</t>
  </si>
  <si>
    <t>Cash Generated from Operations</t>
  </si>
  <si>
    <t>CASH FLOWS FROM INVESTING ACTIVITIES</t>
  </si>
  <si>
    <t>CASH FLOWS FROM FINANCING ACTIVITIES</t>
  </si>
  <si>
    <t>Reconciliation Check vs BS Cash</t>
  </si>
  <si>
    <t>Depreciation &amp; amortization</t>
  </si>
  <si>
    <t>EBITDA</t>
  </si>
  <si>
    <t>Revenue growth</t>
  </si>
  <si>
    <t>Tax rate</t>
  </si>
  <si>
    <t>Growth Rates &amp; Margins</t>
  </si>
  <si>
    <t>Latest Closing Share Price</t>
  </si>
  <si>
    <t>Latest Closing Share Price Date</t>
  </si>
  <si>
    <t>Shares outstanding</t>
  </si>
  <si>
    <t>PROPERTY, PLANT &amp; EQUIPMENT</t>
  </si>
  <si>
    <t>Beginning of period</t>
  </si>
  <si>
    <t>Plus: Capital expenditures</t>
  </si>
  <si>
    <t>Less: Depreciation</t>
  </si>
  <si>
    <t>End of period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</si>
  <si>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</si>
  <si>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</si>
  <si>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</si>
  <si>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</si>
  <si>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% growth</t>
  </si>
  <si>
    <t>INCOME STATEMENT</t>
  </si>
  <si>
    <t xml:space="preserve">Fiscal year  </t>
  </si>
  <si>
    <t>Fiscal year end date</t>
  </si>
  <si>
    <t>BALANCE SHEET</t>
  </si>
  <si>
    <t>CASH FLOW STATEMENT</t>
  </si>
  <si>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</si>
  <si>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</si>
  <si>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</si>
  <si>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</si>
  <si>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</si>
  <si>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</si>
  <si>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</si>
  <si>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</si>
  <si>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</si>
  <si>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Portion of First Year Cash Flows</t>
  </si>
  <si>
    <t>Unlevered Free Cash Flows</t>
  </si>
  <si>
    <t>LTM</t>
  </si>
  <si>
    <t>Actual</t>
  </si>
  <si>
    <t>Forecasts</t>
  </si>
  <si>
    <t>Fiscal year ended</t>
  </si>
  <si>
    <t>Revenue</t>
  </si>
  <si>
    <t>% margin</t>
  </si>
  <si>
    <t>EBIT</t>
  </si>
  <si>
    <t>Tax on EBIT</t>
  </si>
  <si>
    <t>NOPAT (aka EBIAT)</t>
  </si>
  <si>
    <t>Changes in net working capital</t>
  </si>
  <si>
    <t>Capital expenditures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</si>
  <si>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</si>
  <si>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</si>
  <si>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</si>
  <si>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</si>
  <si>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</si>
  <si>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</si>
  <si>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</si>
  <si>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</si>
  <si>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</si>
  <si>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</si>
  <si>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</si>
  <si>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</si>
  <si>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</si>
  <si>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</si>
  <si>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</si>
  <si>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</si>
  <si>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</si>
  <si>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</si>
  <si>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</si>
  <si>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</si>
  <si>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</si>
  <si>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</si>
  <si>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</si>
  <si>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</si>
  <si>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</si>
  <si>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</si>
  <si>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</si>
  <si>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</si>
  <si>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</si>
  <si>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</si>
  <si>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</si>
  <si>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</si>
  <si>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</si>
  <si>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</si>
  <si>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</si>
  <si>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</si>
  <si>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</si>
  <si>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</si>
  <si>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</si>
  <si>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</si>
  <si>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</si>
  <si>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</si>
  <si>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</si>
  <si>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</si>
  <si>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</si>
  <si>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</si>
  <si>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</si>
  <si>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</si>
  <si>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</si>
  <si>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</si>
  <si>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</si>
  <si>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</si>
  <si>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</si>
  <si>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</si>
  <si>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</si>
  <si>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</si>
  <si>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</si>
  <si>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</si>
  <si>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</si>
  <si>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</si>
  <si>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</si>
  <si>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</si>
  <si>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</si>
  <si>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</si>
  <si>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</si>
  <si>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</si>
  <si>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</si>
  <si>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</si>
  <si>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</si>
  <si>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</si>
  <si>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</si>
  <si>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</si>
  <si>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</si>
  <si>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</si>
  <si>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</si>
  <si>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</si>
  <si>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</si>
  <si>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</si>
  <si>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</si>
  <si>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CapEx % of revenue</t>
  </si>
  <si>
    <t>EBITDA margin %</t>
  </si>
  <si>
    <t>Implied Share Price</t>
  </si>
  <si>
    <t>Upside / (Downside)</t>
  </si>
  <si>
    <t>Finance costs</t>
  </si>
  <si>
    <t>Changes in Working Capital</t>
  </si>
  <si>
    <t>Net change in cash and cash equivalents</t>
  </si>
  <si>
    <t>Cash and cash equivalents at 1 January</t>
  </si>
  <si>
    <t>Cash and cash equivalents at 31 December</t>
  </si>
  <si>
    <t>WORKING CAPITAL SCHEDULE</t>
  </si>
  <si>
    <t>Operating Working Capital Assets</t>
  </si>
  <si>
    <t>Total Operating WC Assets</t>
  </si>
  <si>
    <t>Net Working Capital</t>
  </si>
  <si>
    <t>NWC as % of revenue</t>
  </si>
  <si>
    <t>Change in NWC (− = cash used)</t>
  </si>
  <si>
    <t>Operating Working Capital Liabilities</t>
  </si>
  <si>
    <t>Total Operating WC Liabilities</t>
  </si>
  <si>
    <t>DEBT &amp; INTEREST SCHEDULE</t>
  </si>
  <si>
    <t>Average debt</t>
  </si>
  <si>
    <t>Effective interest rate</t>
  </si>
  <si>
    <t>EQUITY &amp; NCI ROLL-FORWARD</t>
  </si>
  <si>
    <t>Retained Earnings</t>
  </si>
  <si>
    <t>Less: Dividends &amp; distributions</t>
  </si>
  <si>
    <t>End of period (= BS)</t>
  </si>
  <si>
    <t>Debt securities (optional cash asset)</t>
  </si>
  <si>
    <t>Operating cash flow before working capital</t>
  </si>
  <si>
    <t>Net cash flow from financing activities</t>
  </si>
  <si>
    <t>Net cash flows used in investing activities</t>
  </si>
  <si>
    <t>Net cash flows from operating activities</t>
  </si>
  <si>
    <t>PP&amp;E depreciation as % of revenue</t>
  </si>
  <si>
    <t>Consolidated FS 2025</t>
  </si>
  <si>
    <t>12/31/2025</t>
  </si>
  <si>
    <t>Midyear adjustment?</t>
  </si>
  <si>
    <t>WC DRIVERS (DAYS)</t>
  </si>
  <si>
    <t>DIO (days, off COGS)</t>
  </si>
  <si>
    <t>DSO (days, off revenue)</t>
  </si>
  <si>
    <t>DPO (days, off COGS)</t>
  </si>
  <si>
    <t>Plus: Additions</t>
  </si>
  <si>
    <t>Less: Amortization</t>
  </si>
  <si>
    <t>Additions % revenue</t>
  </si>
  <si>
    <t>Amortization % revenue</t>
  </si>
  <si>
    <t>LEASE SCHEDULE</t>
  </si>
  <si>
    <t>ROU — Beginning</t>
  </si>
  <si>
    <t>Plus: New leases</t>
  </si>
  <si>
    <t>Less: ROU depreciation</t>
  </si>
  <si>
    <t>ROU — End</t>
  </si>
  <si>
    <t>Lease liab — Beginning</t>
  </si>
  <si>
    <t>Lease liab — End</t>
  </si>
  <si>
    <t>ST share of liability</t>
  </si>
  <si>
    <t>New leases % revenue</t>
  </si>
  <si>
    <t>ROU dep % revenue</t>
  </si>
  <si>
    <t>All amounts are shown in Saudi riyal, except per-share data, ratios, and shares outstanding</t>
  </si>
  <si>
    <t>Total Debt (Excluding Leases)</t>
  </si>
  <si>
    <t>Provision</t>
  </si>
  <si>
    <t>Provision % of BOP</t>
  </si>
  <si>
    <t>Benefits paid % of BOP</t>
  </si>
  <si>
    <t>Gross profit</t>
  </si>
  <si>
    <t>Other income, net</t>
  </si>
  <si>
    <t>Operation profit</t>
  </si>
  <si>
    <t>Zakat</t>
  </si>
  <si>
    <t>Net Profit for the year</t>
  </si>
  <si>
    <t>Profit before Zakat</t>
  </si>
  <si>
    <t>Intangible assets</t>
  </si>
  <si>
    <t>Right-of-use assets</t>
  </si>
  <si>
    <t>Cash and cash equivalents</t>
  </si>
  <si>
    <t>Paid to purchase property, plant and equipment</t>
  </si>
  <si>
    <t>Proceeds from short term borrowings</t>
  </si>
  <si>
    <t>Lease payments</t>
  </si>
  <si>
    <t>Paid dividends</t>
  </si>
  <si>
    <t>Plus: Net income</t>
  </si>
  <si>
    <t>Dividend payout ratio % of Net Income</t>
  </si>
  <si>
    <t>INTANGIBLE ASSETS</t>
  </si>
  <si>
    <t>Less: Benefits paid</t>
  </si>
  <si>
    <t>Additions</t>
  </si>
  <si>
    <t>Additions % of Revenue</t>
  </si>
  <si>
    <t>Net income</t>
  </si>
  <si>
    <t>Revenues</t>
  </si>
  <si>
    <t>Cost of revenues</t>
  </si>
  <si>
    <t>Research and development</t>
  </si>
  <si>
    <t>Selling and marketing</t>
  </si>
  <si>
    <t>Expected credit losses</t>
  </si>
  <si>
    <t>General and administrative</t>
  </si>
  <si>
    <t>Depreciation and amortization</t>
  </si>
  <si>
    <t>Impairment of non-current assets</t>
  </si>
  <si>
    <t>Finance cost</t>
  </si>
  <si>
    <t>Income from murabaha deposits</t>
  </si>
  <si>
    <t>Share in results of associates and JV</t>
  </si>
  <si>
    <t>Net gain on financial assets at FVTPL</t>
  </si>
  <si>
    <t>Zakat, net</t>
  </si>
  <si>
    <t>Equity holders of parent</t>
  </si>
  <si>
    <t>Non-controlling interests</t>
  </si>
  <si>
    <t>Elm Company</t>
  </si>
  <si>
    <t>7203.SR</t>
  </si>
  <si>
    <t>Property and equipment</t>
  </si>
  <si>
    <t>Capital work in progress</t>
  </si>
  <si>
    <t>Finance lease receivables - non-current</t>
  </si>
  <si>
    <t>Investments in associates and a joint venture</t>
  </si>
  <si>
    <t>Other financial assets</t>
  </si>
  <si>
    <t>Long term prepaid expenses</t>
  </si>
  <si>
    <t>Contract assets</t>
  </si>
  <si>
    <t>Finance lease receivables - current</t>
  </si>
  <si>
    <t>Prepaid expenses and other current assets</t>
  </si>
  <si>
    <t>Murabaha deposits</t>
  </si>
  <si>
    <t>Share capital</t>
  </si>
  <si>
    <t>Statutory reserve</t>
  </si>
  <si>
    <t>Treasury shares</t>
  </si>
  <si>
    <t>Other reserves</t>
  </si>
  <si>
    <t>Retained earnings</t>
  </si>
  <si>
    <t>Equity attributable to parent holders</t>
  </si>
  <si>
    <t>Long term borrowing - non current</t>
  </si>
  <si>
    <t>Lease liabilities - non current</t>
  </si>
  <si>
    <t>End of service benefits provision</t>
  </si>
  <si>
    <t>Long term borrowing - current</t>
  </si>
  <si>
    <t>Accounts payable and other current liabilities</t>
  </si>
  <si>
    <t>Contract liabilities</t>
  </si>
  <si>
    <t>Liabilities of purchasing property</t>
  </si>
  <si>
    <t>Lease liabilities - current</t>
  </si>
  <si>
    <t>Total</t>
  </si>
  <si>
    <t>Check vs IS (row 16)</t>
  </si>
  <si>
    <t>Digital Business</t>
  </si>
  <si>
    <t>Business Process Outsourcing</t>
  </si>
  <si>
    <t>Professional Services</t>
  </si>
  <si>
    <t>REVENUE BUILD BY SEGMENT (SAR)</t>
  </si>
  <si>
    <t>Gross margin</t>
  </si>
  <si>
    <t>Accounts receivable</t>
  </si>
  <si>
    <t>Impact of acquisition through business combination under common control</t>
  </si>
  <si>
    <t>Transferred to property and equipment</t>
  </si>
  <si>
    <t>Transferred to intangible assets</t>
  </si>
  <si>
    <t>Impairment during the year</t>
  </si>
  <si>
    <t>Transferred to property and equipment % revenue</t>
  </si>
  <si>
    <t>Transferred to intangible assets % revenue</t>
  </si>
  <si>
    <t>Amortization % BOP</t>
  </si>
  <si>
    <t>Transfers from CWIP</t>
  </si>
  <si>
    <t>Amortization</t>
  </si>
  <si>
    <t>Amortization % of Revenue</t>
  </si>
  <si>
    <t>ST share of Long term prepaid expenses</t>
  </si>
  <si>
    <t>Non-controlling Interests</t>
  </si>
  <si>
    <t>Plus: NCI share of net income</t>
  </si>
  <si>
    <t>Less: Dividends Paid to NCI</t>
  </si>
  <si>
    <t>NCI % of total net income</t>
  </si>
  <si>
    <t>NCI share % of net income</t>
  </si>
  <si>
    <t>Interest income</t>
  </si>
  <si>
    <t>Interest-earning assets</t>
  </si>
  <si>
    <t>Average earning assets</t>
  </si>
  <si>
    <t>Effective yield</t>
  </si>
  <si>
    <t>Finance income</t>
  </si>
  <si>
    <t>Net finance costs</t>
  </si>
  <si>
    <t>Change in Prepaid expenses and other current assets</t>
  </si>
  <si>
    <t>Change in Capital work in progress</t>
  </si>
  <si>
    <t>Net change in working capital</t>
  </si>
  <si>
    <t>Change in Intangible assets</t>
  </si>
  <si>
    <t>Change in Long term prepaid expenses</t>
  </si>
  <si>
    <t xml:space="preserve">Murabaha deposits &amp; Equity investments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</si>
</sst>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&quot;$&quot;#,##0.00_);\(&quot;$&quot;#,##0.00\)"/>
    <numFmt numFmtId="165" formatCode="_(* #,##0_);_(* \(#,##0\);_(* &quot;-&quot;_);_(@_)"/>
    <numFmt numFmtId="166" formatCode="&quot;FY&quot;yy"/>
    <numFmt numFmtId="167" formatCode="0.0%"/>
    <numFmt numFmtId="168" formatCode="_(* #,##0.00_);_(* \(#,##0.00\);_(* \-??_);_(@_)"/>
    <numFmt numFmtId="169" formatCode="_(* #,##0_);_(* \(#,##0\);_(* \-??_);_(@_)"/>
    <numFmt numFmtId="170" formatCode="_(* #,##0_);_(* \(#,##0\);_(* \-_);_(@_)"/>
    <numFmt numFmtId="171" formatCode="_(* #,##0_);_(* \(#,##0\);_(* &quot;-&quot;??_);_(@_)"/>
    <numFmt numFmtId="172" formatCode="#,##0.000_);\(#,##0.000\)"/>
    <numFmt numFmtId="173" formatCode="m/d/yy;@"/>
    <numFmt numFmtId="174" formatCode="0\A;[Red]0\A"/>
    <numFmt numFmtId="175" formatCode="0\P_);\(0\P\)"/>
    <numFmt numFmtId="176" formatCode="0.0%_);\(0.0%\);@_)"/>
    <numFmt numFmtId="177" formatCode="_(#,##0.0%_);\(#,##0.0%\);_(&quot;–&quot;_)_%;_(@_)_%"/>
    <numFmt numFmtId="178" formatCode="0000\A"/>
    <numFmt numFmtId="179" formatCode="0000\P"/>
    <numFmt numFmtId="180" formatCode="#,##0_);\(#,##0\);@_)"/>
    <numFmt numFmtId="181" formatCode="0.0\x_);\(0.0\x\);@_)"/>
    <numFmt numFmtId="182" formatCode="0.000%_);\(0.000%\);@_)"/>
    <numFmt numFmtId="183" formatCode="#,##0.000_);\(#,##0.000\);@_)"/>
    <numFmt numFmtId="184" formatCode="_([$$]#,##0_)_%;\([$$]#,##0\)_%;_(&quot;–&quot;_)_%;_(@_)_%"/>
    <numFmt numFmtId="185" formatCode="&quot;$&quot;#,##0.00_);\(&quot;$&quot;#,##0.00\);@_)"/>
    <numFmt numFmtId="186" formatCode="_(0.0\x_)_';_(\(0.0\x\)_';_(&quot;–&quot;_)_%;_(@_)_%"/>
    <numFmt numFmtId="187" formatCode="_(0.0_)_'_x;_(\(0.0\)_';_(&quot;–&quot;_)_%;_(@_)_%"/>
    <numFmt numFmtId="188" formatCode="#,##0.00_);\(#,##0.00\);\-_);@_)"/>
    <numFmt numFmtId="189" formatCode="#,##0.0_);\(#,##0.0\);\-_);@_)"/>
    <numFmt numFmtId="190" formatCode="_(#,##0.00%_);\(#,##0.00%\);_(&quot;–&quot;_)_%;_(@_)_%"/>
    <numFmt numFmtId="191" formatCode="_(* #,##0.0_);_(* \(#,##0.0\);_(* \-??_);_(@_)"/>
    <numFmt numFmtId="192" formatCode="d/m/yy;@"/>
    <numFmt numFmtId="193" formatCode="[$-409]mmmmm/yy;@"/>
    <numFmt numFmtId="194" formatCode="&quot;SAR&quot;\ #,##0.00"/>
    <numFmt numFmtId="195" formatCode="_-* #,##0_-;\-* #,##0_-;_-* &quot;-&quot;??_-;_-@_-"/>
  </numFmts>
  <fonts count="4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8" fontId="6" fillId="0" borderId="0"/>
    <xf numFmtId="9" fontId="6" fillId="0" borderId="0"/>
    <xf numFmtId="0" fontId="5" fillId="0" borderId="0"/>
    <xf numFmtId="37" fontId="21" fillId="0" borderId="0"/>
    <xf numFmtId="0" fontId="23" fillId="0" borderId="0" applyNumberFormat="0" applyFill="0" applyBorder="0" applyAlignment="0" applyProtection="0"/>
    <xf numFmtId="193" fontId="35" fillId="0" borderId="0"/>
  </cellStyleXfs>
  <cellXfs count="277">
    <xf numFmtId="0" fontId="0" fillId="0" borderId="0" xfId="0"/>
    <xf numFmtId="167" fontId="6" fillId="0" borderId="0" xfId="2" applyNumberFormat="1"/>
    <xf numFmtId="0" fontId="7" fillId="0" borderId="4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170" fontId="14" fillId="0" borderId="0" xfId="1" applyNumberFormat="1" applyFont="1"/>
    <xf numFmtId="0" fontId="15" fillId="0" borderId="1" xfId="0" applyFont="1" applyBorder="1"/>
    <xf numFmtId="169" fontId="15" fillId="0" borderId="1" xfId="1" applyNumberFormat="1" applyFont="1" applyBorder="1"/>
    <xf numFmtId="0" fontId="15" fillId="0" borderId="0" xfId="0" applyFont="1"/>
    <xf numFmtId="169" fontId="15" fillId="0" borderId="0" xfId="1" applyNumberFormat="1" applyFont="1"/>
    <xf numFmtId="167" fontId="11" fillId="0" borderId="0" xfId="2" applyNumberFormat="1" applyFont="1"/>
    <xf numFmtId="0" fontId="15" fillId="0" borderId="3" xfId="0" applyFont="1" applyBorder="1"/>
    <xf numFmtId="0" fontId="10" fillId="0" borderId="0" xfId="0" applyFont="1" applyAlignment="1">
      <alignment horizontal="left" indent="1"/>
    </xf>
    <xf numFmtId="169" fontId="10" fillId="0" borderId="0" xfId="0" applyNumberFormat="1" applyFont="1"/>
    <xf numFmtId="169" fontId="10" fillId="0" borderId="0" xfId="1" applyNumberFormat="1" applyFont="1"/>
    <xf numFmtId="0" fontId="17" fillId="0" borderId="2" xfId="0" applyFont="1" applyBorder="1"/>
    <xf numFmtId="169" fontId="15" fillId="0" borderId="2" xfId="1" applyNumberFormat="1" applyFont="1" applyBorder="1"/>
    <xf numFmtId="167" fontId="10" fillId="0" borderId="0" xfId="2" applyNumberFormat="1" applyFont="1"/>
    <xf numFmtId="1" fontId="10" fillId="0" borderId="0" xfId="2" applyNumberFormat="1" applyFont="1"/>
    <xf numFmtId="0" fontId="13" fillId="0" borderId="0" xfId="0" applyFont="1" applyAlignment="1">
      <alignment horizontal="left" indent="1"/>
    </xf>
    <xf numFmtId="169" fontId="15" fillId="0" borderId="0" xfId="0" applyNumberFormat="1" applyFont="1"/>
    <xf numFmtId="0" fontId="15" fillId="0" borderId="1" xfId="0" applyFont="1" applyBorder="1" applyAlignment="1">
      <alignment horizontal="left"/>
    </xf>
    <xf numFmtId="170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2"/>
    </xf>
    <xf numFmtId="170" fontId="16" fillId="0" borderId="3" xfId="1" applyNumberFormat="1" applyFont="1" applyBorder="1"/>
    <xf numFmtId="0" fontId="18" fillId="0" borderId="0" xfId="0" applyFont="1"/>
    <xf numFmtId="0" fontId="12" fillId="0" borderId="0" xfId="0" applyFont="1"/>
    <xf numFmtId="0" fontId="18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13" fillId="0" borderId="0" xfId="0" applyFont="1"/>
    <xf numFmtId="170" fontId="13" fillId="0" borderId="0" xfId="0" applyNumberFormat="1" applyFont="1" applyAlignment="1">
      <alignment horizontal="center" vertical="center"/>
    </xf>
    <xf numFmtId="10" fontId="10" fillId="0" borderId="0" xfId="2" applyNumberFormat="1" applyFont="1"/>
    <xf numFmtId="0" fontId="15" fillId="0" borderId="3" xfId="0" applyFont="1" applyBorder="1" applyAlignment="1">
      <alignment horizontal="left"/>
    </xf>
    <xf numFmtId="0" fontId="7" fillId="0" borderId="6" xfId="0" applyFont="1" applyBorder="1"/>
    <xf numFmtId="0" fontId="0" fillId="0" borderId="6" xfId="0" applyBorder="1"/>
    <xf numFmtId="174" fontId="7" fillId="0" borderId="0" xfId="0" applyNumberFormat="1" applyFont="1"/>
    <xf numFmtId="175" fontId="7" fillId="0" borderId="0" xfId="0" applyNumberFormat="1" applyFont="1"/>
    <xf numFmtId="0" fontId="19" fillId="0" borderId="6" xfId="0" applyFont="1" applyBorder="1"/>
    <xf numFmtId="173" fontId="19" fillId="0" borderId="2" xfId="0" applyNumberFormat="1" applyFont="1" applyBorder="1"/>
    <xf numFmtId="0" fontId="16" fillId="0" borderId="0" xfId="0" applyFont="1"/>
    <xf numFmtId="173" fontId="19" fillId="0" borderId="6" xfId="0" applyNumberFormat="1" applyFont="1" applyBorder="1"/>
    <xf numFmtId="166" fontId="16" fillId="0" borderId="0" xfId="0" applyNumberFormat="1" applyFont="1" applyAlignment="1">
      <alignment horizontal="center" vertical="center"/>
    </xf>
    <xf numFmtId="0" fontId="0" fillId="0" borderId="3" xfId="0" applyBorder="1"/>
    <xf numFmtId="174" fontId="7" fillId="0" borderId="3" xfId="0" applyNumberFormat="1" applyFont="1" applyBorder="1"/>
    <xf numFmtId="175" fontId="7" fillId="0" borderId="3" xfId="0" applyNumberFormat="1" applyFont="1" applyBorder="1"/>
    <xf numFmtId="0" fontId="5" fillId="0" borderId="0" xfId="3"/>
    <xf numFmtId="0" fontId="7" fillId="0" borderId="4" xfId="3" applyFont="1" applyBorder="1"/>
    <xf numFmtId="0" fontId="5" fillId="0" borderId="4" xfId="3" applyBorder="1"/>
    <xf numFmtId="0" fontId="20" fillId="0" borderId="5" xfId="3" applyFont="1" applyBorder="1"/>
    <xf numFmtId="14" fontId="9" fillId="0" borderId="0" xfId="4" applyNumberFormat="1" applyFont="1" applyAlignment="1">
      <alignment horizontal="right"/>
    </xf>
    <xf numFmtId="176" fontId="22" fillId="0" borderId="0" xfId="3" applyNumberFormat="1" applyFont="1"/>
    <xf numFmtId="14" fontId="8" fillId="0" borderId="0" xfId="4" applyNumberFormat="1" applyFont="1" applyAlignment="1">
      <alignment horizontal="right"/>
    </xf>
    <xf numFmtId="14" fontId="9" fillId="0" borderId="0" xfId="3" applyNumberFormat="1" applyFont="1" applyAlignment="1">
      <alignment horizontal="right"/>
    </xf>
    <xf numFmtId="0" fontId="23" fillId="0" borderId="0" xfId="5" applyBorder="1"/>
    <xf numFmtId="177" fontId="8" fillId="0" borderId="0" xfId="3" applyNumberFormat="1" applyFont="1"/>
    <xf numFmtId="164" fontId="22" fillId="0" borderId="0" xfId="3" applyNumberFormat="1" applyFont="1" applyAlignment="1">
      <alignment horizontal="right"/>
    </xf>
    <xf numFmtId="0" fontId="7" fillId="0" borderId="7" xfId="3" applyFont="1" applyBorder="1"/>
    <xf numFmtId="0" fontId="5" fillId="0" borderId="7" xfId="3" applyBorder="1"/>
    <xf numFmtId="164" fontId="22" fillId="0" borderId="7" xfId="3" applyNumberFormat="1" applyFont="1" applyBorder="1" applyAlignment="1">
      <alignment horizontal="right"/>
    </xf>
    <xf numFmtId="0" fontId="24" fillId="0" borderId="0" xfId="3" applyFont="1" applyAlignment="1">
      <alignment horizontal="centerContinuous"/>
    </xf>
    <xf numFmtId="0" fontId="25" fillId="0" borderId="8" xfId="3" applyFont="1" applyBorder="1" applyAlignment="1">
      <alignment horizontal="centerContinuous"/>
    </xf>
    <xf numFmtId="0" fontId="19" fillId="0" borderId="0" xfId="3" applyFont="1"/>
    <xf numFmtId="14" fontId="5" fillId="0" borderId="0" xfId="3" applyNumberFormat="1" applyAlignment="1">
      <alignment horizontal="center"/>
    </xf>
    <xf numFmtId="180" fontId="8" fillId="0" borderId="0" xfId="3" applyNumberFormat="1" applyFont="1"/>
    <xf numFmtId="180" fontId="22" fillId="0" borderId="0" xfId="3" applyNumberFormat="1" applyFont="1"/>
    <xf numFmtId="0" fontId="5" fillId="0" borderId="0" xfId="3" applyAlignment="1">
      <alignment horizontal="left" indent="1"/>
    </xf>
    <xf numFmtId="0" fontId="7" fillId="0" borderId="0" xfId="3" applyFont="1"/>
    <xf numFmtId="180" fontId="26" fillId="0" borderId="0" xfId="3" applyNumberFormat="1" applyFont="1"/>
    <xf numFmtId="180" fontId="5" fillId="0" borderId="0" xfId="3" applyNumberFormat="1"/>
    <xf numFmtId="37" fontId="8" fillId="0" borderId="0" xfId="3" applyNumberFormat="1" applyFont="1"/>
    <xf numFmtId="180" fontId="22" fillId="0" borderId="7" xfId="3" applyNumberFormat="1" applyFont="1" applyBorder="1"/>
    <xf numFmtId="180" fontId="25" fillId="0" borderId="7" xfId="3" applyNumberFormat="1" applyFont="1" applyBorder="1" applyAlignment="1">
      <alignment horizontal="center"/>
    </xf>
    <xf numFmtId="180" fontId="25" fillId="0" borderId="0" xfId="3" applyNumberFormat="1" applyFont="1"/>
    <xf numFmtId="14" fontId="5" fillId="0" borderId="0" xfId="3" applyNumberFormat="1"/>
    <xf numFmtId="177" fontId="5" fillId="0" borderId="0" xfId="3" applyNumberFormat="1" applyAlignment="1">
      <alignment horizontal="center"/>
    </xf>
    <xf numFmtId="180" fontId="8" fillId="0" borderId="7" xfId="3" applyNumberFormat="1" applyFont="1" applyBorder="1"/>
    <xf numFmtId="0" fontId="26" fillId="0" borderId="0" xfId="3" applyFont="1"/>
    <xf numFmtId="177" fontId="9" fillId="0" borderId="0" xfId="3" applyNumberFormat="1" applyFont="1"/>
    <xf numFmtId="179" fontId="5" fillId="0" borderId="0" xfId="3" applyNumberFormat="1"/>
    <xf numFmtId="181" fontId="9" fillId="0" borderId="0" xfId="3" applyNumberFormat="1" applyFont="1"/>
    <xf numFmtId="180" fontId="7" fillId="0" borderId="0" xfId="3" applyNumberFormat="1" applyFont="1"/>
    <xf numFmtId="0" fontId="19" fillId="0" borderId="0" xfId="3" applyFont="1" applyAlignment="1">
      <alignment horizontal="left"/>
    </xf>
    <xf numFmtId="177" fontId="19" fillId="0" borderId="0" xfId="3" applyNumberFormat="1" applyFont="1"/>
    <xf numFmtId="182" fontId="19" fillId="0" borderId="0" xfId="3" applyNumberFormat="1" applyFont="1"/>
    <xf numFmtId="177" fontId="5" fillId="0" borderId="0" xfId="3" applyNumberFormat="1"/>
    <xf numFmtId="181" fontId="19" fillId="0" borderId="0" xfId="3" applyNumberFormat="1" applyFont="1"/>
    <xf numFmtId="176" fontId="5" fillId="0" borderId="0" xfId="3" quotePrefix="1" applyNumberFormat="1"/>
    <xf numFmtId="0" fontId="5" fillId="0" borderId="0" xfId="3" applyAlignment="1">
      <alignment horizontal="left"/>
    </xf>
    <xf numFmtId="0" fontId="27" fillId="0" borderId="0" xfId="3" applyFont="1"/>
    <xf numFmtId="0" fontId="27" fillId="0" borderId="0" xfId="3" applyFont="1" applyAlignment="1">
      <alignment horizontal="right"/>
    </xf>
    <xf numFmtId="0" fontId="27" fillId="0" borderId="0" xfId="3" applyFont="1" applyAlignment="1">
      <alignment horizontal="left" vertical="center"/>
    </xf>
    <xf numFmtId="14" fontId="8" fillId="0" borderId="0" xfId="3" applyNumberFormat="1" applyFont="1"/>
    <xf numFmtId="183" fontId="9" fillId="0" borderId="0" xfId="3" applyNumberFormat="1" applyFont="1"/>
    <xf numFmtId="172" fontId="9" fillId="0" borderId="0" xfId="3" applyNumberFormat="1" applyFont="1"/>
    <xf numFmtId="37" fontId="22" fillId="0" borderId="0" xfId="3" applyNumberFormat="1" applyFont="1"/>
    <xf numFmtId="172" fontId="22" fillId="0" borderId="0" xfId="3" applyNumberFormat="1" applyFont="1" applyAlignment="1">
      <alignment horizontal="right"/>
    </xf>
    <xf numFmtId="0" fontId="8" fillId="0" borderId="0" xfId="3" applyFont="1" applyAlignment="1">
      <alignment horizontal="left" indent="1"/>
    </xf>
    <xf numFmtId="0" fontId="7" fillId="0" borderId="0" xfId="3" applyFont="1" applyAlignment="1">
      <alignment horizontal="left"/>
    </xf>
    <xf numFmtId="184" fontId="9" fillId="0" borderId="0" xfId="3" applyNumberFormat="1" applyFont="1"/>
    <xf numFmtId="0" fontId="5" fillId="0" borderId="0" xfId="3" applyAlignment="1">
      <alignment horizontal="left" vertical="center" indent="1"/>
    </xf>
    <xf numFmtId="172" fontId="5" fillId="0" borderId="0" xfId="3" applyNumberFormat="1"/>
    <xf numFmtId="183" fontId="28" fillId="0" borderId="0" xfId="3" applyNumberFormat="1" applyFont="1"/>
    <xf numFmtId="0" fontId="7" fillId="0" borderId="0" xfId="3" applyFont="1" applyAlignment="1">
      <alignment vertical="center"/>
    </xf>
    <xf numFmtId="0" fontId="24" fillId="0" borderId="0" xfId="3" applyFont="1" applyAlignment="1">
      <alignment horizontal="right"/>
    </xf>
    <xf numFmtId="180" fontId="5" fillId="0" borderId="0" xfId="3" applyNumberFormat="1" applyAlignment="1">
      <alignment horizontal="right"/>
    </xf>
    <xf numFmtId="37" fontId="19" fillId="0" borderId="7" xfId="3" applyNumberFormat="1" applyFont="1" applyBorder="1" applyAlignment="1">
      <alignment horizontal="right"/>
    </xf>
    <xf numFmtId="37" fontId="5" fillId="0" borderId="0" xfId="3" applyNumberFormat="1" applyAlignment="1">
      <alignment horizontal="right"/>
    </xf>
    <xf numFmtId="187" fontId="5" fillId="0" borderId="0" xfId="3" applyNumberFormat="1" applyAlignment="1">
      <alignment horizontal="right"/>
    </xf>
    <xf numFmtId="0" fontId="8" fillId="2" borderId="0" xfId="3" applyFont="1" applyFill="1"/>
    <xf numFmtId="0" fontId="29" fillId="0" borderId="0" xfId="3" applyFont="1" applyAlignment="1">
      <alignment horizontal="centerContinuous"/>
    </xf>
    <xf numFmtId="0" fontId="24" fillId="0" borderId="9" xfId="3" applyFont="1" applyBorder="1" applyAlignment="1">
      <alignment horizontal="centerContinuous"/>
    </xf>
    <xf numFmtId="0" fontId="5" fillId="0" borderId="0" xfId="3" applyAlignment="1">
      <alignment horizontal="centerContinuous"/>
    </xf>
    <xf numFmtId="0" fontId="5" fillId="0" borderId="9" xfId="3" applyBorder="1" applyAlignment="1">
      <alignment horizontal="centerContinuous"/>
    </xf>
    <xf numFmtId="0" fontId="5" fillId="0" borderId="0" xfId="3" applyAlignment="1">
      <alignment horizontal="right"/>
    </xf>
    <xf numFmtId="167" fontId="9" fillId="3" borderId="11" xfId="3" applyNumberFormat="1" applyFont="1" applyFill="1" applyBorder="1"/>
    <xf numFmtId="181" fontId="5" fillId="0" borderId="12" xfId="3" applyNumberFormat="1" applyBorder="1" applyAlignment="1">
      <alignment horizontal="right"/>
    </xf>
    <xf numFmtId="188" fontId="5" fillId="0" borderId="0" xfId="3" applyNumberFormat="1"/>
    <xf numFmtId="188" fontId="5" fillId="0" borderId="9" xfId="3" applyNumberFormat="1" applyBorder="1"/>
    <xf numFmtId="181" fontId="5" fillId="0" borderId="0" xfId="3" applyNumberFormat="1" applyAlignment="1">
      <alignment horizontal="right"/>
    </xf>
    <xf numFmtId="167" fontId="9" fillId="3" borderId="14" xfId="3" applyNumberFormat="1" applyFont="1" applyFill="1" applyBorder="1" applyAlignment="1">
      <alignment horizontal="right"/>
    </xf>
    <xf numFmtId="0" fontId="26" fillId="2" borderId="0" xfId="3" applyFont="1" applyFill="1" applyAlignment="1">
      <alignment horizontal="center"/>
    </xf>
    <xf numFmtId="189" fontId="5" fillId="0" borderId="0" xfId="3" applyNumberFormat="1"/>
    <xf numFmtId="181" fontId="9" fillId="3" borderId="11" xfId="3" applyNumberFormat="1" applyFont="1" applyFill="1" applyBorder="1"/>
    <xf numFmtId="0" fontId="5" fillId="0" borderId="9" xfId="3" applyBorder="1"/>
    <xf numFmtId="0" fontId="7" fillId="4" borderId="0" xfId="3" applyFont="1" applyFill="1"/>
    <xf numFmtId="0" fontId="7" fillId="4" borderId="9" xfId="3" applyFont="1" applyFill="1" applyBorder="1"/>
    <xf numFmtId="190" fontId="5" fillId="0" borderId="0" xfId="3" applyNumberFormat="1"/>
    <xf numFmtId="0" fontId="5" fillId="0" borderId="10" xfId="3" applyBorder="1"/>
    <xf numFmtId="0" fontId="5" fillId="0" borderId="11" xfId="3" applyBorder="1" applyAlignment="1">
      <alignment horizontal="right"/>
    </xf>
    <xf numFmtId="0" fontId="5" fillId="0" borderId="13" xfId="3" applyBorder="1" applyAlignment="1">
      <alignment horizontal="right"/>
    </xf>
    <xf numFmtId="0" fontId="5" fillId="0" borderId="11" xfId="3" applyBorder="1"/>
    <xf numFmtId="0" fontId="5" fillId="0" borderId="15" xfId="3" applyBorder="1"/>
    <xf numFmtId="177" fontId="8" fillId="0" borderId="0" xfId="0" applyNumberFormat="1" applyFont="1"/>
    <xf numFmtId="0" fontId="26" fillId="0" borderId="7" xfId="3" applyFont="1" applyBorder="1"/>
    <xf numFmtId="0" fontId="8" fillId="0" borderId="7" xfId="3" applyFont="1" applyBorder="1"/>
    <xf numFmtId="0" fontId="26" fillId="0" borderId="7" xfId="3" applyFont="1" applyBorder="1" applyAlignment="1">
      <alignment horizontal="right"/>
    </xf>
    <xf numFmtId="0" fontId="27" fillId="0" borderId="0" xfId="3" applyFont="1" applyAlignment="1">
      <alignment horizontal="left"/>
    </xf>
    <xf numFmtId="0" fontId="7" fillId="0" borderId="6" xfId="3" applyFont="1" applyBorder="1"/>
    <xf numFmtId="0" fontId="7" fillId="0" borderId="10" xfId="3" applyFont="1" applyBorder="1"/>
    <xf numFmtId="10" fontId="9" fillId="0" borderId="0" xfId="3" applyNumberFormat="1" applyFont="1"/>
    <xf numFmtId="190" fontId="8" fillId="0" borderId="0" xfId="3" applyNumberFormat="1" applyFont="1"/>
    <xf numFmtId="10" fontId="9" fillId="0" borderId="7" xfId="3" applyNumberFormat="1" applyFont="1" applyBorder="1"/>
    <xf numFmtId="10" fontId="8" fillId="0" borderId="0" xfId="3" applyNumberFormat="1" applyFont="1"/>
    <xf numFmtId="167" fontId="8" fillId="0" borderId="0" xfId="3" applyNumberFormat="1" applyFont="1"/>
    <xf numFmtId="0" fontId="5" fillId="0" borderId="6" xfId="3" applyBorder="1"/>
    <xf numFmtId="167" fontId="25" fillId="0" borderId="0" xfId="3" applyNumberFormat="1" applyFont="1" applyAlignment="1">
      <alignment horizontal="right"/>
    </xf>
    <xf numFmtId="9" fontId="9" fillId="0" borderId="0" xfId="3" applyNumberFormat="1" applyFont="1"/>
    <xf numFmtId="176" fontId="5" fillId="0" borderId="0" xfId="3" applyNumberFormat="1"/>
    <xf numFmtId="9" fontId="8" fillId="0" borderId="0" xfId="3" applyNumberFormat="1" applyFont="1"/>
    <xf numFmtId="0" fontId="7" fillId="0" borderId="11" xfId="3" applyFont="1" applyBorder="1"/>
    <xf numFmtId="176" fontId="7" fillId="0" borderId="13" xfId="3" applyNumberFormat="1" applyFont="1" applyBorder="1"/>
    <xf numFmtId="180" fontId="8" fillId="0" borderId="0" xfId="0" applyNumberFormat="1" applyFont="1"/>
    <xf numFmtId="14" fontId="0" fillId="0" borderId="0" xfId="0" applyNumberFormat="1"/>
    <xf numFmtId="39" fontId="9" fillId="0" borderId="0" xfId="3" applyNumberFormat="1" applyFont="1"/>
    <xf numFmtId="170" fontId="16" fillId="0" borderId="0" xfId="1" applyNumberFormat="1" applyFont="1"/>
    <xf numFmtId="170" fontId="15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81" fontId="30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8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8" fillId="0" borderId="0" xfId="0" applyNumberFormat="1" applyFont="1"/>
    <xf numFmtId="39" fontId="8" fillId="0" borderId="17" xfId="0" applyNumberFormat="1" applyFont="1" applyBorder="1"/>
    <xf numFmtId="0" fontId="0" fillId="0" borderId="19" xfId="0" applyBorder="1"/>
    <xf numFmtId="39" fontId="8" fillId="0" borderId="12" xfId="0" applyNumberFormat="1" applyFont="1" applyBorder="1"/>
    <xf numFmtId="178" fontId="7" fillId="0" borderId="20" xfId="3" applyNumberFormat="1" applyFont="1" applyBorder="1"/>
    <xf numFmtId="180" fontId="22" fillId="0" borderId="21" xfId="3" applyNumberFormat="1" applyFont="1" applyBorder="1"/>
    <xf numFmtId="9" fontId="6" fillId="0" borderId="21" xfId="2" applyBorder="1"/>
    <xf numFmtId="180" fontId="8" fillId="0" borderId="21" xfId="3" applyNumberFormat="1" applyFont="1" applyBorder="1"/>
    <xf numFmtId="176" fontId="22" fillId="0" borderId="21" xfId="3" applyNumberFormat="1" applyFont="1" applyBorder="1"/>
    <xf numFmtId="180" fontId="26" fillId="0" borderId="22" xfId="3" applyNumberFormat="1" applyFont="1" applyBorder="1"/>
    <xf numFmtId="179" fontId="7" fillId="0" borderId="23" xfId="3" applyNumberFormat="1" applyFont="1" applyBorder="1"/>
    <xf numFmtId="179" fontId="7" fillId="0" borderId="20" xfId="3" applyNumberFormat="1" applyFont="1" applyBorder="1"/>
    <xf numFmtId="14" fontId="20" fillId="0" borderId="5" xfId="3" applyNumberFormat="1" applyFont="1" applyBorder="1"/>
    <xf numFmtId="169" fontId="6" fillId="0" borderId="0" xfId="1" applyNumberFormat="1"/>
    <xf numFmtId="170" fontId="10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32" fillId="0" borderId="0" xfId="1" applyNumberFormat="1" applyFont="1"/>
    <xf numFmtId="180" fontId="9" fillId="0" borderId="0" xfId="3" applyNumberFormat="1" applyFont="1"/>
    <xf numFmtId="3" fontId="7" fillId="0" borderId="0" xfId="3" applyNumberFormat="1" applyFont="1"/>
    <xf numFmtId="14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167" fontId="8" fillId="3" borderId="14" xfId="0" applyNumberFormat="1" applyFont="1" applyFill="1" applyBorder="1" applyAlignment="1">
      <alignment horizontal="right"/>
    </xf>
    <xf numFmtId="167" fontId="8" fillId="3" borderId="24" xfId="0" applyNumberFormat="1" applyFont="1" applyFill="1" applyBorder="1" applyAlignment="1">
      <alignment horizontal="right"/>
    </xf>
    <xf numFmtId="167" fontId="8" fillId="3" borderId="10" xfId="0" applyNumberFormat="1" applyFont="1" applyFill="1" applyBorder="1"/>
    <xf numFmtId="167" fontId="8" fillId="3" borderId="11" xfId="0" applyNumberFormat="1" applyFont="1" applyFill="1" applyBorder="1"/>
    <xf numFmtId="191" fontId="6" fillId="0" borderId="0" xfId="1" applyNumberFormat="1"/>
    <xf numFmtId="0" fontId="15" fillId="0" borderId="0" xfId="0" applyFont="1" applyAlignment="1">
      <alignment horizontal="left"/>
    </xf>
    <xf numFmtId="171" fontId="14" fillId="0" borderId="0" xfId="0" applyNumberFormat="1" applyFont="1"/>
    <xf numFmtId="165" fontId="15" fillId="0" borderId="0" xfId="0" applyNumberFormat="1" applyFont="1" applyAlignment="1">
      <alignment horizontal="center" vertical="center"/>
    </xf>
    <xf numFmtId="165" fontId="13" fillId="0" borderId="0" xfId="1" applyNumberFormat="1" applyFont="1"/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/>
    <xf numFmtId="165" fontId="16" fillId="0" borderId="0" xfId="1" applyNumberFormat="1" applyFont="1"/>
    <xf numFmtId="165" fontId="15" fillId="0" borderId="0" xfId="1" applyNumberFormat="1" applyFont="1"/>
    <xf numFmtId="165" fontId="13" fillId="0" borderId="0" xfId="0" applyNumberFormat="1" applyFont="1"/>
    <xf numFmtId="165" fontId="16" fillId="0" borderId="0" xfId="0" applyNumberFormat="1" applyFont="1" applyAlignment="1">
      <alignment horizontal="center" vertical="center"/>
    </xf>
    <xf numFmtId="9" fontId="6" fillId="0" borderId="0" xfId="2"/>
    <xf numFmtId="9" fontId="32" fillId="0" borderId="0" xfId="2" applyFont="1"/>
    <xf numFmtId="167" fontId="13" fillId="0" borderId="3" xfId="2" applyNumberFormat="1" applyFont="1" applyBorder="1"/>
    <xf numFmtId="167" fontId="8" fillId="0" borderId="0" xfId="0" applyNumberFormat="1" applyFont="1"/>
    <xf numFmtId="167" fontId="32" fillId="0" borderId="0" xfId="2" applyNumberFormat="1" applyFont="1"/>
    <xf numFmtId="170" fontId="15" fillId="0" borderId="0" xfId="0" applyNumberFormat="1" applyFont="1" applyAlignment="1">
      <alignment horizontal="center" vertical="center"/>
    </xf>
    <xf numFmtId="0" fontId="4" fillId="0" borderId="0" xfId="3" applyFont="1"/>
    <xf numFmtId="37" fontId="4" fillId="0" borderId="0" xfId="3" applyNumberFormat="1" applyFont="1" applyAlignment="1">
      <alignment horizontal="right"/>
    </xf>
    <xf numFmtId="169" fontId="15" fillId="0" borderId="0" xfId="0" applyNumberFormat="1" applyFont="1" applyAlignment="1">
      <alignment horizontal="center" vertical="center"/>
    </xf>
    <xf numFmtId="169" fontId="16" fillId="0" borderId="0" xfId="0" applyNumberFormat="1" applyFont="1" applyAlignment="1">
      <alignment horizontal="center" vertical="center"/>
    </xf>
    <xf numFmtId="169" fontId="16" fillId="0" borderId="0" xfId="1" applyNumberFormat="1" applyFont="1"/>
    <xf numFmtId="176" fontId="0" fillId="0" borderId="0" xfId="0" quotePrefix="1" applyNumberFormat="1"/>
    <xf numFmtId="167" fontId="8" fillId="3" borderId="25" xfId="0" applyNumberFormat="1" applyFont="1" applyFill="1" applyBorder="1"/>
    <xf numFmtId="181" fontId="8" fillId="0" borderId="0" xfId="3" applyNumberFormat="1" applyFont="1"/>
    <xf numFmtId="181" fontId="30" fillId="3" borderId="25" xfId="3" applyNumberFormat="1" applyFont="1" applyFill="1" applyBorder="1"/>
    <xf numFmtId="0" fontId="7" fillId="0" borderId="0" xfId="0" applyFont="1"/>
    <xf numFmtId="165" fontId="19" fillId="0" borderId="0" xfId="0" applyNumberFormat="1" applyFont="1"/>
    <xf numFmtId="169" fontId="13" fillId="0" borderId="0" xfId="1" applyNumberFormat="1" applyFont="1"/>
    <xf numFmtId="171" fontId="10" fillId="0" borderId="0" xfId="0" applyNumberFormat="1" applyFont="1"/>
    <xf numFmtId="167" fontId="10" fillId="0" borderId="0" xfId="2" applyNumberFormat="1" applyFont="1" applyAlignment="1">
      <alignment horizontal="left"/>
    </xf>
    <xf numFmtId="0" fontId="10" fillId="0" borderId="0" xfId="0" applyFont="1" applyAlignment="1">
      <alignment horizontal="left"/>
    </xf>
    <xf numFmtId="171" fontId="15" fillId="0" borderId="0" xfId="1" applyNumberFormat="1" applyFont="1"/>
    <xf numFmtId="0" fontId="1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92" fontId="19" fillId="0" borderId="2" xfId="0" applyNumberFormat="1" applyFont="1" applyBorder="1"/>
    <xf numFmtId="192" fontId="3" fillId="0" borderId="2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170" fontId="13" fillId="0" borderId="0" xfId="1" applyNumberFormat="1" applyFont="1"/>
    <xf numFmtId="170" fontId="14" fillId="0" borderId="0" xfId="0" applyNumberFormat="1" applyFont="1"/>
    <xf numFmtId="186" fontId="0" fillId="0" borderId="0" xfId="0" applyNumberFormat="1" applyAlignment="1">
      <alignment horizontal="right"/>
    </xf>
    <xf numFmtId="187" fontId="0" fillId="0" borderId="0" xfId="0" applyNumberFormat="1" applyAlignment="1">
      <alignment horizontal="right"/>
    </xf>
    <xf numFmtId="0" fontId="9" fillId="0" borderId="0" xfId="0" applyFont="1" applyAlignment="1">
      <alignment horizontal="center" vertical="center"/>
    </xf>
    <xf numFmtId="169" fontId="14" fillId="0" borderId="0" xfId="1" applyNumberFormat="1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0" fontId="19" fillId="0" borderId="0" xfId="0" applyFont="1"/>
    <xf numFmtId="173" fontId="19" fillId="0" borderId="0" xfId="0" applyNumberFormat="1" applyFont="1"/>
    <xf numFmtId="194" fontId="9" fillId="0" borderId="0" xfId="0" applyNumberFormat="1" applyFont="1" applyAlignment="1">
      <alignment horizontal="center"/>
    </xf>
    <xf numFmtId="10" fontId="6" fillId="0" borderId="0" xfId="2" applyNumberFormat="1"/>
    <xf numFmtId="10" fontId="32" fillId="0" borderId="0" xfId="2" applyNumberFormat="1" applyFont="1"/>
    <xf numFmtId="1" fontId="10" fillId="0" borderId="0" xfId="0" applyNumberFormat="1" applyFont="1" applyAlignment="1">
      <alignment horizontal="right" vertical="center"/>
    </xf>
    <xf numFmtId="194" fontId="9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/>
    </xf>
    <xf numFmtId="194" fontId="30" fillId="0" borderId="0" xfId="0" applyNumberFormat="1" applyFont="1" applyAlignment="1">
      <alignment horizontal="right" vertical="center"/>
    </xf>
    <xf numFmtId="167" fontId="14" fillId="0" borderId="0" xfId="2" applyNumberFormat="1" applyFont="1"/>
    <xf numFmtId="169" fontId="37" fillId="0" borderId="0" xfId="1" applyNumberFormat="1" applyFont="1" applyAlignment="1">
      <alignment horizontal="center" vertical="center"/>
    </xf>
    <xf numFmtId="0" fontId="10" fillId="0" borderId="6" xfId="0" applyFont="1" applyBorder="1"/>
    <xf numFmtId="192" fontId="2" fillId="0" borderId="2" xfId="0" applyNumberFormat="1" applyFont="1" applyBorder="1"/>
    <xf numFmtId="173" fontId="2" fillId="0" borderId="6" xfId="0" applyNumberFormat="1" applyFont="1" applyBorder="1"/>
    <xf numFmtId="0" fontId="13" fillId="0" borderId="0" xfId="0" applyFont="1" applyAlignment="1">
      <alignment horizontal="center" vertical="center"/>
    </xf>
    <xf numFmtId="173" fontId="2" fillId="0" borderId="2" xfId="0" applyNumberFormat="1" applyFont="1" applyBorder="1"/>
    <xf numFmtId="165" fontId="2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9" fontId="10" fillId="0" borderId="0" xfId="2" applyFont="1"/>
    <xf numFmtId="173" fontId="2" fillId="0" borderId="0" xfId="0" applyNumberFormat="1" applyFont="1"/>
    <xf numFmtId="195" fontId="10" fillId="0" borderId="0" xfId="0" applyNumberFormat="1" applyFont="1"/>
    <xf numFmtId="0" fontId="15" fillId="0" borderId="0" xfId="0" applyFont="1" applyAlignment="1">
      <alignment horizontal="left" inden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65" fontId="14" fillId="0" borderId="0" xfId="1" applyNumberFormat="1" applyFont="1"/>
    <xf numFmtId="165" fontId="16" fillId="0" borderId="3" xfId="1" applyNumberFormat="1" applyFont="1" applyBorder="1"/>
    <xf numFmtId="1" fontId="14" fillId="0" borderId="0" xfId="0" applyNumberFormat="1" applyFont="1" applyAlignment="1">
      <alignment horizontal="right" vertical="center"/>
    </xf>
    <xf numFmtId="169" fontId="6" fillId="0" borderId="0" xfId="1" applyNumberFormat="1" applyAlignment="1">
      <alignment vertical="center"/>
    </xf>
    <xf numFmtId="169" fontId="0" fillId="0" borderId="0" xfId="0" applyNumberFormat="1"/>
    <xf numFmtId="190" fontId="40" fillId="0" borderId="7" xfId="3" applyNumberFormat="1" applyFont="1" applyBorder="1"/>
    <xf numFmtId="0" fontId="1" fillId="0" borderId="0" xfId="3" applyFont="1" applyAlignment="1">
      <alignment horizontal="left" vertical="center" indent="1"/>
    </xf>
  </cellXfs>
  <cellStyles count="7">
    <cellStyle name="Comma" xfId="1" builtinId="3"/>
    <cellStyle name="Hyperlink" xfId="5" builtinId="8"/>
    <cellStyle name="Normal" xfId="0" builtinId="0"/>
    <cellStyle name="Normal 15" xfId="6" xr:uid="{6DDD7A4B-57F6-404C-BA97-B891B271587B}"/>
    <cellStyle name="Normal 2" xfId="3" xr:uid="{937EC6E3-AE83-4BBC-ACEF-6FAAD38BC45D}"/>
    <cellStyle name="Normal_DCF_Model" xfId="4" xr:uid="{EB47B55B-6DFA-4D8F-B164-61C0BEC4F72F}"/>
    <cellStyle name="Percent" xfId="2" builtinId="5"/>
  </cellStyles>
  <dxfs count="3">
    <dxf>
      <font>
        <b/>
        <i val="0"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4BACC6"/>
        </patternFill>
      </fill>
      <border>
        <left/>
        <right/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17.1x-19.1x Exit EBITDA Range at 8.0% WACC</c:v>
                </c:pt>
                <c:pt idx="1">
                  <c:v>DCF Value at 2.0%-4.0% Perpetuity Range at 8.0%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898.0500689523476</c:v>
                </c:pt>
                <c:pt idx="1">
                  <c:v>797.07445568545461</c:v>
                </c:pt>
                <c:pt idx="2">
                  <c:v>504.5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3-4E91-8D66-944AAAC33F38}"/>
            </c:ext>
          </c:extLst>
        </c:ser>
        <c:ser>
          <c:idx val="1"/>
          <c:order val="1"/>
          <c:invertIfNegative val="0"/>
          <c:cat>
            <c:strRef>
              <c:f>DCF!$B$128:$B$130</c:f>
              <c:strCache>
                <c:ptCount val="3"/>
                <c:pt idx="0">
                  <c:v>DCF Value at 17.1x-19.1x Exit EBITDA Range at 8.0% WACC</c:v>
                </c:pt>
                <c:pt idx="1">
                  <c:v>DCF Value at 2.0%-4.0% Perpetuity Range at 8.0%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41.719301665544322</c:v>
                </c:pt>
                <c:pt idx="1">
                  <c:v>128.95434597972542</c:v>
                </c:pt>
                <c:pt idx="2">
                  <c:v>520.5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3-4E91-8D66-944AAAC33F38}"/>
            </c:ext>
          </c:extLst>
        </c:ser>
        <c:ser>
          <c:idx val="2"/>
          <c:order val="2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17.1x-19.1x Exit EBITDA Range at 8.0% WACC</c:v>
                </c:pt>
                <c:pt idx="1">
                  <c:v>DCF Value at 2.0%-4.0% Perpetuity Range at 8.0%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939.76937061789192</c:v>
                </c:pt>
                <c:pt idx="1">
                  <c:v>926.02880166518003</c:v>
                </c:pt>
                <c:pt idx="2">
                  <c:v>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3-4E91-8D66-944AAAC3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8.0% WACC</c:v>
                </c:pt>
                <c:pt idx="1">
                  <c:v>LTM EBITDA Purchase Multiple at 26.8x-28.1x Exit EBITDA Multiple at 8.0% WACC</c:v>
                </c:pt>
                <c:pt idx="2">
                  <c:v>LTM EBITDA Purchase Multiple at 6.0%-10.0% WACC at 18.1x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23.710589999661053</c:v>
                </c:pt>
                <c:pt idx="1">
                  <c:v>26.823881009106735</c:v>
                </c:pt>
                <c:pt idx="2">
                  <c:v>24.463886842736009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5-4FE9-8BD7-0E0161403D7A}"/>
            </c:ext>
          </c:extLst>
        </c:ser>
        <c:ser>
          <c:idx val="1"/>
          <c:order val="1"/>
          <c:spPr>
            <a:solidFill>
              <a:schemeClr val="tx2"/>
            </a:solidFill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2.0%-4.0% Perpetuity Growth at 8.0% WACC</c:v>
                </c:pt>
                <c:pt idx="1">
                  <c:v>LTM EBITDA Purchase Multiple at 26.8x-28.1x Exit EBITDA Multiple at 8.0% WACC</c:v>
                </c:pt>
                <c:pt idx="2">
                  <c:v>LTM EBITDA Purchase Multiple at 6.0%-10.0% WACC at 18.1x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3.9759343169966996</c:v>
                </c:pt>
                <c:pt idx="1">
                  <c:v>1.2862940129156542</c:v>
                </c:pt>
                <c:pt idx="2">
                  <c:v>3.5969088986948066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5-4FE9-8BD7-0E0161403D7A}"/>
            </c:ext>
          </c:extLst>
        </c:ser>
        <c:ser>
          <c:idx val="2"/>
          <c:order val="2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8.0% WACC</c:v>
                </c:pt>
                <c:pt idx="1">
                  <c:v>LTM EBITDA Purchase Multiple at 26.8x-28.1x Exit EBITDA Multiple at 8.0% WACC</c:v>
                </c:pt>
                <c:pt idx="2">
                  <c:v>LTM EBITDA Purchase Multiple at 6.0%-10.0% WACC at 18.1x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27.686524316657753</c:v>
                </c:pt>
                <c:pt idx="1">
                  <c:v>28.110175022022389</c:v>
                </c:pt>
                <c:pt idx="2">
                  <c:v>28.060795741430816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5-4FE9-8BD7-0E0161403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529BCA-2888-434E-AC7E-5B03FCA5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15</xdr:col>
      <xdr:colOff>657225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8233F-A324-4062-8E99-2AF6A530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C5C2-F5D8-4256-8F21-A9880BD1C1B0}">
  <dimension ref="A1:K314"/>
  <sheetViews>
    <sheetView showGridLines="0" tabSelected="1" topLeftCell="A134" zoomScaleNormal="100" workbookViewId="0">
      <selection activeCell="G152" sqref="G152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6384" width="9.140625" style="6"/>
  </cols>
  <sheetData>
    <row r="1" spans="3:11" ht="15" customHeight="1" thickBot="1" x14ac:dyDescent="0.3"/>
    <row r="2" spans="3:11" ht="15.75" thickBot="1" x14ac:dyDescent="0.3">
      <c r="C2" s="2" t="str">
        <f>Company_Name&amp;" - Financial Statement Model"</f>
        <v>Elm Company - Financial Statement Model</v>
      </c>
      <c r="D2" s="8"/>
      <c r="E2" s="8"/>
      <c r="F2" s="8"/>
      <c r="G2" s="8"/>
      <c r="H2" s="8"/>
      <c r="I2" s="8"/>
      <c r="J2" s="8"/>
      <c r="K2" s="8"/>
    </row>
    <row r="3" spans="3:11" x14ac:dyDescent="0.25">
      <c r="C3" s="237" t="s">
        <v>198</v>
      </c>
      <c r="D3" s="9"/>
      <c r="E3" s="9"/>
      <c r="F3" s="9"/>
      <c r="G3" s="9"/>
      <c r="H3" s="9"/>
    </row>
    <row r="4" spans="3:11" ht="15" customHeight="1" x14ac:dyDescent="0.25"/>
    <row r="5" spans="3:11" x14ac:dyDescent="0.25">
      <c r="C5" s="3" t="s">
        <v>0</v>
      </c>
      <c r="D5" s="242" t="s">
        <v>238</v>
      </c>
    </row>
    <row r="6" spans="3:11" x14ac:dyDescent="0.25">
      <c r="C6" s="3" t="s">
        <v>1</v>
      </c>
      <c r="D6" s="4" t="s">
        <v>239</v>
      </c>
    </row>
    <row r="7" spans="3:11" x14ac:dyDescent="0.25">
      <c r="C7" s="6" t="s">
        <v>28</v>
      </c>
      <c r="D7" s="248">
        <v>692</v>
      </c>
    </row>
    <row r="8" spans="3:11" x14ac:dyDescent="0.25">
      <c r="C8" s="6" t="s">
        <v>29</v>
      </c>
      <c r="D8" s="5">
        <v>46198</v>
      </c>
    </row>
    <row r="9" spans="3:11" x14ac:dyDescent="0.25">
      <c r="C9" s="3" t="s">
        <v>2</v>
      </c>
      <c r="D9" s="5">
        <v>46022</v>
      </c>
    </row>
    <row r="10" spans="3:11" ht="15" customHeight="1" x14ac:dyDescent="0.25">
      <c r="C10" s="6" t="s">
        <v>30</v>
      </c>
      <c r="D10" s="256">
        <v>77860490</v>
      </c>
    </row>
    <row r="11" spans="3:11" ht="15" customHeight="1" x14ac:dyDescent="0.25"/>
    <row r="12" spans="3:11" customFormat="1" x14ac:dyDescent="0.25">
      <c r="C12" s="39" t="s">
        <v>41</v>
      </c>
      <c r="D12" s="257"/>
      <c r="E12" s="40"/>
      <c r="F12" s="40"/>
      <c r="G12" s="40"/>
      <c r="H12" s="40"/>
      <c r="I12" s="40"/>
      <c r="J12" s="40"/>
      <c r="K12" s="40"/>
    </row>
    <row r="13" spans="3:11" customFormat="1" x14ac:dyDescent="0.25">
      <c r="C13" t="s">
        <v>42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3:11" customFormat="1" x14ac:dyDescent="0.25">
      <c r="C14" s="43" t="s">
        <v>43</v>
      </c>
      <c r="D14" s="258">
        <f>EOMONTH(E14,-12)</f>
        <v>45291</v>
      </c>
      <c r="E14" s="234">
        <f>EOMONTH(F14,-12)</f>
        <v>45657</v>
      </c>
      <c r="F14" s="234">
        <f>D9</f>
        <v>46022</v>
      </c>
      <c r="G14" s="234">
        <f>EOMONTH(F14,12)</f>
        <v>46387</v>
      </c>
      <c r="H14" s="234">
        <f>EOMONTH(G14,12)</f>
        <v>46752</v>
      </c>
      <c r="I14" s="234">
        <f>EOMONTH(H14,12)</f>
        <v>47118</v>
      </c>
      <c r="J14" s="234">
        <f>EOMONTH(I14,12)</f>
        <v>47483</v>
      </c>
      <c r="K14" s="234">
        <f>EOMONTH(J14,12)</f>
        <v>47848</v>
      </c>
    </row>
    <row r="15" spans="3:11" ht="15" customHeight="1" x14ac:dyDescent="0.25"/>
    <row r="16" spans="3:11" ht="15" customHeight="1" x14ac:dyDescent="0.25">
      <c r="C16" s="6" t="s">
        <v>223</v>
      </c>
      <c r="D16" s="10">
        <v>5898362840</v>
      </c>
      <c r="E16" s="10">
        <v>7406794402</v>
      </c>
      <c r="F16" s="10">
        <v>9464884988</v>
      </c>
      <c r="G16" s="238">
        <f>G170</f>
        <v>11119070000.000002</v>
      </c>
      <c r="H16" s="238">
        <f t="shared" ref="H16:K16" si="0">H170</f>
        <v>12769464399.999998</v>
      </c>
      <c r="I16" s="238">
        <f t="shared" si="0"/>
        <v>14415536240.000004</v>
      </c>
      <c r="J16" s="238">
        <f t="shared" si="0"/>
        <v>16030419599.600004</v>
      </c>
      <c r="K16" s="238">
        <f t="shared" si="0"/>
        <v>17668436477.328003</v>
      </c>
    </row>
    <row r="17" spans="3:11" ht="15" customHeight="1" x14ac:dyDescent="0.25">
      <c r="C17" s="6" t="s">
        <v>224</v>
      </c>
      <c r="D17" s="10">
        <v>-3566638564</v>
      </c>
      <c r="E17" s="10">
        <v>-4375702533</v>
      </c>
      <c r="F17" s="10">
        <v>-5787332790</v>
      </c>
      <c r="G17" s="238">
        <f>G18-G16</f>
        <v>-6697032844.084753</v>
      </c>
      <c r="H17" s="238">
        <f t="shared" ref="H17:K17" si="1">H18-H16</f>
        <v>-7691067911.9900303</v>
      </c>
      <c r="I17" s="238">
        <f t="shared" si="1"/>
        <v>-8682499495.4051056</v>
      </c>
      <c r="J17" s="238">
        <f t="shared" si="1"/>
        <v>-9655146209.4384842</v>
      </c>
      <c r="K17" s="238">
        <f t="shared" si="1"/>
        <v>-10641726276.774113</v>
      </c>
    </row>
    <row r="18" spans="3:11" s="13" customFormat="1" ht="15" customHeight="1" x14ac:dyDescent="0.25">
      <c r="C18" s="13" t="s">
        <v>203</v>
      </c>
      <c r="D18" s="14">
        <f>SUM(D16:D17)</f>
        <v>2331724276</v>
      </c>
      <c r="E18" s="14">
        <f t="shared" ref="E18:F18" si="2">SUM(E16:E17)</f>
        <v>3031091869</v>
      </c>
      <c r="F18" s="14">
        <f t="shared" si="2"/>
        <v>3677552198</v>
      </c>
      <c r="G18" s="14">
        <f>G16*G42</f>
        <v>4422037155.9152489</v>
      </c>
      <c r="H18" s="14">
        <f>H16*H42</f>
        <v>5078396488.0099678</v>
      </c>
      <c r="I18" s="14">
        <f>I16*I42</f>
        <v>5733036744.5948992</v>
      </c>
      <c r="J18" s="14">
        <f>J16*J42</f>
        <v>6375273390.16152</v>
      </c>
      <c r="K18" s="14">
        <f>K16*K42</f>
        <v>7026710200.5538902</v>
      </c>
    </row>
    <row r="19" spans="3:11" s="15" customFormat="1" ht="15" customHeight="1" x14ac:dyDescent="0.25">
      <c r="C19" s="229" t="s">
        <v>225</v>
      </c>
      <c r="D19" s="243">
        <v>-51585026</v>
      </c>
      <c r="E19" s="190">
        <v>-75532533</v>
      </c>
      <c r="F19" s="190">
        <v>-105377708</v>
      </c>
      <c r="G19" s="227">
        <f>G43*G$16</f>
        <v>-111475833.09067006</v>
      </c>
      <c r="H19" s="227">
        <f t="shared" ref="H19:K22" si="3">H43*H$16</f>
        <v>-128022099.16042015</v>
      </c>
      <c r="I19" s="227">
        <f t="shared" si="3"/>
        <v>-144525028.78412905</v>
      </c>
      <c r="J19" s="227">
        <f t="shared" si="3"/>
        <v>-160715273.81862116</v>
      </c>
      <c r="K19" s="227">
        <f t="shared" si="3"/>
        <v>-177137447.26130179</v>
      </c>
    </row>
    <row r="20" spans="3:11" s="15" customFormat="1" ht="15" customHeight="1" x14ac:dyDescent="0.25">
      <c r="C20" s="229" t="s">
        <v>226</v>
      </c>
      <c r="D20" s="243">
        <v>-278660069</v>
      </c>
      <c r="E20" s="190">
        <v>-335606445</v>
      </c>
      <c r="F20" s="190">
        <v>-403362640</v>
      </c>
      <c r="G20" s="227">
        <f t="shared" ref="G20:G22" si="4">G44*G$16</f>
        <v>-500991935.61273783</v>
      </c>
      <c r="H20" s="227">
        <f t="shared" si="3"/>
        <v>-575353755.88911176</v>
      </c>
      <c r="I20" s="227">
        <f t="shared" si="3"/>
        <v>-649520814.58010161</v>
      </c>
      <c r="J20" s="227">
        <f t="shared" si="3"/>
        <v>-722282613.91357148</v>
      </c>
      <c r="K20" s="227">
        <f t="shared" si="3"/>
        <v>-796086740.17046916</v>
      </c>
    </row>
    <row r="21" spans="3:11" s="15" customFormat="1" ht="15" customHeight="1" x14ac:dyDescent="0.25">
      <c r="C21" s="229" t="s">
        <v>227</v>
      </c>
      <c r="D21" s="243">
        <v>-91770357</v>
      </c>
      <c r="E21" s="190">
        <v>-142748596</v>
      </c>
      <c r="F21" s="190">
        <v>-105710338</v>
      </c>
      <c r="G21" s="227">
        <f t="shared" si="4"/>
        <v>-170492249.02000287</v>
      </c>
      <c r="H21" s="227">
        <f t="shared" si="3"/>
        <v>-195798273.08730504</v>
      </c>
      <c r="I21" s="227">
        <f t="shared" si="3"/>
        <v>-221038017.96255949</v>
      </c>
      <c r="J21" s="227">
        <f t="shared" si="3"/>
        <v>-245799539.91387215</v>
      </c>
      <c r="K21" s="227">
        <f t="shared" si="3"/>
        <v>-270915775.48182607</v>
      </c>
    </row>
    <row r="22" spans="3:11" s="15" customFormat="1" ht="15" customHeight="1" x14ac:dyDescent="0.25">
      <c r="C22" s="229" t="s">
        <v>228</v>
      </c>
      <c r="D22" s="243">
        <v>-433233560</v>
      </c>
      <c r="E22" s="190">
        <v>-556569813</v>
      </c>
      <c r="F22" s="190">
        <v>-748519572</v>
      </c>
      <c r="G22" s="227">
        <f t="shared" si="4"/>
        <v>-843851404.46267164</v>
      </c>
      <c r="H22" s="227">
        <f t="shared" si="3"/>
        <v>-969103573.2463311</v>
      </c>
      <c r="I22" s="227">
        <f t="shared" si="3"/>
        <v>-1094027693.1619768</v>
      </c>
      <c r="J22" s="227">
        <f t="shared" si="3"/>
        <v>-1216584848.665257</v>
      </c>
      <c r="K22" s="227">
        <f t="shared" si="3"/>
        <v>-1340897659.2514241</v>
      </c>
    </row>
    <row r="23" spans="3:11" s="15" customFormat="1" ht="15" customHeight="1" x14ac:dyDescent="0.25">
      <c r="C23" s="229" t="s">
        <v>229</v>
      </c>
      <c r="D23" s="243">
        <v>-119972900</v>
      </c>
      <c r="E23" s="190">
        <v>-198838582</v>
      </c>
      <c r="F23" s="190">
        <v>-254424318</v>
      </c>
      <c r="G23" s="227">
        <f>-G161</f>
        <v>-292815849.66643244</v>
      </c>
      <c r="H23" s="227">
        <f t="shared" ref="H23:K23" si="5">-H161</f>
        <v>-327124109.51242095</v>
      </c>
      <c r="I23" s="227">
        <f t="shared" si="5"/>
        <v>-364250473.99435282</v>
      </c>
      <c r="J23" s="227">
        <f t="shared" si="5"/>
        <v>-402811914.97682261</v>
      </c>
      <c r="K23" s="227">
        <f t="shared" si="5"/>
        <v>-443223403.11111575</v>
      </c>
    </row>
    <row r="24" spans="3:11" s="15" customFormat="1" ht="15" customHeight="1" x14ac:dyDescent="0.25">
      <c r="C24" s="229" t="s">
        <v>230</v>
      </c>
      <c r="D24" s="243">
        <v>-5918692</v>
      </c>
      <c r="E24" s="190">
        <v>-21343476</v>
      </c>
      <c r="F24" s="190">
        <v>-30210394</v>
      </c>
      <c r="G24" s="227">
        <v>0</v>
      </c>
      <c r="H24" s="227">
        <f>G24</f>
        <v>0</v>
      </c>
      <c r="I24" s="227">
        <f t="shared" ref="I24:K24" si="6">H24</f>
        <v>0</v>
      </c>
      <c r="J24" s="227">
        <f t="shared" si="6"/>
        <v>0</v>
      </c>
      <c r="K24" s="227">
        <f t="shared" si="6"/>
        <v>0</v>
      </c>
    </row>
    <row r="25" spans="3:11" ht="15" customHeight="1" x14ac:dyDescent="0.25">
      <c r="C25" s="200" t="s">
        <v>205</v>
      </c>
      <c r="D25" s="220">
        <f>SUM(D18:D24)</f>
        <v>1350583672</v>
      </c>
      <c r="E25" s="220">
        <f t="shared" ref="E25:K25" si="7">SUM(E18:E24)</f>
        <v>1700452424</v>
      </c>
      <c r="F25" s="220">
        <f t="shared" si="7"/>
        <v>2029947228</v>
      </c>
      <c r="G25" s="220">
        <f t="shared" si="7"/>
        <v>2502409884.0627346</v>
      </c>
      <c r="H25" s="220">
        <f t="shared" si="7"/>
        <v>2882994677.1143785</v>
      </c>
      <c r="I25" s="220">
        <f t="shared" si="7"/>
        <v>3259674716.1117787</v>
      </c>
      <c r="J25" s="220">
        <f t="shared" si="7"/>
        <v>3627079198.8733768</v>
      </c>
      <c r="K25" s="220">
        <f t="shared" si="7"/>
        <v>3998449175.2777534</v>
      </c>
    </row>
    <row r="26" spans="3:11" ht="15" customHeight="1" x14ac:dyDescent="0.25">
      <c r="C26" s="230" t="s">
        <v>231</v>
      </c>
      <c r="D26" s="243">
        <v>-5861229</v>
      </c>
      <c r="E26" s="190">
        <v>-28447260</v>
      </c>
      <c r="F26" s="190">
        <v>-105799381</v>
      </c>
      <c r="G26" s="227">
        <f>G217</f>
        <v>-197340802.10000002</v>
      </c>
      <c r="H26" s="227">
        <f t="shared" ref="H26:K27" si="8">H217</f>
        <v>-197340802.10000002</v>
      </c>
      <c r="I26" s="227">
        <f t="shared" si="8"/>
        <v>-197340802.10000002</v>
      </c>
      <c r="J26" s="227">
        <f t="shared" si="8"/>
        <v>-197340802.10000002</v>
      </c>
      <c r="K26" s="227">
        <f t="shared" si="8"/>
        <v>-197340802.10000002</v>
      </c>
    </row>
    <row r="27" spans="3:11" ht="15" customHeight="1" x14ac:dyDescent="0.25">
      <c r="C27" s="230" t="s">
        <v>232</v>
      </c>
      <c r="D27" s="243">
        <v>127856085</v>
      </c>
      <c r="E27" s="190">
        <v>145475642</v>
      </c>
      <c r="F27" s="190">
        <v>134684755</v>
      </c>
      <c r="G27" s="227">
        <f>G218</f>
        <v>142702954.44918689</v>
      </c>
      <c r="H27" s="227">
        <f t="shared" si="8"/>
        <v>195070837.03300047</v>
      </c>
      <c r="I27" s="227">
        <f t="shared" si="8"/>
        <v>249618997.01617771</v>
      </c>
      <c r="J27" s="227">
        <f t="shared" si="8"/>
        <v>311983876.83923334</v>
      </c>
      <c r="K27" s="227">
        <f t="shared" si="8"/>
        <v>382206316.54985154</v>
      </c>
    </row>
    <row r="28" spans="3:11" ht="15" customHeight="1" x14ac:dyDescent="0.25">
      <c r="C28" s="230" t="s">
        <v>233</v>
      </c>
      <c r="D28" s="243">
        <v>-11946369</v>
      </c>
      <c r="E28" s="190">
        <v>-1644095</v>
      </c>
      <c r="F28" s="190">
        <v>-4461958</v>
      </c>
      <c r="G28" s="227">
        <v>0</v>
      </c>
      <c r="H28" s="227">
        <v>0</v>
      </c>
      <c r="I28" s="227">
        <v>0</v>
      </c>
      <c r="J28" s="227">
        <v>0</v>
      </c>
      <c r="K28" s="227">
        <v>0</v>
      </c>
    </row>
    <row r="29" spans="3:11" ht="15" customHeight="1" x14ac:dyDescent="0.25">
      <c r="C29" s="230" t="s">
        <v>234</v>
      </c>
      <c r="D29" s="243">
        <v>-15968640</v>
      </c>
      <c r="E29" s="190">
        <v>34211615</v>
      </c>
      <c r="F29" s="190">
        <v>23692080</v>
      </c>
      <c r="G29" s="227">
        <v>0</v>
      </c>
      <c r="H29" s="227">
        <v>0</v>
      </c>
      <c r="I29" s="227">
        <v>0</v>
      </c>
      <c r="J29" s="227">
        <v>0</v>
      </c>
      <c r="K29" s="227">
        <v>0</v>
      </c>
    </row>
    <row r="30" spans="3:11" s="13" customFormat="1" ht="15" customHeight="1" x14ac:dyDescent="0.25">
      <c r="C30" s="230" t="s">
        <v>204</v>
      </c>
      <c r="D30" s="243">
        <v>28588884</v>
      </c>
      <c r="E30" s="190">
        <v>103820056</v>
      </c>
      <c r="F30" s="190">
        <v>57973148</v>
      </c>
      <c r="G30" s="227">
        <v>0</v>
      </c>
      <c r="H30" s="227">
        <v>0</v>
      </c>
      <c r="I30" s="227">
        <v>0</v>
      </c>
      <c r="J30" s="227">
        <v>0</v>
      </c>
      <c r="K30" s="227">
        <v>0</v>
      </c>
    </row>
    <row r="31" spans="3:11" s="13" customFormat="1" ht="15" customHeight="1" x14ac:dyDescent="0.25">
      <c r="C31" s="13" t="s">
        <v>208</v>
      </c>
      <c r="D31" s="220">
        <f>SUM(D25:D30)</f>
        <v>1473252403</v>
      </c>
      <c r="E31" s="220">
        <f t="shared" ref="E31:K31" si="9">SUM(E25:E30)</f>
        <v>1953868382</v>
      </c>
      <c r="F31" s="220">
        <f t="shared" si="9"/>
        <v>2136035872</v>
      </c>
      <c r="G31" s="220">
        <f t="shared" si="9"/>
        <v>2447772036.4119215</v>
      </c>
      <c r="H31" s="220">
        <f t="shared" si="9"/>
        <v>2880724712.047379</v>
      </c>
      <c r="I31" s="220">
        <f t="shared" si="9"/>
        <v>3311952911.0279565</v>
      </c>
      <c r="J31" s="220">
        <f t="shared" si="9"/>
        <v>3741722273.6126103</v>
      </c>
      <c r="K31" s="220">
        <f t="shared" si="9"/>
        <v>4183314689.7276049</v>
      </c>
    </row>
    <row r="32" spans="3:11" ht="15" customHeight="1" x14ac:dyDescent="0.25">
      <c r="C32" s="6" t="s">
        <v>235</v>
      </c>
      <c r="D32" s="243">
        <v>-117057649</v>
      </c>
      <c r="E32" s="243">
        <v>-127019914</v>
      </c>
      <c r="F32" s="243">
        <v>-45710979</v>
      </c>
      <c r="G32" s="190">
        <f>-G31*G48</f>
        <v>-61194300.910298042</v>
      </c>
      <c r="H32" s="190">
        <f t="shared" ref="H32:K32" si="10">-H31*H48</f>
        <v>-72018117.801184475</v>
      </c>
      <c r="I32" s="190">
        <f t="shared" si="10"/>
        <v>-82798822.775698915</v>
      </c>
      <c r="J32" s="190">
        <f t="shared" si="10"/>
        <v>-93543056.840315267</v>
      </c>
      <c r="K32" s="190">
        <f t="shared" si="10"/>
        <v>-104582867.24319012</v>
      </c>
    </row>
    <row r="33" spans="3:11" ht="15" customHeight="1" x14ac:dyDescent="0.25">
      <c r="C33" s="13" t="s">
        <v>207</v>
      </c>
      <c r="D33" s="220">
        <f>SUM(D31:D32)</f>
        <v>1356194754</v>
      </c>
      <c r="E33" s="220">
        <f t="shared" ref="E33:K33" si="11">SUM(E31:E32)</f>
        <v>1826848468</v>
      </c>
      <c r="F33" s="220">
        <f t="shared" si="11"/>
        <v>2090324893</v>
      </c>
      <c r="G33" s="220">
        <f t="shared" si="11"/>
        <v>2386577735.5016236</v>
      </c>
      <c r="H33" s="220">
        <f t="shared" si="11"/>
        <v>2808706594.2461944</v>
      </c>
      <c r="I33" s="220">
        <f t="shared" si="11"/>
        <v>3229154088.2522573</v>
      </c>
      <c r="J33" s="220">
        <f t="shared" si="11"/>
        <v>3648179216.772295</v>
      </c>
      <c r="K33" s="220">
        <f t="shared" si="11"/>
        <v>4078731822.4844146</v>
      </c>
    </row>
    <row r="34" spans="3:11" ht="15" customHeight="1" x14ac:dyDescent="0.25">
      <c r="C34" s="6" t="s">
        <v>236</v>
      </c>
      <c r="D34" s="227">
        <f t="shared" ref="D34:E34" si="12">D33-D35</f>
        <v>1356230754</v>
      </c>
      <c r="E34" s="227">
        <f t="shared" si="12"/>
        <v>1826871586</v>
      </c>
      <c r="F34" s="227">
        <f>F33-F35</f>
        <v>2090353004</v>
      </c>
      <c r="G34" s="227">
        <f t="shared" ref="G34:K34" si="13">G33-G35</f>
        <v>2386545640.4493437</v>
      </c>
      <c r="H34" s="227">
        <f t="shared" si="13"/>
        <v>2808668822.3422499</v>
      </c>
      <c r="I34" s="227">
        <f t="shared" si="13"/>
        <v>3229110662.1078916</v>
      </c>
      <c r="J34" s="227">
        <f t="shared" si="13"/>
        <v>3648130155.5156903</v>
      </c>
      <c r="K34" s="227">
        <f t="shared" si="13"/>
        <v>4078676971.0923433</v>
      </c>
    </row>
    <row r="35" spans="3:11" ht="15" customHeight="1" x14ac:dyDescent="0.25">
      <c r="C35" s="6" t="s">
        <v>237</v>
      </c>
      <c r="D35" s="243">
        <v>-36000</v>
      </c>
      <c r="E35" s="243">
        <v>-23118</v>
      </c>
      <c r="F35" s="243">
        <v>-28111</v>
      </c>
      <c r="G35" s="228">
        <f>G233</f>
        <v>32095.052279840089</v>
      </c>
      <c r="H35" s="228">
        <f t="shared" ref="H35:K35" si="14">H233</f>
        <v>37771.903944338075</v>
      </c>
      <c r="I35" s="228">
        <f t="shared" si="14"/>
        <v>43426.144365807544</v>
      </c>
      <c r="J35" s="228">
        <f t="shared" si="14"/>
        <v>49061.256604710004</v>
      </c>
      <c r="K35" s="228">
        <f t="shared" si="14"/>
        <v>54851.392071069487</v>
      </c>
    </row>
    <row r="36" spans="3:11" ht="15" customHeight="1" x14ac:dyDescent="0.25">
      <c r="D36" s="14"/>
      <c r="E36" s="14"/>
      <c r="F36" s="14"/>
      <c r="G36" s="228"/>
      <c r="H36" s="231"/>
      <c r="I36" s="231"/>
      <c r="J36" s="231"/>
      <c r="K36" s="231"/>
    </row>
    <row r="37" spans="3:11" s="13" customFormat="1" ht="15" customHeight="1" x14ac:dyDescent="0.25">
      <c r="C37" s="232" t="s">
        <v>24</v>
      </c>
      <c r="D37" s="14">
        <f>-D23+D25</f>
        <v>1470556572</v>
      </c>
      <c r="E37" s="14">
        <f t="shared" ref="E37:K37" si="15">-E23+E25</f>
        <v>1899291006</v>
      </c>
      <c r="F37" s="14">
        <f t="shared" si="15"/>
        <v>2284371546</v>
      </c>
      <c r="G37" s="14">
        <f t="shared" si="15"/>
        <v>2795225733.729167</v>
      </c>
      <c r="H37" s="14">
        <f t="shared" si="15"/>
        <v>3210118786.6267996</v>
      </c>
      <c r="I37" s="14">
        <f t="shared" si="15"/>
        <v>3623925190.1061316</v>
      </c>
      <c r="J37" s="14">
        <f t="shared" si="15"/>
        <v>4029891113.8501997</v>
      </c>
      <c r="K37" s="14">
        <f t="shared" si="15"/>
        <v>4441672578.3888693</v>
      </c>
    </row>
    <row r="38" spans="3:11" ht="15" customHeight="1" x14ac:dyDescent="0.25">
      <c r="C38" s="233" t="s">
        <v>148</v>
      </c>
      <c r="D38" s="15">
        <f>D37/D16</f>
        <v>0.24931605801314183</v>
      </c>
      <c r="E38" s="15">
        <f t="shared" ref="E38:K38" si="16">E37/E16</f>
        <v>0.25642550648998019</v>
      </c>
      <c r="F38" s="15">
        <f t="shared" si="16"/>
        <v>0.24135227727502526</v>
      </c>
      <c r="G38" s="15">
        <f t="shared" si="16"/>
        <v>0.25139024520298608</v>
      </c>
      <c r="H38" s="15">
        <f t="shared" si="16"/>
        <v>0.25139024520298597</v>
      </c>
      <c r="I38" s="15">
        <f t="shared" si="16"/>
        <v>0.25139024520298597</v>
      </c>
      <c r="J38" s="15">
        <f t="shared" si="16"/>
        <v>0.25139024520298614</v>
      </c>
      <c r="K38" s="15">
        <f t="shared" si="16"/>
        <v>0.25139024520298603</v>
      </c>
    </row>
    <row r="39" spans="3:11" ht="15" customHeight="1" x14ac:dyDescent="0.25">
      <c r="C39" s="17"/>
      <c r="D39" s="14"/>
      <c r="E39" s="14"/>
      <c r="F39" s="14"/>
      <c r="G39" s="199"/>
      <c r="H39" s="14"/>
      <c r="I39" s="14"/>
      <c r="J39" s="14"/>
      <c r="K39" s="14"/>
    </row>
    <row r="40" spans="3:11" ht="15" customHeight="1" x14ac:dyDescent="0.25">
      <c r="C40" s="20" t="s">
        <v>27</v>
      </c>
      <c r="D40" s="21"/>
      <c r="E40" s="21"/>
      <c r="F40" s="14"/>
      <c r="H40" s="21"/>
      <c r="I40" s="21"/>
      <c r="J40" s="21"/>
      <c r="K40" s="21"/>
    </row>
    <row r="41" spans="3:11" ht="15" customHeight="1" x14ac:dyDescent="0.25">
      <c r="C41" s="17" t="s">
        <v>25</v>
      </c>
      <c r="D41" s="22"/>
      <c r="E41" s="212">
        <f t="shared" ref="E41:K41" si="17">E16/D16-1</f>
        <v>0.25573732964857743</v>
      </c>
      <c r="F41" s="212">
        <f t="shared" si="17"/>
        <v>0.2778652240494579</v>
      </c>
      <c r="G41" s="212">
        <f t="shared" si="17"/>
        <v>0.1747707461947241</v>
      </c>
      <c r="H41" s="212">
        <f t="shared" si="17"/>
        <v>0.14842917618110119</v>
      </c>
      <c r="I41" s="212">
        <f t="shared" si="17"/>
        <v>0.12890688195191702</v>
      </c>
      <c r="J41" s="212">
        <f t="shared" si="17"/>
        <v>0.11202381463403688</v>
      </c>
      <c r="K41" s="212">
        <f t="shared" si="17"/>
        <v>0.10218178429770308</v>
      </c>
    </row>
    <row r="42" spans="3:11" ht="15" customHeight="1" x14ac:dyDescent="0.25">
      <c r="C42" s="17" t="s">
        <v>270</v>
      </c>
      <c r="D42" s="22">
        <f>D18/D16</f>
        <v>0.39531719889921185</v>
      </c>
      <c r="E42" s="22">
        <f>E18/E16</f>
        <v>0.40923126854736747</v>
      </c>
      <c r="F42" s="22">
        <f>F18/F16</f>
        <v>0.38854695040273213</v>
      </c>
      <c r="G42" s="255">
        <f>AVERAGE(D42:F42)</f>
        <v>0.39769847261643715</v>
      </c>
      <c r="H42" s="255">
        <f>G42</f>
        <v>0.39769847261643715</v>
      </c>
      <c r="I42" s="255">
        <f t="shared" ref="I42:K47" si="18">H42</f>
        <v>0.39769847261643715</v>
      </c>
      <c r="J42" s="255">
        <f t="shared" si="18"/>
        <v>0.39769847261643715</v>
      </c>
      <c r="K42" s="255">
        <f t="shared" si="18"/>
        <v>0.39769847261643715</v>
      </c>
    </row>
    <row r="43" spans="3:11" ht="15" customHeight="1" x14ac:dyDescent="0.25">
      <c r="C43" s="17" t="s">
        <v>225</v>
      </c>
      <c r="D43" s="22">
        <f>D19/D$16</f>
        <v>-8.7456515306542255E-3</v>
      </c>
      <c r="E43" s="22">
        <f t="shared" ref="E43:F43" si="19">E19/E$16</f>
        <v>-1.0197735876076771E-2</v>
      </c>
      <c r="F43" s="22">
        <f t="shared" si="19"/>
        <v>-1.1133543422197155E-2</v>
      </c>
      <c r="G43" s="255">
        <f>AVERAGE(D43:F43)</f>
        <v>-1.0025643609642717E-2</v>
      </c>
      <c r="H43" s="255">
        <f>G43</f>
        <v>-1.0025643609642717E-2</v>
      </c>
      <c r="I43" s="255">
        <f t="shared" si="18"/>
        <v>-1.0025643609642717E-2</v>
      </c>
      <c r="J43" s="255">
        <f t="shared" si="18"/>
        <v>-1.0025643609642717E-2</v>
      </c>
      <c r="K43" s="255">
        <f t="shared" si="18"/>
        <v>-1.0025643609642717E-2</v>
      </c>
    </row>
    <row r="44" spans="3:11" ht="15" customHeight="1" x14ac:dyDescent="0.25">
      <c r="C44" s="17" t="s">
        <v>226</v>
      </c>
      <c r="D44" s="22">
        <f t="shared" ref="D44:F46" si="20">D20/D$16</f>
        <v>-4.7243629556027789E-2</v>
      </c>
      <c r="E44" s="22">
        <f t="shared" si="20"/>
        <v>-4.5310619788417342E-2</v>
      </c>
      <c r="F44" s="22">
        <f t="shared" si="20"/>
        <v>-4.2616750283960239E-2</v>
      </c>
      <c r="G44" s="255">
        <f t="shared" ref="G44" si="21">AVERAGE(D44:F44)</f>
        <v>-4.5056999876135123E-2</v>
      </c>
      <c r="H44" s="255">
        <f t="shared" ref="H44" si="22">G44</f>
        <v>-4.5056999876135123E-2</v>
      </c>
      <c r="I44" s="255">
        <f t="shared" si="18"/>
        <v>-4.5056999876135123E-2</v>
      </c>
      <c r="J44" s="255">
        <f t="shared" si="18"/>
        <v>-4.5056999876135123E-2</v>
      </c>
      <c r="K44" s="255">
        <f t="shared" si="18"/>
        <v>-4.5056999876135123E-2</v>
      </c>
    </row>
    <row r="45" spans="3:11" ht="15" customHeight="1" x14ac:dyDescent="0.25">
      <c r="C45" s="17" t="s">
        <v>227</v>
      </c>
      <c r="D45" s="22">
        <f t="shared" si="20"/>
        <v>-1.5558615074958664E-2</v>
      </c>
      <c r="E45" s="22">
        <f t="shared" si="20"/>
        <v>-1.9272655382665232E-2</v>
      </c>
      <c r="F45" s="22">
        <f t="shared" si="20"/>
        <v>-1.1168687008244077E-2</v>
      </c>
      <c r="G45" s="255">
        <f>AVERAGE(D45:F45)</f>
        <v>-1.5333319155289323E-2</v>
      </c>
      <c r="H45" s="255">
        <f>G45</f>
        <v>-1.5333319155289323E-2</v>
      </c>
      <c r="I45" s="255">
        <f t="shared" si="18"/>
        <v>-1.5333319155289323E-2</v>
      </c>
      <c r="J45" s="255">
        <f t="shared" si="18"/>
        <v>-1.5333319155289323E-2</v>
      </c>
      <c r="K45" s="255">
        <f t="shared" si="18"/>
        <v>-1.5333319155289323E-2</v>
      </c>
    </row>
    <row r="46" spans="3:11" ht="15" customHeight="1" x14ac:dyDescent="0.25">
      <c r="C46" s="17" t="s">
        <v>228</v>
      </c>
      <c r="D46" s="22">
        <f t="shared" si="20"/>
        <v>-7.344979814771789E-2</v>
      </c>
      <c r="E46" s="22">
        <f t="shared" si="20"/>
        <v>-7.5143143280676686E-2</v>
      </c>
      <c r="F46" s="22">
        <f t="shared" si="20"/>
        <v>-7.9083852888757369E-2</v>
      </c>
      <c r="G46" s="255">
        <f>AVERAGE(D46:F46)</f>
        <v>-7.5892264772383977E-2</v>
      </c>
      <c r="H46" s="255">
        <f>G46</f>
        <v>-7.5892264772383977E-2</v>
      </c>
      <c r="I46" s="255">
        <f t="shared" si="18"/>
        <v>-7.5892264772383977E-2</v>
      </c>
      <c r="J46" s="255">
        <f t="shared" si="18"/>
        <v>-7.5892264772383977E-2</v>
      </c>
      <c r="K46" s="255">
        <f t="shared" si="18"/>
        <v>-7.5892264772383977E-2</v>
      </c>
    </row>
    <row r="47" spans="3:11" ht="15" customHeight="1" x14ac:dyDescent="0.25">
      <c r="C47" s="17" t="s">
        <v>230</v>
      </c>
      <c r="D47" s="22">
        <f>D24/D$16</f>
        <v>-1.0034465767114456E-3</v>
      </c>
      <c r="E47" s="22">
        <f>E24/E$16</f>
        <v>-2.8816077295512328E-3</v>
      </c>
      <c r="F47" s="22">
        <f>F24/F$16</f>
        <v>-3.1918395245480609E-3</v>
      </c>
      <c r="G47" s="255">
        <f>AVERAGE(D47:F47)</f>
        <v>-2.3589646102702461E-3</v>
      </c>
      <c r="H47" s="255">
        <f>G47</f>
        <v>-2.3589646102702461E-3</v>
      </c>
      <c r="I47" s="255">
        <f t="shared" si="18"/>
        <v>-2.3589646102702461E-3</v>
      </c>
      <c r="J47" s="255">
        <f t="shared" si="18"/>
        <v>-2.3589646102702461E-3</v>
      </c>
      <c r="K47" s="255">
        <f t="shared" si="18"/>
        <v>-2.3589646102702461E-3</v>
      </c>
    </row>
    <row r="48" spans="3:11" ht="15" customHeight="1" x14ac:dyDescent="0.25">
      <c r="C48" s="17" t="s">
        <v>26</v>
      </c>
      <c r="D48" s="213"/>
      <c r="E48" s="22">
        <f>E32/E31</f>
        <v>-6.5009452617264374E-2</v>
      </c>
      <c r="F48" s="22">
        <f>F32/F31</f>
        <v>-2.1399911677138724E-2</v>
      </c>
      <c r="G48" s="255">
        <v>2.5000000000000001E-2</v>
      </c>
      <c r="H48" s="255">
        <f t="shared" ref="H48:K48" si="23">G48</f>
        <v>2.5000000000000001E-2</v>
      </c>
      <c r="I48" s="255">
        <f t="shared" si="23"/>
        <v>2.5000000000000001E-2</v>
      </c>
      <c r="J48" s="255">
        <f t="shared" si="23"/>
        <v>2.5000000000000001E-2</v>
      </c>
      <c r="K48" s="255">
        <f t="shared" si="23"/>
        <v>2.5000000000000001E-2</v>
      </c>
    </row>
    <row r="49" spans="3:11" ht="15" customHeight="1" x14ac:dyDescent="0.25">
      <c r="C49" s="17"/>
      <c r="D49" s="23"/>
      <c r="E49" s="23"/>
      <c r="F49" s="23"/>
      <c r="G49" s="23"/>
      <c r="H49" s="23"/>
      <c r="I49" s="23"/>
      <c r="J49" s="23"/>
      <c r="K49" s="23"/>
    </row>
    <row r="50" spans="3:11" customFormat="1" x14ac:dyDescent="0.25">
      <c r="C50" s="39" t="s">
        <v>44</v>
      </c>
      <c r="D50" s="259"/>
      <c r="E50" s="46"/>
      <c r="F50" s="46"/>
      <c r="G50" s="40"/>
      <c r="H50" s="40"/>
      <c r="I50" s="40"/>
      <c r="J50" s="40"/>
      <c r="K50" s="40"/>
    </row>
    <row r="51" spans="3:11" customFormat="1" x14ac:dyDescent="0.25">
      <c r="C51" t="s">
        <v>42</v>
      </c>
      <c r="D51" s="41">
        <f>D$13</f>
        <v>2023</v>
      </c>
      <c r="E51" s="41">
        <f t="shared" ref="E51:K51" si="24">E$13</f>
        <v>2024</v>
      </c>
      <c r="F51" s="41">
        <f t="shared" si="24"/>
        <v>2025</v>
      </c>
      <c r="G51" s="42">
        <f t="shared" si="24"/>
        <v>2026</v>
      </c>
      <c r="H51" s="42">
        <f t="shared" si="24"/>
        <v>2027</v>
      </c>
      <c r="I51" s="42">
        <f t="shared" si="24"/>
        <v>2028</v>
      </c>
      <c r="J51" s="42">
        <f t="shared" si="24"/>
        <v>2029</v>
      </c>
      <c r="K51" s="42">
        <f t="shared" si="24"/>
        <v>2030</v>
      </c>
    </row>
    <row r="52" spans="3:11" customFormat="1" x14ac:dyDescent="0.25">
      <c r="C52" s="43" t="s">
        <v>43</v>
      </c>
      <c r="D52" s="258">
        <f>D$14</f>
        <v>45291</v>
      </c>
      <c r="E52" s="234">
        <f t="shared" ref="E52:K52" si="25">E$14</f>
        <v>45657</v>
      </c>
      <c r="F52" s="234">
        <f t="shared" si="25"/>
        <v>46022</v>
      </c>
      <c r="G52" s="234">
        <f t="shared" si="25"/>
        <v>46387</v>
      </c>
      <c r="H52" s="234">
        <f t="shared" si="25"/>
        <v>46752</v>
      </c>
      <c r="I52" s="234">
        <f t="shared" si="25"/>
        <v>47118</v>
      </c>
      <c r="J52" s="234">
        <f t="shared" si="25"/>
        <v>47483</v>
      </c>
      <c r="K52" s="234">
        <f t="shared" si="25"/>
        <v>47848</v>
      </c>
    </row>
    <row r="53" spans="3:11" s="35" customFormat="1" ht="15" customHeight="1" x14ac:dyDescent="0.25">
      <c r="C53" s="45" t="s">
        <v>3</v>
      </c>
    </row>
    <row r="54" spans="3:11" ht="15" customHeight="1" x14ac:dyDescent="0.25"/>
    <row r="55" spans="3:11" ht="15" customHeight="1" x14ac:dyDescent="0.25">
      <c r="C55" s="13" t="s">
        <v>4</v>
      </c>
    </row>
    <row r="56" spans="3:11" ht="15" customHeight="1" x14ac:dyDescent="0.25">
      <c r="C56" s="17" t="s">
        <v>271</v>
      </c>
      <c r="D56" s="10">
        <v>2322353701</v>
      </c>
      <c r="E56" s="10">
        <v>2895222777</v>
      </c>
      <c r="F56" s="10">
        <v>3606503783</v>
      </c>
      <c r="G56" s="187">
        <f>G183</f>
        <v>4320338263.392827</v>
      </c>
      <c r="H56" s="187">
        <f t="shared" ref="H56:K56" si="26">H183</f>
        <v>4961602512.6519136</v>
      </c>
      <c r="I56" s="187">
        <f t="shared" si="26"/>
        <v>5601187222.0426683</v>
      </c>
      <c r="J56" s="187">
        <f t="shared" si="26"/>
        <v>6228653581.1353121</v>
      </c>
      <c r="K56" s="187">
        <f t="shared" si="26"/>
        <v>6865108517.8279953</v>
      </c>
    </row>
    <row r="57" spans="3:11" ht="15" customHeight="1" x14ac:dyDescent="0.25">
      <c r="C57" s="17" t="s">
        <v>246</v>
      </c>
      <c r="D57" s="10">
        <v>847625684</v>
      </c>
      <c r="E57" s="10">
        <v>641667693</v>
      </c>
      <c r="F57" s="10">
        <v>1173197325</v>
      </c>
      <c r="G57" s="187">
        <f>G184</f>
        <v>1378237896.9239042</v>
      </c>
      <c r="H57" s="187">
        <f t="shared" ref="H57:K57" si="27">H184</f>
        <v>1582808612.5458927</v>
      </c>
      <c r="I57" s="187">
        <f t="shared" si="27"/>
        <v>1786843535.5158234</v>
      </c>
      <c r="J57" s="187">
        <f t="shared" si="27"/>
        <v>1987012564.5184751</v>
      </c>
      <c r="K57" s="187">
        <f t="shared" si="27"/>
        <v>2190049053.7829275</v>
      </c>
    </row>
    <row r="58" spans="3:11" ht="15" customHeight="1" x14ac:dyDescent="0.25">
      <c r="C58" s="17" t="s">
        <v>247</v>
      </c>
      <c r="D58" s="10">
        <v>0</v>
      </c>
      <c r="E58" s="10">
        <v>21399046</v>
      </c>
      <c r="F58" s="10">
        <v>27584336</v>
      </c>
      <c r="G58" s="187">
        <f>F58</f>
        <v>27584336</v>
      </c>
      <c r="H58" s="187">
        <f t="shared" ref="H58:K58" si="28">G58</f>
        <v>27584336</v>
      </c>
      <c r="I58" s="187">
        <f t="shared" si="28"/>
        <v>27584336</v>
      </c>
      <c r="J58" s="187">
        <f t="shared" si="28"/>
        <v>27584336</v>
      </c>
      <c r="K58" s="187">
        <f t="shared" si="28"/>
        <v>27584336</v>
      </c>
    </row>
    <row r="59" spans="3:11" ht="15" customHeight="1" x14ac:dyDescent="0.25">
      <c r="C59" s="17" t="s">
        <v>248</v>
      </c>
      <c r="D59" s="10">
        <v>372877131</v>
      </c>
      <c r="E59" s="10">
        <v>310748048</v>
      </c>
      <c r="F59" s="10">
        <v>447281090</v>
      </c>
      <c r="G59" s="19">
        <f>G297</f>
        <v>510937896.44177604</v>
      </c>
      <c r="H59" s="19">
        <f t="shared" ref="H59:K59" si="29">H297</f>
        <v>584043230.2220248</v>
      </c>
      <c r="I59" s="19">
        <f t="shared" si="29"/>
        <v>666572344.63393939</v>
      </c>
      <c r="J59" s="19">
        <f t="shared" si="29"/>
        <v>758346685.26064563</v>
      </c>
      <c r="K59" s="19">
        <f t="shared" si="29"/>
        <v>859498691.76533389</v>
      </c>
    </row>
    <row r="60" spans="3:11" ht="15" customHeight="1" x14ac:dyDescent="0.25">
      <c r="C60" s="17" t="s">
        <v>244</v>
      </c>
      <c r="D60" s="10">
        <v>18797335</v>
      </c>
      <c r="E60" s="10">
        <v>480597586</v>
      </c>
      <c r="F60" s="10">
        <v>404602319</v>
      </c>
      <c r="G60" s="19">
        <f>F60</f>
        <v>404602319</v>
      </c>
      <c r="H60" s="19">
        <f t="shared" ref="H60:K60" si="30">G60</f>
        <v>404602319</v>
      </c>
      <c r="I60" s="19">
        <f t="shared" si="30"/>
        <v>404602319</v>
      </c>
      <c r="J60" s="19">
        <f t="shared" si="30"/>
        <v>404602319</v>
      </c>
      <c r="K60" s="19">
        <f t="shared" si="30"/>
        <v>404602319</v>
      </c>
    </row>
    <row r="61" spans="3:11" ht="15" customHeight="1" x14ac:dyDescent="0.25">
      <c r="C61" s="17" t="s">
        <v>249</v>
      </c>
      <c r="D61" s="10">
        <v>3056113638</v>
      </c>
      <c r="E61" s="10">
        <v>1426071000</v>
      </c>
      <c r="F61" s="10">
        <v>2306000000</v>
      </c>
      <c r="G61" s="19">
        <f>F61</f>
        <v>2306000000</v>
      </c>
      <c r="H61" s="19">
        <f t="shared" ref="H61:K61" si="31">G61</f>
        <v>2306000000</v>
      </c>
      <c r="I61" s="19">
        <f t="shared" si="31"/>
        <v>2306000000</v>
      </c>
      <c r="J61" s="19">
        <f t="shared" si="31"/>
        <v>2306000000</v>
      </c>
      <c r="K61" s="19">
        <f t="shared" si="31"/>
        <v>2306000000</v>
      </c>
    </row>
    <row r="62" spans="3:11" ht="15" customHeight="1" x14ac:dyDescent="0.25">
      <c r="C62" s="17" t="s">
        <v>211</v>
      </c>
      <c r="D62" s="10">
        <v>384394607</v>
      </c>
      <c r="E62" s="10">
        <v>2250797179</v>
      </c>
      <c r="F62" s="10">
        <v>1836371678</v>
      </c>
      <c r="G62" s="19">
        <f>G141</f>
        <v>3356503019.9846625</v>
      </c>
      <c r="H62" s="19">
        <f t="shared" ref="H62:K62" si="32">H141</f>
        <v>4939923306.3655233</v>
      </c>
      <c r="I62" s="19">
        <f t="shared" si="32"/>
        <v>6750246805.8196812</v>
      </c>
      <c r="J62" s="19">
        <f t="shared" si="32"/>
        <v>8788659020.4799271</v>
      </c>
      <c r="K62" s="19">
        <f t="shared" si="32"/>
        <v>11065998435.691502</v>
      </c>
    </row>
    <row r="63" spans="3:11" ht="15" customHeight="1" x14ac:dyDescent="0.25">
      <c r="C63" s="11" t="s">
        <v>5</v>
      </c>
      <c r="D63" s="12">
        <f>SUM(D56:D62)</f>
        <v>7002162096</v>
      </c>
      <c r="E63" s="12">
        <f t="shared" ref="E63:G63" si="33">SUM(E56:E62)</f>
        <v>8026503329</v>
      </c>
      <c r="F63" s="12">
        <f t="shared" si="33"/>
        <v>9801540531</v>
      </c>
      <c r="G63" s="12">
        <f t="shared" si="33"/>
        <v>12304203731.74317</v>
      </c>
      <c r="H63" s="12">
        <f t="shared" ref="H63:K63" si="34">SUM(H56:H62)</f>
        <v>14806564316.785355</v>
      </c>
      <c r="I63" s="12">
        <f t="shared" si="34"/>
        <v>17543036563.012115</v>
      </c>
      <c r="J63" s="12">
        <f t="shared" si="34"/>
        <v>20500858506.39436</v>
      </c>
      <c r="K63" s="12">
        <f t="shared" si="34"/>
        <v>23718841354.067757</v>
      </c>
    </row>
    <row r="64" spans="3:11" ht="15" customHeight="1" x14ac:dyDescent="0.25">
      <c r="E64" s="18"/>
      <c r="F64" s="18"/>
      <c r="G64" s="18"/>
      <c r="H64" s="18"/>
      <c r="I64" s="18"/>
      <c r="J64" s="18"/>
      <c r="K64" s="18"/>
    </row>
    <row r="65" spans="3:11" ht="15" customHeight="1" x14ac:dyDescent="0.25">
      <c r="C65" s="13" t="s">
        <v>6</v>
      </c>
      <c r="E65" s="18"/>
      <c r="F65" s="18"/>
      <c r="G65" s="18"/>
      <c r="H65" s="18"/>
      <c r="I65" s="18"/>
      <c r="J65" s="18"/>
      <c r="K65" s="18"/>
    </row>
    <row r="66" spans="3:11" ht="15" customHeight="1" x14ac:dyDescent="0.25">
      <c r="C66" s="24" t="s">
        <v>240</v>
      </c>
      <c r="D66" s="10">
        <v>375183246</v>
      </c>
      <c r="E66" s="10">
        <v>518080773</v>
      </c>
      <c r="F66" s="10">
        <v>689435290</v>
      </c>
      <c r="G66" s="19">
        <f>G152</f>
        <v>933842115.74271572</v>
      </c>
      <c r="H66" s="19">
        <f t="shared" ref="H66:K66" si="35">H152</f>
        <v>1214526045.2834606</v>
      </c>
      <c r="I66" s="19">
        <f t="shared" si="35"/>
        <v>1531392064.9953144</v>
      </c>
      <c r="J66" s="19">
        <f t="shared" si="35"/>
        <v>1883754624.9631939</v>
      </c>
      <c r="K66" s="19">
        <f t="shared" si="35"/>
        <v>2272122220.0282979</v>
      </c>
    </row>
    <row r="67" spans="3:11" ht="15" customHeight="1" x14ac:dyDescent="0.25">
      <c r="C67" s="17" t="s">
        <v>241</v>
      </c>
      <c r="D67" s="10">
        <v>119813847</v>
      </c>
      <c r="E67" s="10">
        <v>51062073</v>
      </c>
      <c r="F67" s="10">
        <v>196030648</v>
      </c>
      <c r="G67" s="19">
        <f>G311</f>
        <v>220266902.67007169</v>
      </c>
      <c r="H67" s="19">
        <f t="shared" ref="H67:K67" si="36">H311</f>
        <v>248100524.65453756</v>
      </c>
      <c r="I67" s="19">
        <f t="shared" si="36"/>
        <v>279522092.06244928</v>
      </c>
      <c r="J67" s="19">
        <f t="shared" si="36"/>
        <v>314463623.31317568</v>
      </c>
      <c r="K67" s="19">
        <f t="shared" si="36"/>
        <v>352975542.57319528</v>
      </c>
    </row>
    <row r="68" spans="3:11" ht="15" customHeight="1" x14ac:dyDescent="0.25">
      <c r="C68" s="17" t="s">
        <v>210</v>
      </c>
      <c r="D68" s="10">
        <v>230798737</v>
      </c>
      <c r="E68" s="10">
        <v>557750104</v>
      </c>
      <c r="F68" s="10">
        <v>596096775</v>
      </c>
      <c r="G68" s="19">
        <f>G260</f>
        <v>594224076.47780323</v>
      </c>
      <c r="H68" s="19">
        <f t="shared" ref="H68:K68" si="37">H260</f>
        <v>592073414.85672128</v>
      </c>
      <c r="I68" s="19">
        <f t="shared" si="37"/>
        <v>589645518.15193188</v>
      </c>
      <c r="J68" s="19">
        <f t="shared" si="37"/>
        <v>586945639.19673467</v>
      </c>
      <c r="K68" s="19">
        <f t="shared" si="37"/>
        <v>583969881.79250753</v>
      </c>
    </row>
    <row r="69" spans="3:11" ht="15" customHeight="1" x14ac:dyDescent="0.25">
      <c r="C69" s="17" t="s">
        <v>209</v>
      </c>
      <c r="D69" s="10">
        <v>107177789</v>
      </c>
      <c r="E69" s="10">
        <v>70612641</v>
      </c>
      <c r="F69" s="10">
        <v>251081318</v>
      </c>
      <c r="G69" s="19">
        <f>G249</f>
        <v>256808788.73169094</v>
      </c>
      <c r="H69" s="19">
        <f t="shared" ref="H69:K69" si="38">H249</f>
        <v>272540538.71845728</v>
      </c>
      <c r="I69" s="19">
        <f t="shared" si="38"/>
        <v>295342404.03027654</v>
      </c>
      <c r="J69" s="19">
        <f t="shared" si="38"/>
        <v>322941907.87173086</v>
      </c>
      <c r="K69" s="19">
        <f t="shared" si="38"/>
        <v>354110130.33584964</v>
      </c>
    </row>
    <row r="70" spans="3:11" ht="15" customHeight="1" x14ac:dyDescent="0.25">
      <c r="C70" s="17" t="s">
        <v>242</v>
      </c>
      <c r="D70" s="10">
        <v>0</v>
      </c>
      <c r="E70" s="10">
        <v>73409363</v>
      </c>
      <c r="F70" s="10">
        <v>45470575</v>
      </c>
      <c r="G70" s="187">
        <f>F70</f>
        <v>45470575</v>
      </c>
      <c r="H70" s="187">
        <f t="shared" ref="H70:K70" si="39">G70</f>
        <v>45470575</v>
      </c>
      <c r="I70" s="187">
        <f t="shared" si="39"/>
        <v>45470575</v>
      </c>
      <c r="J70" s="187">
        <f t="shared" si="39"/>
        <v>45470575</v>
      </c>
      <c r="K70" s="187">
        <f t="shared" si="39"/>
        <v>45470575</v>
      </c>
    </row>
    <row r="71" spans="3:11" ht="15" customHeight="1" x14ac:dyDescent="0.25">
      <c r="C71" s="17" t="s">
        <v>243</v>
      </c>
      <c r="D71" s="10">
        <v>2137153</v>
      </c>
      <c r="E71" s="10">
        <v>6687350</v>
      </c>
      <c r="F71" s="10">
        <v>41725812</v>
      </c>
      <c r="G71" s="19">
        <f>F71</f>
        <v>41725812</v>
      </c>
      <c r="H71" s="19">
        <f t="shared" ref="H71:K71" si="40">G71</f>
        <v>41725812</v>
      </c>
      <c r="I71" s="19">
        <f t="shared" si="40"/>
        <v>41725812</v>
      </c>
      <c r="J71" s="19">
        <f t="shared" si="40"/>
        <v>41725812</v>
      </c>
      <c r="K71" s="19">
        <f t="shared" si="40"/>
        <v>41725812</v>
      </c>
    </row>
    <row r="72" spans="3:11" ht="15" customHeight="1" x14ac:dyDescent="0.25">
      <c r="C72" s="17" t="s">
        <v>244</v>
      </c>
      <c r="D72" s="10">
        <v>227906324</v>
      </c>
      <c r="E72" s="10">
        <v>230879131</v>
      </c>
      <c r="F72" s="10">
        <v>227597182</v>
      </c>
      <c r="G72" s="19">
        <f>F72</f>
        <v>227597182</v>
      </c>
      <c r="H72" s="19">
        <f t="shared" ref="H72:K72" si="41">G72</f>
        <v>227597182</v>
      </c>
      <c r="I72" s="19">
        <f t="shared" si="41"/>
        <v>227597182</v>
      </c>
      <c r="J72" s="19">
        <f t="shared" si="41"/>
        <v>227597182</v>
      </c>
      <c r="K72" s="19">
        <f t="shared" si="41"/>
        <v>227597182</v>
      </c>
    </row>
    <row r="73" spans="3:11" ht="15" customHeight="1" x14ac:dyDescent="0.25">
      <c r="C73" s="17" t="s">
        <v>245</v>
      </c>
      <c r="D73" s="10">
        <v>32033446</v>
      </c>
      <c r="E73" s="10">
        <v>19070247</v>
      </c>
      <c r="F73" s="10">
        <v>38010740</v>
      </c>
      <c r="G73" s="19">
        <f>G285</f>
        <v>74153602.853561819</v>
      </c>
      <c r="H73" s="19">
        <f t="shared" ref="H73:K73" si="42">H285</f>
        <v>115661121.06530432</v>
      </c>
      <c r="I73" s="19">
        <f t="shared" si="42"/>
        <v>162519244.02728498</v>
      </c>
      <c r="J73" s="19">
        <f t="shared" si="42"/>
        <v>214626592.67005748</v>
      </c>
      <c r="K73" s="19">
        <f t="shared" si="42"/>
        <v>272058363.17217094</v>
      </c>
    </row>
    <row r="74" spans="3:11" ht="15" customHeight="1" x14ac:dyDescent="0.25">
      <c r="C74" s="11" t="s">
        <v>7</v>
      </c>
      <c r="D74" s="12">
        <f>SUM(D66:D73)</f>
        <v>1095050542</v>
      </c>
      <c r="E74" s="12">
        <f t="shared" ref="E74:G74" si="43">SUM(E66:E73)</f>
        <v>1527551682</v>
      </c>
      <c r="F74" s="12">
        <f t="shared" si="43"/>
        <v>2085448340</v>
      </c>
      <c r="G74" s="12">
        <f t="shared" si="43"/>
        <v>2394089055.4758434</v>
      </c>
      <c r="H74" s="12">
        <f t="shared" ref="H74:K74" si="44">SUM(H66:H73)</f>
        <v>2757695213.5784812</v>
      </c>
      <c r="I74" s="12">
        <f t="shared" si="44"/>
        <v>3173214892.2672572</v>
      </c>
      <c r="J74" s="12">
        <f t="shared" si="44"/>
        <v>3637525957.0148926</v>
      </c>
      <c r="K74" s="12">
        <f t="shared" si="44"/>
        <v>4150029706.9020219</v>
      </c>
    </row>
    <row r="75" spans="3:11" ht="15" customHeight="1" x14ac:dyDescent="0.25">
      <c r="E75" s="19"/>
      <c r="F75" s="19"/>
      <c r="G75" s="19"/>
      <c r="H75" s="19"/>
      <c r="I75" s="19"/>
      <c r="J75" s="19"/>
      <c r="K75" s="19"/>
    </row>
    <row r="76" spans="3:11" ht="15" customHeight="1" x14ac:dyDescent="0.25">
      <c r="C76" s="13" t="s">
        <v>8</v>
      </c>
      <c r="D76" s="14">
        <f>D63+D74</f>
        <v>8097212638</v>
      </c>
      <c r="E76" s="14">
        <f t="shared" ref="E76:G76" si="45">E63+E74</f>
        <v>9554055011</v>
      </c>
      <c r="F76" s="14">
        <f t="shared" si="45"/>
        <v>11886988871</v>
      </c>
      <c r="G76" s="14">
        <f t="shared" si="45"/>
        <v>14698292787.219013</v>
      </c>
      <c r="H76" s="14">
        <f t="shared" ref="H76:K76" si="46">H63+H74</f>
        <v>17564259530.363834</v>
      </c>
      <c r="I76" s="14">
        <f t="shared" si="46"/>
        <v>20716251455.279373</v>
      </c>
      <c r="J76" s="14">
        <f t="shared" si="46"/>
        <v>24138384463.409252</v>
      </c>
      <c r="K76" s="14">
        <f t="shared" si="46"/>
        <v>27868871060.96978</v>
      </c>
    </row>
    <row r="77" spans="3:11" ht="15" customHeight="1" x14ac:dyDescent="0.25">
      <c r="E77" s="18"/>
      <c r="F77" s="18"/>
      <c r="G77" s="18"/>
      <c r="H77" s="18"/>
      <c r="I77" s="18"/>
      <c r="J77" s="18"/>
      <c r="K77" s="18"/>
    </row>
    <row r="78" spans="3:11" s="35" customFormat="1" ht="15" customHeight="1" x14ac:dyDescent="0.25">
      <c r="C78" s="45" t="s">
        <v>9</v>
      </c>
      <c r="D78" s="260"/>
      <c r="E78" s="47"/>
      <c r="F78" s="47"/>
      <c r="G78" s="219"/>
      <c r="H78" s="219"/>
      <c r="I78" s="219"/>
      <c r="J78" s="219"/>
      <c r="K78" s="219"/>
    </row>
    <row r="79" spans="3:11" ht="15" customHeight="1" x14ac:dyDescent="0.25">
      <c r="E79" s="18"/>
      <c r="F79" s="18"/>
      <c r="G79" s="18"/>
      <c r="H79" s="18"/>
      <c r="I79" s="18"/>
      <c r="J79" s="18"/>
      <c r="K79" s="18"/>
    </row>
    <row r="80" spans="3:11" ht="15" customHeight="1" x14ac:dyDescent="0.25">
      <c r="C80" s="13" t="s">
        <v>10</v>
      </c>
      <c r="E80" s="18"/>
      <c r="F80" s="18"/>
      <c r="G80" s="18"/>
      <c r="H80" s="18"/>
      <c r="I80" s="18"/>
      <c r="J80" s="18"/>
      <c r="K80" s="18"/>
    </row>
    <row r="81" spans="3:11" ht="15" customHeight="1" x14ac:dyDescent="0.25">
      <c r="C81" s="17" t="s">
        <v>259</v>
      </c>
      <c r="D81" s="10">
        <v>0</v>
      </c>
      <c r="E81" s="10">
        <v>0</v>
      </c>
      <c r="F81" s="10">
        <v>453408021</v>
      </c>
      <c r="G81" s="19">
        <f>F81</f>
        <v>453408021</v>
      </c>
      <c r="H81" s="19">
        <f t="shared" ref="H81:K81" si="47">G81</f>
        <v>453408021</v>
      </c>
      <c r="I81" s="19">
        <f t="shared" si="47"/>
        <v>453408021</v>
      </c>
      <c r="J81" s="19">
        <f t="shared" si="47"/>
        <v>453408021</v>
      </c>
      <c r="K81" s="19">
        <f t="shared" si="47"/>
        <v>453408021</v>
      </c>
    </row>
    <row r="82" spans="3:11" ht="15" customHeight="1" x14ac:dyDescent="0.25">
      <c r="C82" s="17" t="s">
        <v>260</v>
      </c>
      <c r="D82" s="10">
        <v>2805055424</v>
      </c>
      <c r="E82" s="10">
        <v>2479580023</v>
      </c>
      <c r="F82" s="10">
        <v>3481748449</v>
      </c>
      <c r="G82" s="19">
        <f>G188</f>
        <v>4363688094.4071798</v>
      </c>
      <c r="H82" s="19">
        <f t="shared" ref="H82:K82" si="48">H188</f>
        <v>5011386723.3713169</v>
      </c>
      <c r="I82" s="19">
        <f t="shared" si="48"/>
        <v>5657388960.1363468</v>
      </c>
      <c r="J82" s="19">
        <f t="shared" si="48"/>
        <v>6291151252.3193064</v>
      </c>
      <c r="K82" s="19">
        <f t="shared" si="48"/>
        <v>6933992312.5680227</v>
      </c>
    </row>
    <row r="83" spans="3:11" ht="15" customHeight="1" x14ac:dyDescent="0.25">
      <c r="C83" s="17" t="s">
        <v>261</v>
      </c>
      <c r="D83" s="10">
        <v>503707390</v>
      </c>
      <c r="E83" s="10">
        <v>609806315</v>
      </c>
      <c r="F83" s="10">
        <v>1407441418</v>
      </c>
      <c r="G83" s="19">
        <f>G189</f>
        <v>1653421004.8492203</v>
      </c>
      <c r="H83" s="19">
        <f t="shared" ref="H83:K83" si="49">H189</f>
        <v>1898836922.4795187</v>
      </c>
      <c r="I83" s="19">
        <f t="shared" si="49"/>
        <v>2143610069.4915271</v>
      </c>
      <c r="J83" s="19">
        <f t="shared" si="49"/>
        <v>2383745446.5639009</v>
      </c>
      <c r="K83" s="19">
        <f t="shared" si="49"/>
        <v>2627320809.6053252</v>
      </c>
    </row>
    <row r="84" spans="3:11" ht="15" customHeight="1" x14ac:dyDescent="0.25">
      <c r="C84" s="17" t="s">
        <v>206</v>
      </c>
      <c r="D84" s="10">
        <v>183613319</v>
      </c>
      <c r="E84" s="10">
        <v>218172525</v>
      </c>
      <c r="F84" s="10">
        <v>153260920</v>
      </c>
      <c r="G84" s="19">
        <f>G190</f>
        <v>180046445.35088992</v>
      </c>
      <c r="H84" s="19">
        <f t="shared" ref="H84:K84" si="50">H190</f>
        <v>206770590.90865815</v>
      </c>
      <c r="I84" s="19">
        <f t="shared" si="50"/>
        <v>233424743.06204864</v>
      </c>
      <c r="J84" s="19">
        <f t="shared" si="50"/>
        <v>259573873.20982924</v>
      </c>
      <c r="K84" s="19">
        <f t="shared" si="50"/>
        <v>286097594.73147535</v>
      </c>
    </row>
    <row r="85" spans="3:11" ht="15" customHeight="1" x14ac:dyDescent="0.25">
      <c r="C85" s="17" t="s">
        <v>262</v>
      </c>
      <c r="D85" s="10">
        <v>25396063</v>
      </c>
      <c r="E85" s="10">
        <v>0</v>
      </c>
      <c r="F85" s="10">
        <v>0</v>
      </c>
      <c r="G85" s="19">
        <f>F85</f>
        <v>0</v>
      </c>
      <c r="H85" s="19">
        <f t="shared" ref="H85:K85" si="51">G85</f>
        <v>0</v>
      </c>
      <c r="I85" s="19">
        <f t="shared" si="51"/>
        <v>0</v>
      </c>
      <c r="J85" s="19">
        <f t="shared" si="51"/>
        <v>0</v>
      </c>
      <c r="K85" s="19">
        <f t="shared" si="51"/>
        <v>0</v>
      </c>
    </row>
    <row r="86" spans="3:11" ht="15" customHeight="1" x14ac:dyDescent="0.25">
      <c r="C86" s="17" t="s">
        <v>263</v>
      </c>
      <c r="D86" s="10">
        <v>11988772</v>
      </c>
      <c r="E86" s="10">
        <v>85001803</v>
      </c>
      <c r="F86" s="10">
        <v>109730213</v>
      </c>
      <c r="G86" s="19">
        <f>G262*G263</f>
        <v>109415755.27547815</v>
      </c>
      <c r="H86" s="19">
        <f t="shared" ref="H86:K86" si="52">H262*H263</f>
        <v>109054622.84996174</v>
      </c>
      <c r="I86" s="19">
        <f t="shared" si="52"/>
        <v>108646937.96950027</v>
      </c>
      <c r="J86" s="19">
        <f t="shared" si="52"/>
        <v>108193582.67356089</v>
      </c>
      <c r="K86" s="19">
        <f t="shared" si="52"/>
        <v>107693902.7245616</v>
      </c>
    </row>
    <row r="87" spans="3:11" ht="15" customHeight="1" x14ac:dyDescent="0.25">
      <c r="C87" s="11" t="s">
        <v>11</v>
      </c>
      <c r="D87" s="12">
        <f t="shared" ref="D87:G87" si="53">SUM(D81:D86)</f>
        <v>3529760968</v>
      </c>
      <c r="E87" s="12">
        <f t="shared" si="53"/>
        <v>3392560666</v>
      </c>
      <c r="F87" s="12">
        <f t="shared" si="53"/>
        <v>5605589021</v>
      </c>
      <c r="G87" s="12">
        <f t="shared" si="53"/>
        <v>6759979320.8827686</v>
      </c>
      <c r="H87" s="12">
        <f t="shared" ref="H87:K87" si="54">SUM(H81:H86)</f>
        <v>7679456880.6094551</v>
      </c>
      <c r="I87" s="12">
        <f t="shared" si="54"/>
        <v>8596478731.6594238</v>
      </c>
      <c r="J87" s="12">
        <f t="shared" si="54"/>
        <v>9496072175.7665977</v>
      </c>
      <c r="K87" s="12">
        <f t="shared" si="54"/>
        <v>10408512640.629385</v>
      </c>
    </row>
    <row r="88" spans="3:11" ht="15" customHeight="1" x14ac:dyDescent="0.25">
      <c r="E88" s="18"/>
      <c r="F88" s="18"/>
      <c r="G88" s="18"/>
      <c r="H88" s="18"/>
      <c r="I88" s="18"/>
      <c r="J88" s="18"/>
      <c r="K88" s="18"/>
    </row>
    <row r="89" spans="3:11" ht="15" customHeight="1" x14ac:dyDescent="0.25">
      <c r="C89" s="13" t="s">
        <v>12</v>
      </c>
      <c r="E89" s="18"/>
      <c r="F89" s="18"/>
      <c r="G89" s="18"/>
      <c r="H89" s="18"/>
      <c r="I89" s="18"/>
      <c r="J89" s="18"/>
      <c r="K89" s="18"/>
    </row>
    <row r="90" spans="3:11" ht="15" customHeight="1" x14ac:dyDescent="0.25">
      <c r="C90" s="17" t="s">
        <v>256</v>
      </c>
      <c r="D90" s="10">
        <v>0</v>
      </c>
      <c r="E90" s="10">
        <v>0</v>
      </c>
      <c r="F90" s="10">
        <v>1520000000</v>
      </c>
      <c r="G90" s="19">
        <f>F90</f>
        <v>1520000000</v>
      </c>
      <c r="H90" s="19">
        <f t="shared" ref="H90:K90" si="55">G90</f>
        <v>1520000000</v>
      </c>
      <c r="I90" s="19">
        <f t="shared" si="55"/>
        <v>1520000000</v>
      </c>
      <c r="J90" s="19">
        <f t="shared" si="55"/>
        <v>1520000000</v>
      </c>
      <c r="K90" s="19">
        <f t="shared" si="55"/>
        <v>1520000000</v>
      </c>
    </row>
    <row r="91" spans="3:11" ht="15" customHeight="1" x14ac:dyDescent="0.25">
      <c r="C91" s="17" t="s">
        <v>257</v>
      </c>
      <c r="D91" s="10">
        <v>212090689</v>
      </c>
      <c r="E91" s="10">
        <v>481013080</v>
      </c>
      <c r="F91" s="10">
        <v>543749068</v>
      </c>
      <c r="G91" s="19">
        <f>(1-G263)*G262</f>
        <v>542190827.20232511</v>
      </c>
      <c r="H91" s="19">
        <f t="shared" ref="H91:K91" si="56">(1-H263)*H262</f>
        <v>540401298.00675952</v>
      </c>
      <c r="I91" s="19">
        <f t="shared" si="56"/>
        <v>538381086.18243158</v>
      </c>
      <c r="J91" s="19">
        <f t="shared" si="56"/>
        <v>536134562.52317375</v>
      </c>
      <c r="K91" s="19">
        <f t="shared" si="56"/>
        <v>533658485.06794596</v>
      </c>
    </row>
    <row r="92" spans="3:11" ht="15" customHeight="1" x14ac:dyDescent="0.25">
      <c r="C92" s="17" t="s">
        <v>258</v>
      </c>
      <c r="D92" s="10">
        <v>360689127</v>
      </c>
      <c r="E92" s="10">
        <v>387235689</v>
      </c>
      <c r="F92" s="10">
        <v>596341932</v>
      </c>
      <c r="G92" s="19">
        <f>G274</f>
        <v>623159312.62683475</v>
      </c>
      <c r="H92" s="19">
        <f t="shared" ref="H92:K92" si="57">H274</f>
        <v>651182665.6414783</v>
      </c>
      <c r="I92" s="19">
        <f t="shared" si="57"/>
        <v>680466223.38751376</v>
      </c>
      <c r="J92" s="19">
        <f t="shared" si="57"/>
        <v>711066657.02646124</v>
      </c>
      <c r="K92" s="19">
        <f t="shared" si="57"/>
        <v>743043186.21094525</v>
      </c>
    </row>
    <row r="93" spans="3:11" ht="15" customHeight="1" x14ac:dyDescent="0.25">
      <c r="C93" s="11" t="s">
        <v>13</v>
      </c>
      <c r="D93" s="12">
        <f>SUM(D90:D92)</f>
        <v>572779816</v>
      </c>
      <c r="E93" s="12">
        <f t="shared" ref="E93:F93" si="58">SUM(E90:E92)</f>
        <v>868248769</v>
      </c>
      <c r="F93" s="12">
        <f t="shared" si="58"/>
        <v>2660091000</v>
      </c>
      <c r="G93" s="12">
        <f>SUM(G90:G92)</f>
        <v>2685350139.8291597</v>
      </c>
      <c r="H93" s="12">
        <f t="shared" ref="H93:K93" si="59">SUM(H90:H92)</f>
        <v>2711583963.6482382</v>
      </c>
      <c r="I93" s="12">
        <f t="shared" si="59"/>
        <v>2738847309.5699453</v>
      </c>
      <c r="J93" s="12">
        <f t="shared" si="59"/>
        <v>2767201219.5496349</v>
      </c>
      <c r="K93" s="12">
        <f t="shared" si="59"/>
        <v>2796701671.2788911</v>
      </c>
    </row>
    <row r="94" spans="3:11" ht="15" customHeight="1" x14ac:dyDescent="0.25">
      <c r="E94" s="18"/>
      <c r="F94" s="18"/>
      <c r="G94" s="18"/>
      <c r="H94" s="18"/>
      <c r="I94" s="18"/>
      <c r="J94" s="18"/>
      <c r="K94" s="18"/>
    </row>
    <row r="95" spans="3:11" ht="15" customHeight="1" x14ac:dyDescent="0.25">
      <c r="C95" s="13" t="s">
        <v>14</v>
      </c>
      <c r="D95" s="25">
        <f>D87+D93</f>
        <v>4102540784</v>
      </c>
      <c r="E95" s="25">
        <f t="shared" ref="E95:G95" si="60">E87+E93</f>
        <v>4260809435</v>
      </c>
      <c r="F95" s="25">
        <f t="shared" si="60"/>
        <v>8265680021</v>
      </c>
      <c r="G95" s="25">
        <f t="shared" si="60"/>
        <v>9445329460.7119293</v>
      </c>
      <c r="H95" s="25">
        <f t="shared" ref="H95:K95" si="61">H87+H93</f>
        <v>10391040844.257694</v>
      </c>
      <c r="I95" s="25">
        <f t="shared" si="61"/>
        <v>11335326041.22937</v>
      </c>
      <c r="J95" s="25">
        <f t="shared" si="61"/>
        <v>12263273395.316233</v>
      </c>
      <c r="K95" s="25">
        <f t="shared" si="61"/>
        <v>13205214311.908276</v>
      </c>
    </row>
    <row r="96" spans="3:11" ht="15" customHeight="1" x14ac:dyDescent="0.25">
      <c r="E96" s="18"/>
      <c r="F96" s="18"/>
      <c r="G96" s="18"/>
      <c r="H96" s="18"/>
      <c r="I96" s="18"/>
      <c r="J96" s="18"/>
      <c r="K96" s="18"/>
    </row>
    <row r="97" spans="3:11" ht="15" customHeight="1" x14ac:dyDescent="0.25">
      <c r="C97" s="13" t="s">
        <v>15</v>
      </c>
      <c r="E97" s="18"/>
      <c r="F97" s="18"/>
      <c r="G97" s="18"/>
      <c r="H97" s="18"/>
      <c r="I97" s="18"/>
      <c r="J97" s="18"/>
      <c r="K97" s="18"/>
    </row>
    <row r="98" spans="3:11" ht="15" customHeight="1" x14ac:dyDescent="0.25">
      <c r="C98" s="17" t="s">
        <v>250</v>
      </c>
      <c r="D98" s="10">
        <v>800000000</v>
      </c>
      <c r="E98" s="10">
        <v>800000000</v>
      </c>
      <c r="F98" s="10">
        <v>800000000</v>
      </c>
      <c r="G98" s="19">
        <f>F98</f>
        <v>800000000</v>
      </c>
      <c r="H98" s="19">
        <f t="shared" ref="H98:K101" si="62">G98</f>
        <v>800000000</v>
      </c>
      <c r="I98" s="19">
        <f t="shared" si="62"/>
        <v>800000000</v>
      </c>
      <c r="J98" s="19">
        <f t="shared" si="62"/>
        <v>800000000</v>
      </c>
      <c r="K98" s="19">
        <f t="shared" si="62"/>
        <v>800000000</v>
      </c>
    </row>
    <row r="99" spans="3:11" ht="15" customHeight="1" x14ac:dyDescent="0.25">
      <c r="C99" s="17" t="s">
        <v>251</v>
      </c>
      <c r="D99" s="10">
        <v>174708101</v>
      </c>
      <c r="E99" s="10">
        <v>0</v>
      </c>
      <c r="F99" s="10">
        <v>0</v>
      </c>
      <c r="G99" s="19">
        <f t="shared" ref="G99:G101" si="63">F99</f>
        <v>0</v>
      </c>
      <c r="H99" s="19">
        <f t="shared" si="62"/>
        <v>0</v>
      </c>
      <c r="I99" s="19">
        <f t="shared" si="62"/>
        <v>0</v>
      </c>
      <c r="J99" s="19">
        <f t="shared" si="62"/>
        <v>0</v>
      </c>
      <c r="K99" s="19">
        <f t="shared" si="62"/>
        <v>0</v>
      </c>
    </row>
    <row r="100" spans="3:11" ht="15" customHeight="1" x14ac:dyDescent="0.25">
      <c r="C100" s="17" t="s">
        <v>252</v>
      </c>
      <c r="D100" s="10">
        <v>-294758400</v>
      </c>
      <c r="E100" s="10">
        <v>-293112576</v>
      </c>
      <c r="F100" s="10">
        <v>-273857280</v>
      </c>
      <c r="G100" s="19">
        <f t="shared" si="63"/>
        <v>-273857280</v>
      </c>
      <c r="H100" s="19">
        <f t="shared" si="62"/>
        <v>-273857280</v>
      </c>
      <c r="I100" s="19">
        <f t="shared" si="62"/>
        <v>-273857280</v>
      </c>
      <c r="J100" s="19">
        <f t="shared" si="62"/>
        <v>-273857280</v>
      </c>
      <c r="K100" s="19">
        <f t="shared" si="62"/>
        <v>-273857280</v>
      </c>
    </row>
    <row r="101" spans="3:11" ht="15" customHeight="1" x14ac:dyDescent="0.25">
      <c r="C101" s="17" t="s">
        <v>253</v>
      </c>
      <c r="D101" s="10">
        <v>12826478</v>
      </c>
      <c r="E101" s="10">
        <v>60669508</v>
      </c>
      <c r="F101" s="10">
        <v>32931753</v>
      </c>
      <c r="G101" s="19">
        <f t="shared" si="63"/>
        <v>32931753</v>
      </c>
      <c r="H101" s="19">
        <f t="shared" si="62"/>
        <v>32931753</v>
      </c>
      <c r="I101" s="19">
        <f t="shared" si="62"/>
        <v>32931753</v>
      </c>
      <c r="J101" s="19">
        <f t="shared" si="62"/>
        <v>32931753</v>
      </c>
      <c r="K101" s="19">
        <f t="shared" si="62"/>
        <v>32931753</v>
      </c>
    </row>
    <row r="102" spans="3:11" ht="15" customHeight="1" x14ac:dyDescent="0.25">
      <c r="C102" s="17" t="s">
        <v>254</v>
      </c>
      <c r="D102" s="10">
        <v>3301731675</v>
      </c>
      <c r="E102" s="10">
        <v>4725547762</v>
      </c>
      <c r="F102" s="10">
        <v>3062121606</v>
      </c>
      <c r="G102" s="19">
        <f>G229</f>
        <v>4693743987.4548054</v>
      </c>
      <c r="H102" s="19">
        <f t="shared" ref="H102:K102" si="64">H229</f>
        <v>6613961575.1499176</v>
      </c>
      <c r="I102" s="19">
        <f t="shared" si="64"/>
        <v>8821624876.9494095</v>
      </c>
      <c r="J102" s="19">
        <f t="shared" si="64"/>
        <v>11315761469.735825</v>
      </c>
      <c r="K102" s="19">
        <f t="shared" si="64"/>
        <v>14104252299.312237</v>
      </c>
    </row>
    <row r="103" spans="3:11" ht="15" customHeight="1" x14ac:dyDescent="0.25">
      <c r="C103" s="267" t="s">
        <v>255</v>
      </c>
      <c r="D103" s="160">
        <f>SUM(D98:D102)</f>
        <v>3994507854</v>
      </c>
      <c r="E103" s="160">
        <f t="shared" ref="E103:G103" si="65">SUM(E98:E102)</f>
        <v>5293104694</v>
      </c>
      <c r="F103" s="160">
        <f t="shared" si="65"/>
        <v>3621196079</v>
      </c>
      <c r="G103" s="160">
        <f t="shared" si="65"/>
        <v>5252818460.4548054</v>
      </c>
      <c r="H103" s="160">
        <f t="shared" ref="H103:K103" si="66">SUM(H98:H102)</f>
        <v>7173036048.1499176</v>
      </c>
      <c r="I103" s="160">
        <f t="shared" si="66"/>
        <v>9380699349.9494095</v>
      </c>
      <c r="J103" s="160">
        <f t="shared" si="66"/>
        <v>11874835942.735825</v>
      </c>
      <c r="K103" s="160">
        <f t="shared" si="66"/>
        <v>14663326772.312237</v>
      </c>
    </row>
    <row r="104" spans="3:11" ht="15" customHeight="1" x14ac:dyDescent="0.25">
      <c r="C104" s="17" t="s">
        <v>237</v>
      </c>
      <c r="D104" s="10">
        <v>164000</v>
      </c>
      <c r="E104" s="10">
        <v>140882</v>
      </c>
      <c r="F104" s="10">
        <v>112771</v>
      </c>
      <c r="G104" s="19">
        <f>G235</f>
        <v>144866.05227984008</v>
      </c>
      <c r="H104" s="19">
        <f t="shared" ref="H104:K104" si="67">H235</f>
        <v>182637.95622417814</v>
      </c>
      <c r="I104" s="19">
        <f t="shared" si="67"/>
        <v>226064.10058998567</v>
      </c>
      <c r="J104" s="19">
        <f t="shared" si="67"/>
        <v>275125.35719469568</v>
      </c>
      <c r="K104" s="19">
        <f t="shared" si="67"/>
        <v>329976.74926576519</v>
      </c>
    </row>
    <row r="105" spans="3:11" ht="15" customHeight="1" x14ac:dyDescent="0.25">
      <c r="C105" s="26" t="s">
        <v>16</v>
      </c>
      <c r="D105" s="12">
        <f>SUM(D103:D104)</f>
        <v>3994671854</v>
      </c>
      <c r="E105" s="12">
        <f t="shared" ref="E105:G105" si="68">SUM(E103:E104)</f>
        <v>5293245576</v>
      </c>
      <c r="F105" s="12">
        <f t="shared" si="68"/>
        <v>3621308850</v>
      </c>
      <c r="G105" s="12">
        <f t="shared" si="68"/>
        <v>5252963326.5070848</v>
      </c>
      <c r="H105" s="12">
        <f t="shared" ref="H105:K105" si="69">SUM(H103:H104)</f>
        <v>7173218686.106142</v>
      </c>
      <c r="I105" s="12">
        <f t="shared" si="69"/>
        <v>9380925414.0499992</v>
      </c>
      <c r="J105" s="12">
        <f t="shared" si="69"/>
        <v>11875111068.093019</v>
      </c>
      <c r="K105" s="12">
        <f t="shared" si="69"/>
        <v>14663656749.061502</v>
      </c>
    </row>
    <row r="106" spans="3:11" ht="15" customHeight="1" x14ac:dyDescent="0.25">
      <c r="E106" s="19"/>
      <c r="F106" s="19"/>
      <c r="G106" s="19"/>
      <c r="H106" s="19"/>
      <c r="I106" s="19"/>
      <c r="J106" s="19"/>
      <c r="K106" s="19"/>
    </row>
    <row r="107" spans="3:11" ht="15" customHeight="1" x14ac:dyDescent="0.25">
      <c r="C107" s="13" t="s">
        <v>17</v>
      </c>
      <c r="D107" s="14">
        <f t="shared" ref="D107:G107" si="70">D95+D105</f>
        <v>8097212638</v>
      </c>
      <c r="E107" s="14">
        <f t="shared" si="70"/>
        <v>9554055011</v>
      </c>
      <c r="F107" s="14">
        <f t="shared" si="70"/>
        <v>11886988871</v>
      </c>
      <c r="G107" s="14">
        <f t="shared" si="70"/>
        <v>14698292787.219013</v>
      </c>
      <c r="H107" s="14">
        <f t="shared" ref="H107:K107" si="71">H95+H105</f>
        <v>17564259530.363838</v>
      </c>
      <c r="I107" s="14">
        <f t="shared" si="71"/>
        <v>20716251455.279369</v>
      </c>
      <c r="J107" s="14">
        <f t="shared" si="71"/>
        <v>24138384463.409252</v>
      </c>
      <c r="K107" s="14">
        <f t="shared" si="71"/>
        <v>27868871060.96978</v>
      </c>
    </row>
    <row r="108" spans="3:11" ht="15" customHeight="1" x14ac:dyDescent="0.25">
      <c r="E108" s="18"/>
      <c r="F108" s="18"/>
      <c r="G108" s="18"/>
      <c r="H108" s="18"/>
      <c r="I108" s="18"/>
      <c r="J108" s="18"/>
      <c r="K108" s="18"/>
    </row>
    <row r="109" spans="3:11" ht="15" customHeight="1" x14ac:dyDescent="0.25">
      <c r="C109" s="6" t="s">
        <v>18</v>
      </c>
      <c r="D109" s="18">
        <f t="shared" ref="D109:K109" si="72">D76-D107</f>
        <v>0</v>
      </c>
      <c r="E109" s="18">
        <f t="shared" si="72"/>
        <v>0</v>
      </c>
      <c r="F109" s="18">
        <f t="shared" si="72"/>
        <v>0</v>
      </c>
      <c r="G109" s="18">
        <f t="shared" si="72"/>
        <v>0</v>
      </c>
      <c r="H109" s="18">
        <f t="shared" si="72"/>
        <v>0</v>
      </c>
      <c r="I109" s="18">
        <f t="shared" si="72"/>
        <v>0</v>
      </c>
      <c r="J109" s="18">
        <f t="shared" si="72"/>
        <v>0</v>
      </c>
      <c r="K109" s="18">
        <f t="shared" si="72"/>
        <v>0</v>
      </c>
    </row>
    <row r="110" spans="3:11" ht="15" customHeight="1" x14ac:dyDescent="0.25"/>
    <row r="111" spans="3:11" customFormat="1" x14ac:dyDescent="0.25">
      <c r="C111" s="39" t="s">
        <v>45</v>
      </c>
      <c r="D111" s="259"/>
      <c r="E111" s="46"/>
      <c r="F111" s="46"/>
      <c r="G111" s="46"/>
      <c r="H111" s="46"/>
      <c r="I111" s="46"/>
      <c r="J111" s="46"/>
      <c r="K111" s="46"/>
    </row>
    <row r="112" spans="3:11" customFormat="1" x14ac:dyDescent="0.25">
      <c r="C112" t="s">
        <v>42</v>
      </c>
      <c r="D112" s="41"/>
      <c r="E112" s="41"/>
      <c r="F112" s="42"/>
      <c r="G112" s="42">
        <f t="shared" ref="G112:K112" si="73">G$13</f>
        <v>2026</v>
      </c>
      <c r="H112" s="42">
        <f t="shared" si="73"/>
        <v>2027</v>
      </c>
      <c r="I112" s="42">
        <f t="shared" si="73"/>
        <v>2028</v>
      </c>
      <c r="J112" s="42">
        <f t="shared" si="73"/>
        <v>2029</v>
      </c>
      <c r="K112" s="42">
        <f t="shared" si="73"/>
        <v>2030</v>
      </c>
    </row>
    <row r="113" spans="3:11" customFormat="1" x14ac:dyDescent="0.25">
      <c r="C113" s="43" t="s">
        <v>43</v>
      </c>
      <c r="D113" s="261"/>
      <c r="E113" s="44"/>
      <c r="F113" s="234"/>
      <c r="G113" s="234">
        <f t="shared" ref="G113:K113" si="74">G$14</f>
        <v>46387</v>
      </c>
      <c r="H113" s="234">
        <f t="shared" si="74"/>
        <v>46752</v>
      </c>
      <c r="I113" s="234">
        <f t="shared" si="74"/>
        <v>47118</v>
      </c>
      <c r="J113" s="234">
        <f t="shared" si="74"/>
        <v>47483</v>
      </c>
      <c r="K113" s="234">
        <f t="shared" si="74"/>
        <v>47848</v>
      </c>
    </row>
    <row r="114" spans="3:11" ht="15" customHeight="1" x14ac:dyDescent="0.25"/>
    <row r="115" spans="3:11" s="13" customFormat="1" ht="15" customHeight="1" x14ac:dyDescent="0.25">
      <c r="C115" s="17" t="s">
        <v>222</v>
      </c>
      <c r="D115" s="202"/>
      <c r="E115" s="202"/>
      <c r="F115" s="204"/>
      <c r="G115" s="202">
        <f>G33</f>
        <v>2386577735.5016236</v>
      </c>
      <c r="H115" s="202">
        <f t="shared" ref="H115:K115" si="75">H33</f>
        <v>2808706594.2461944</v>
      </c>
      <c r="I115" s="202">
        <f t="shared" si="75"/>
        <v>3229154088.2522573</v>
      </c>
      <c r="J115" s="202">
        <f t="shared" si="75"/>
        <v>3648179216.772295</v>
      </c>
      <c r="K115" s="202">
        <f t="shared" si="75"/>
        <v>4078731822.4844146</v>
      </c>
    </row>
    <row r="116" spans="3:11" ht="15" customHeight="1" x14ac:dyDescent="0.25">
      <c r="C116" s="17" t="s">
        <v>229</v>
      </c>
      <c r="D116" s="204"/>
      <c r="E116" s="203"/>
      <c r="F116" s="203"/>
      <c r="G116" s="274">
        <f>G151+G259</f>
        <v>219942865.26086733</v>
      </c>
      <c r="H116" s="274">
        <f t="shared" ref="H116:K116" si="76">H151+H259</f>
        <v>252588803.55844879</v>
      </c>
      <c r="I116" s="274">
        <f t="shared" si="76"/>
        <v>285149238.64113367</v>
      </c>
      <c r="J116" s="274">
        <f t="shared" si="76"/>
        <v>317092744.09370482</v>
      </c>
      <c r="K116" s="274">
        <f t="shared" si="76"/>
        <v>349493846.47305447</v>
      </c>
    </row>
    <row r="117" spans="3:11" ht="15" customHeight="1" x14ac:dyDescent="0.25">
      <c r="C117" s="17" t="s">
        <v>294</v>
      </c>
      <c r="D117" s="204"/>
      <c r="E117" s="203"/>
      <c r="F117" s="203"/>
      <c r="G117" s="203">
        <f>F59-G59</f>
        <v>-63656806.441776037</v>
      </c>
      <c r="H117" s="203">
        <f t="shared" ref="H117:K117" si="77">G59-H59</f>
        <v>-73105333.780248761</v>
      </c>
      <c r="I117" s="203">
        <f t="shared" si="77"/>
        <v>-82529114.411914587</v>
      </c>
      <c r="J117" s="203">
        <f t="shared" si="77"/>
        <v>-91774340.626706243</v>
      </c>
      <c r="K117" s="203">
        <f t="shared" si="77"/>
        <v>-101152006.50468826</v>
      </c>
    </row>
    <row r="118" spans="3:11" ht="15" customHeight="1" x14ac:dyDescent="0.25">
      <c r="C118" s="17" t="s">
        <v>295</v>
      </c>
      <c r="D118" s="204"/>
      <c r="E118" s="203"/>
      <c r="F118" s="203"/>
      <c r="G118" s="203">
        <f>F67-G67</f>
        <v>-24236254.670071691</v>
      </c>
      <c r="H118" s="203">
        <f t="shared" ref="H118:K118" si="78">G67-H67</f>
        <v>-27833621.984465867</v>
      </c>
      <c r="I118" s="203">
        <f t="shared" si="78"/>
        <v>-31421567.407911718</v>
      </c>
      <c r="J118" s="203">
        <f t="shared" si="78"/>
        <v>-34941531.250726402</v>
      </c>
      <c r="K118" s="203">
        <f t="shared" si="78"/>
        <v>-38511919.2600196</v>
      </c>
    </row>
    <row r="119" spans="3:11" ht="15" customHeight="1" x14ac:dyDescent="0.25">
      <c r="C119" s="17" t="s">
        <v>297</v>
      </c>
      <c r="D119" s="204"/>
      <c r="E119" s="203"/>
      <c r="F119" s="203"/>
      <c r="G119" s="203">
        <f>F69-G69</f>
        <v>-5727470.7316909432</v>
      </c>
      <c r="H119" s="203">
        <f t="shared" ref="H119:K119" si="79">G69-H69</f>
        <v>-15731749.986766338</v>
      </c>
      <c r="I119" s="203">
        <f t="shared" si="79"/>
        <v>-22801865.311819255</v>
      </c>
      <c r="J119" s="203">
        <f t="shared" si="79"/>
        <v>-27599503.841454327</v>
      </c>
      <c r="K119" s="203">
        <f t="shared" si="79"/>
        <v>-31168222.464118779</v>
      </c>
    </row>
    <row r="120" spans="3:11" ht="15" customHeight="1" x14ac:dyDescent="0.25">
      <c r="C120" s="17" t="s">
        <v>298</v>
      </c>
      <c r="D120" s="204"/>
      <c r="E120" s="203"/>
      <c r="F120" s="203"/>
      <c r="G120" s="203">
        <f>F73-G73</f>
        <v>-36142862.853561819</v>
      </c>
      <c r="H120" s="203">
        <f t="shared" ref="H120:K120" si="80">G73-H73</f>
        <v>-41507518.211742505</v>
      </c>
      <c r="I120" s="203">
        <f t="shared" si="80"/>
        <v>-46858122.961980656</v>
      </c>
      <c r="J120" s="203">
        <f t="shared" si="80"/>
        <v>-52107348.642772496</v>
      </c>
      <c r="K120" s="203">
        <f t="shared" si="80"/>
        <v>-57431770.502113461</v>
      </c>
    </row>
    <row r="121" spans="3:11" ht="15" customHeight="1" x14ac:dyDescent="0.25">
      <c r="C121" s="17" t="s">
        <v>258</v>
      </c>
      <c r="D121" s="204"/>
      <c r="E121" s="203"/>
      <c r="F121" s="203"/>
      <c r="G121" s="203">
        <f>G272-G273</f>
        <v>26817380.62683478</v>
      </c>
      <c r="H121" s="203">
        <f t="shared" ref="H121:K121" si="81">H272-H273</f>
        <v>28023353.01464355</v>
      </c>
      <c r="I121" s="203">
        <f t="shared" si="81"/>
        <v>29283557.746035546</v>
      </c>
      <c r="J121" s="203">
        <f t="shared" si="81"/>
        <v>30600433.638947502</v>
      </c>
      <c r="K121" s="203">
        <f t="shared" si="81"/>
        <v>31976529.184484035</v>
      </c>
    </row>
    <row r="122" spans="3:11" s="13" customFormat="1" ht="15" customHeight="1" x14ac:dyDescent="0.25">
      <c r="C122" s="13" t="s">
        <v>172</v>
      </c>
      <c r="D122" s="202"/>
      <c r="E122" s="202"/>
      <c r="F122" s="202"/>
      <c r="G122" s="202">
        <f>SUM(G115:G121)</f>
        <v>2503574586.6922255</v>
      </c>
      <c r="H122" s="202">
        <f t="shared" ref="H122:K122" si="82">SUM(H115:H121)</f>
        <v>2931140526.8560634</v>
      </c>
      <c r="I122" s="202">
        <f t="shared" si="82"/>
        <v>3359976214.5458007</v>
      </c>
      <c r="J122" s="202">
        <f t="shared" si="82"/>
        <v>3789449670.1432877</v>
      </c>
      <c r="K122" s="202">
        <f t="shared" si="82"/>
        <v>4231938279.4110126</v>
      </c>
    </row>
    <row r="123" spans="3:11" s="13" customFormat="1" ht="15" customHeight="1" x14ac:dyDescent="0.25">
      <c r="D123" s="202"/>
      <c r="E123" s="206"/>
      <c r="F123" s="206"/>
      <c r="G123" s="207"/>
      <c r="H123" s="207"/>
      <c r="I123" s="207"/>
      <c r="J123" s="207"/>
      <c r="K123" s="207"/>
    </row>
    <row r="124" spans="3:11" ht="15" customHeight="1" x14ac:dyDescent="0.25">
      <c r="C124" s="200" t="s">
        <v>152</v>
      </c>
      <c r="D124" s="203"/>
      <c r="E124" s="203"/>
      <c r="F124" s="203"/>
      <c r="G124" s="203"/>
      <c r="H124" s="203"/>
      <c r="I124" s="203"/>
      <c r="J124" s="203"/>
      <c r="K124" s="203"/>
    </row>
    <row r="125" spans="3:11" ht="15" customHeight="1" x14ac:dyDescent="0.25">
      <c r="C125" s="17" t="s">
        <v>296</v>
      </c>
      <c r="D125" s="203"/>
      <c r="E125" s="203"/>
      <c r="F125" s="203"/>
      <c r="G125" s="203">
        <f>G195</f>
        <v>235829705.29055882</v>
      </c>
      <c r="H125" s="203">
        <f t="shared" ref="H125:K125" si="83">H195</f>
        <v>74003727.271128654</v>
      </c>
      <c r="I125" s="203">
        <f t="shared" si="83"/>
        <v>73809903.56974411</v>
      </c>
      <c r="J125" s="203">
        <f t="shared" si="83"/>
        <v>72411411.307817459</v>
      </c>
      <c r="K125" s="203">
        <f t="shared" si="83"/>
        <v>73448718.854650497</v>
      </c>
    </row>
    <row r="126" spans="3:11" s="13" customFormat="1" ht="15" customHeight="1" x14ac:dyDescent="0.25">
      <c r="C126" s="13" t="s">
        <v>19</v>
      </c>
      <c r="D126" s="206"/>
      <c r="E126" s="206"/>
      <c r="F126" s="206"/>
      <c r="G126" s="206">
        <f>SUM(G125:G125)</f>
        <v>235829705.29055882</v>
      </c>
      <c r="H126" s="206">
        <f t="shared" ref="H126:K126" si="84">SUM(H125:H125)</f>
        <v>74003727.271128654</v>
      </c>
      <c r="I126" s="206">
        <f t="shared" si="84"/>
        <v>73809903.56974411</v>
      </c>
      <c r="J126" s="206">
        <f t="shared" si="84"/>
        <v>72411411.307817459</v>
      </c>
      <c r="K126" s="206">
        <f t="shared" si="84"/>
        <v>73448718.854650497</v>
      </c>
    </row>
    <row r="127" spans="3:11" s="13" customFormat="1" ht="15" customHeight="1" x14ac:dyDescent="0.25">
      <c r="C127" s="13" t="s">
        <v>175</v>
      </c>
      <c r="D127" s="202"/>
      <c r="E127" s="202"/>
      <c r="F127" s="202"/>
      <c r="G127" s="202">
        <f>G122+G126</f>
        <v>2739404291.9827843</v>
      </c>
      <c r="H127" s="202">
        <f t="shared" ref="H127:K127" si="85">H122+H126</f>
        <v>3005144254.127192</v>
      </c>
      <c r="I127" s="202">
        <f t="shared" si="85"/>
        <v>3433786118.1155448</v>
      </c>
      <c r="J127" s="202">
        <f t="shared" si="85"/>
        <v>3861861081.4511051</v>
      </c>
      <c r="K127" s="202">
        <f t="shared" si="85"/>
        <v>4305386998.2656631</v>
      </c>
    </row>
    <row r="128" spans="3:11" ht="15" customHeight="1" x14ac:dyDescent="0.25">
      <c r="D128" s="204"/>
      <c r="E128" s="205"/>
      <c r="F128" s="205"/>
      <c r="G128" s="205"/>
      <c r="H128" s="205"/>
      <c r="I128" s="205"/>
      <c r="J128" s="205"/>
      <c r="K128" s="205"/>
    </row>
    <row r="129" spans="3:11" customFormat="1" x14ac:dyDescent="0.25">
      <c r="C129" s="225" t="s">
        <v>20</v>
      </c>
      <c r="D129" s="262"/>
      <c r="E129" s="226"/>
      <c r="F129" s="226"/>
      <c r="G129" s="226"/>
      <c r="H129" s="226"/>
      <c r="I129" s="226"/>
      <c r="J129" s="226"/>
      <c r="K129" s="226"/>
    </row>
    <row r="130" spans="3:11" ht="15" customHeight="1" x14ac:dyDescent="0.25">
      <c r="C130" s="17" t="s">
        <v>212</v>
      </c>
      <c r="D130" s="204"/>
      <c r="E130" s="203"/>
      <c r="F130" s="203"/>
      <c r="G130" s="203">
        <f>-G150</f>
        <v>-352806936.74016166</v>
      </c>
      <c r="H130" s="203">
        <f t="shared" ref="H130:K130" si="86">-H150</f>
        <v>-405173779.71148169</v>
      </c>
      <c r="I130" s="203">
        <f t="shared" si="86"/>
        <v>-457403468.30276167</v>
      </c>
      <c r="J130" s="203">
        <f t="shared" si="86"/>
        <v>-508643549.64887577</v>
      </c>
      <c r="K130" s="203">
        <f t="shared" si="86"/>
        <v>-560617655.12351525</v>
      </c>
    </row>
    <row r="131" spans="3:11" ht="15" customHeight="1" x14ac:dyDescent="0.25">
      <c r="C131" s="13" t="s">
        <v>174</v>
      </c>
      <c r="D131" s="204"/>
      <c r="E131" s="206"/>
      <c r="F131" s="206"/>
      <c r="G131" s="206">
        <f>SUM(G130:G130)</f>
        <v>-352806936.74016166</v>
      </c>
      <c r="H131" s="206">
        <f t="shared" ref="H131:K131" si="87">SUM(H130:H130)</f>
        <v>-405173779.71148169</v>
      </c>
      <c r="I131" s="206">
        <f t="shared" si="87"/>
        <v>-457403468.30276167</v>
      </c>
      <c r="J131" s="206">
        <f t="shared" si="87"/>
        <v>-508643549.64887577</v>
      </c>
      <c r="K131" s="206">
        <f t="shared" si="87"/>
        <v>-560617655.12351525</v>
      </c>
    </row>
    <row r="132" spans="3:11" ht="15" customHeight="1" x14ac:dyDescent="0.25">
      <c r="D132" s="204"/>
      <c r="E132" s="208"/>
      <c r="F132" s="208"/>
      <c r="G132" s="205"/>
      <c r="H132" s="205"/>
      <c r="I132" s="205"/>
      <c r="J132" s="205"/>
      <c r="K132" s="205"/>
    </row>
    <row r="133" spans="3:11" s="35" customFormat="1" ht="15" customHeight="1" x14ac:dyDescent="0.25">
      <c r="C133" s="45" t="s">
        <v>21</v>
      </c>
      <c r="D133" s="263"/>
      <c r="E133" s="209"/>
      <c r="F133" s="209"/>
      <c r="G133" s="209"/>
      <c r="H133" s="209"/>
      <c r="I133" s="209"/>
      <c r="J133" s="209"/>
      <c r="K133" s="209"/>
    </row>
    <row r="134" spans="3:11" ht="15" customHeight="1" x14ac:dyDescent="0.25">
      <c r="C134" s="17" t="s">
        <v>213</v>
      </c>
      <c r="D134" s="204"/>
      <c r="E134" s="203"/>
      <c r="F134" s="203"/>
      <c r="G134" s="203"/>
      <c r="H134" s="203"/>
      <c r="I134" s="203"/>
      <c r="J134" s="203"/>
      <c r="K134" s="203"/>
    </row>
    <row r="135" spans="3:11" ht="15" customHeight="1" x14ac:dyDescent="0.25">
      <c r="C135" s="17" t="s">
        <v>214</v>
      </c>
      <c r="D135" s="204"/>
      <c r="E135" s="203"/>
      <c r="F135" s="203"/>
      <c r="G135" s="203">
        <f>(G86+G91)-(F86+F91)-G258</f>
        <v>-111542754.2634214</v>
      </c>
      <c r="H135" s="203">
        <f t="shared" ref="H135:K135" si="88">(H86+H91)-(G86+G91)-H258</f>
        <v>-128098953.38771199</v>
      </c>
      <c r="I135" s="203">
        <f t="shared" si="88"/>
        <v>-144611790.050226</v>
      </c>
      <c r="J135" s="203">
        <f t="shared" si="88"/>
        <v>-160811754.41270867</v>
      </c>
      <c r="K135" s="203">
        <f t="shared" si="88"/>
        <v>-177243786.41464332</v>
      </c>
    </row>
    <row r="136" spans="3:11" ht="15" customHeight="1" x14ac:dyDescent="0.25">
      <c r="C136" s="17" t="s">
        <v>215</v>
      </c>
      <c r="D136" s="204"/>
      <c r="E136" s="203"/>
      <c r="F136" s="203"/>
      <c r="G136" s="203">
        <f>-G228</f>
        <v>-754923258.99453843</v>
      </c>
      <c r="H136" s="203">
        <f t="shared" ref="H136:K136" si="89">-H228</f>
        <v>-888451234.64713776</v>
      </c>
      <c r="I136" s="203">
        <f t="shared" si="89"/>
        <v>-1021447360.3083997</v>
      </c>
      <c r="J136" s="203">
        <f t="shared" si="89"/>
        <v>-1153993562.7292747</v>
      </c>
      <c r="K136" s="203">
        <f t="shared" si="89"/>
        <v>-1290186141.5159309</v>
      </c>
    </row>
    <row r="137" spans="3:11" ht="15" customHeight="1" x14ac:dyDescent="0.25">
      <c r="C137" s="13" t="s">
        <v>173</v>
      </c>
      <c r="D137" s="202"/>
      <c r="E137" s="206"/>
      <c r="F137" s="206"/>
      <c r="G137" s="206">
        <f>SUM(G134:G136)</f>
        <v>-866466013.25795984</v>
      </c>
      <c r="H137" s="206">
        <f t="shared" ref="H137:K137" si="90">SUM(H134:H136)</f>
        <v>-1016550188.0348498</v>
      </c>
      <c r="I137" s="206">
        <f t="shared" si="90"/>
        <v>-1166059150.3586257</v>
      </c>
      <c r="J137" s="206">
        <f t="shared" si="90"/>
        <v>-1314805317.1419835</v>
      </c>
      <c r="K137" s="206">
        <f t="shared" si="90"/>
        <v>-1467429927.9305742</v>
      </c>
    </row>
    <row r="138" spans="3:11" ht="15" customHeight="1" x14ac:dyDescent="0.25">
      <c r="C138" s="13"/>
      <c r="D138" s="202"/>
      <c r="E138" s="206"/>
      <c r="F138" s="206"/>
      <c r="G138" s="206"/>
      <c r="H138" s="206"/>
      <c r="I138" s="206"/>
      <c r="J138" s="206"/>
      <c r="K138" s="206"/>
    </row>
    <row r="139" spans="3:11" ht="15" customHeight="1" x14ac:dyDescent="0.25">
      <c r="C139" s="13" t="s">
        <v>153</v>
      </c>
      <c r="D139" s="202"/>
      <c r="E139" s="206"/>
      <c r="F139" s="206"/>
      <c r="G139" s="206">
        <f>G127+G131+G137</f>
        <v>1520131341.9846625</v>
      </c>
      <c r="H139" s="206">
        <f t="shared" ref="H139:K139" si="91">H127+H131+H137</f>
        <v>1583420286.3808608</v>
      </c>
      <c r="I139" s="206">
        <f t="shared" si="91"/>
        <v>1810323499.4541576</v>
      </c>
      <c r="J139" s="206">
        <f t="shared" si="91"/>
        <v>2038412214.6602459</v>
      </c>
      <c r="K139" s="206">
        <f t="shared" si="91"/>
        <v>2277339415.2115736</v>
      </c>
    </row>
    <row r="140" spans="3:11" ht="15" customHeight="1" x14ac:dyDescent="0.25">
      <c r="C140" s="6" t="s">
        <v>154</v>
      </c>
      <c r="D140" s="202"/>
      <c r="E140" s="206"/>
      <c r="F140" s="206"/>
      <c r="G140" s="206">
        <f>F62</f>
        <v>1836371678</v>
      </c>
      <c r="H140" s="206">
        <f t="shared" ref="H140:K140" si="92">G62</f>
        <v>3356503019.9846625</v>
      </c>
      <c r="I140" s="206">
        <f t="shared" si="92"/>
        <v>4939923306.3655233</v>
      </c>
      <c r="J140" s="206">
        <f t="shared" si="92"/>
        <v>6750246805.8196812</v>
      </c>
      <c r="K140" s="206">
        <f t="shared" si="92"/>
        <v>8788659020.4799271</v>
      </c>
    </row>
    <row r="141" spans="3:11" ht="15" customHeight="1" x14ac:dyDescent="0.25">
      <c r="C141" s="13" t="s">
        <v>155</v>
      </c>
      <c r="D141" s="204"/>
      <c r="E141" s="206"/>
      <c r="F141" s="206"/>
      <c r="G141" s="206">
        <f>G139+G140</f>
        <v>3356503019.9846625</v>
      </c>
      <c r="H141" s="206">
        <f t="shared" ref="H141:K141" si="93">H139+H140</f>
        <v>4939923306.3655233</v>
      </c>
      <c r="I141" s="206">
        <f t="shared" si="93"/>
        <v>6750246805.8196812</v>
      </c>
      <c r="J141" s="206">
        <f t="shared" si="93"/>
        <v>8788659020.4799271</v>
      </c>
      <c r="K141" s="206">
        <f t="shared" si="93"/>
        <v>11065998435.691502</v>
      </c>
    </row>
    <row r="142" spans="3:11" ht="15" customHeight="1" x14ac:dyDescent="0.25">
      <c r="C142" s="13"/>
      <c r="D142" s="204"/>
      <c r="E142" s="207"/>
      <c r="F142" s="206"/>
      <c r="G142" s="207"/>
      <c r="H142" s="207"/>
      <c r="I142" s="207"/>
      <c r="J142" s="207"/>
      <c r="K142" s="207"/>
    </row>
    <row r="143" spans="3:11" ht="15" customHeight="1" x14ac:dyDescent="0.25">
      <c r="C143" s="13" t="s">
        <v>22</v>
      </c>
      <c r="D143" s="239"/>
      <c r="E143" s="239"/>
      <c r="F143" s="203"/>
      <c r="G143" s="203">
        <f>G141-G62</f>
        <v>0</v>
      </c>
      <c r="H143" s="203">
        <f t="shared" ref="H143:K143" si="94">H141-H62</f>
        <v>0</v>
      </c>
      <c r="I143" s="203">
        <f t="shared" si="94"/>
        <v>0</v>
      </c>
      <c r="J143" s="203">
        <f t="shared" si="94"/>
        <v>0</v>
      </c>
      <c r="K143" s="203">
        <f t="shared" si="94"/>
        <v>0</v>
      </c>
    </row>
    <row r="144" spans="3:11" ht="15" customHeight="1" x14ac:dyDescent="0.25"/>
    <row r="145" spans="1:11" customFormat="1" x14ac:dyDescent="0.25">
      <c r="C145" s="39" t="s">
        <v>31</v>
      </c>
      <c r="D145" s="257"/>
      <c r="E145" s="40"/>
      <c r="F145" s="40"/>
      <c r="G145" s="40"/>
      <c r="H145" s="40"/>
      <c r="I145" s="40"/>
      <c r="J145" s="40"/>
      <c r="K145" s="40"/>
    </row>
    <row r="146" spans="1:11" customFormat="1" x14ac:dyDescent="0.25">
      <c r="C146" t="s">
        <v>42</v>
      </c>
      <c r="D146" s="41">
        <f t="shared" ref="D146:K146" si="95">D$13</f>
        <v>2023</v>
      </c>
      <c r="E146" s="41">
        <f t="shared" si="95"/>
        <v>2024</v>
      </c>
      <c r="F146" s="41">
        <f t="shared" si="95"/>
        <v>2025</v>
      </c>
      <c r="G146" s="42">
        <f t="shared" si="95"/>
        <v>2026</v>
      </c>
      <c r="H146" s="42">
        <f t="shared" si="95"/>
        <v>2027</v>
      </c>
      <c r="I146" s="42">
        <f t="shared" si="95"/>
        <v>2028</v>
      </c>
      <c r="J146" s="42">
        <f t="shared" si="95"/>
        <v>2029</v>
      </c>
      <c r="K146" s="42">
        <f t="shared" si="95"/>
        <v>2030</v>
      </c>
    </row>
    <row r="147" spans="1:11" customFormat="1" x14ac:dyDescent="0.25">
      <c r="C147" s="43" t="s">
        <v>43</v>
      </c>
      <c r="D147" s="258">
        <f t="shared" ref="D147:K147" si="96">D$14</f>
        <v>45291</v>
      </c>
      <c r="E147" s="234">
        <f t="shared" si="96"/>
        <v>45657</v>
      </c>
      <c r="F147" s="234">
        <f t="shared" si="96"/>
        <v>46022</v>
      </c>
      <c r="G147" s="234">
        <f t="shared" si="96"/>
        <v>46387</v>
      </c>
      <c r="H147" s="234">
        <f t="shared" si="96"/>
        <v>46752</v>
      </c>
      <c r="I147" s="234">
        <f t="shared" si="96"/>
        <v>47118</v>
      </c>
      <c r="J147" s="234">
        <f t="shared" si="96"/>
        <v>47483</v>
      </c>
      <c r="K147" s="234">
        <f t="shared" si="96"/>
        <v>47848</v>
      </c>
    </row>
    <row r="148" spans="1:11" ht="15" customHeight="1" x14ac:dyDescent="0.25"/>
    <row r="149" spans="1:11" ht="15" customHeight="1" x14ac:dyDescent="0.25">
      <c r="C149" s="17" t="s">
        <v>32</v>
      </c>
      <c r="D149" s="188"/>
      <c r="E149" s="189">
        <f>D152</f>
        <v>375183246</v>
      </c>
      <c r="F149" s="189">
        <f t="shared" ref="F149:K149" si="97">E152</f>
        <v>518080773</v>
      </c>
      <c r="G149" s="189">
        <f t="shared" si="97"/>
        <v>689435290</v>
      </c>
      <c r="H149" s="189">
        <f t="shared" si="97"/>
        <v>933842115.74271572</v>
      </c>
      <c r="I149" s="189">
        <f t="shared" si="97"/>
        <v>1214526045.2834606</v>
      </c>
      <c r="J149" s="189">
        <f t="shared" si="97"/>
        <v>1531392064.9953144</v>
      </c>
      <c r="K149" s="189">
        <f t="shared" si="97"/>
        <v>1883754624.9631939</v>
      </c>
    </row>
    <row r="150" spans="1:11" ht="15" customHeight="1" x14ac:dyDescent="0.25">
      <c r="C150" s="29" t="s">
        <v>33</v>
      </c>
      <c r="D150" s="239">
        <f>58337767+115757975</f>
        <v>174095742</v>
      </c>
      <c r="E150" s="239">
        <f>62749712+165399192</f>
        <v>228148904</v>
      </c>
      <c r="F150" s="239">
        <f>144205897+185845000</f>
        <v>330050897</v>
      </c>
      <c r="G150" s="187">
        <f>G154*G16</f>
        <v>352806936.74016166</v>
      </c>
      <c r="H150" s="187">
        <f>H154*H16</f>
        <v>405173779.71148169</v>
      </c>
      <c r="I150" s="187">
        <f>I154*I16</f>
        <v>457403468.30276167</v>
      </c>
      <c r="J150" s="187">
        <f>J154*J16</f>
        <v>508643549.64887577</v>
      </c>
      <c r="K150" s="187">
        <f>K154*K16</f>
        <v>560617655.12351525</v>
      </c>
    </row>
    <row r="151" spans="1:11" ht="15" customHeight="1" x14ac:dyDescent="0.25">
      <c r="C151" s="29" t="s">
        <v>34</v>
      </c>
      <c r="D151" s="201">
        <v>51377619</v>
      </c>
      <c r="E151" s="201">
        <v>85977206</v>
      </c>
      <c r="F151" s="201">
        <v>84509202</v>
      </c>
      <c r="G151" s="187">
        <f>G155*G16</f>
        <v>108400110.99744594</v>
      </c>
      <c r="H151" s="187">
        <f>H155*H16</f>
        <v>124489850.17073676</v>
      </c>
      <c r="I151" s="187">
        <f>I155*I16</f>
        <v>140537448.59090775</v>
      </c>
      <c r="J151" s="187">
        <f>J155*J16</f>
        <v>156280989.68099609</v>
      </c>
      <c r="K151" s="187">
        <f>K155*K16</f>
        <v>172250060.05841118</v>
      </c>
    </row>
    <row r="152" spans="1:11" ht="15" customHeight="1" x14ac:dyDescent="0.25">
      <c r="C152" s="16" t="s">
        <v>35</v>
      </c>
      <c r="D152" s="236">
        <f>D66</f>
        <v>375183246</v>
      </c>
      <c r="E152" s="236">
        <f>E66</f>
        <v>518080773</v>
      </c>
      <c r="F152" s="236">
        <f>F66</f>
        <v>689435290</v>
      </c>
      <c r="G152" s="236">
        <f>G149+G150-G151</f>
        <v>933842115.74271572</v>
      </c>
      <c r="H152" s="236">
        <f t="shared" ref="H152:K152" si="98">H149+H150-H151</f>
        <v>1214526045.2834606</v>
      </c>
      <c r="I152" s="236">
        <f t="shared" si="98"/>
        <v>1531392064.9953144</v>
      </c>
      <c r="J152" s="236">
        <f t="shared" si="98"/>
        <v>1883754624.9631939</v>
      </c>
      <c r="K152" s="236">
        <f t="shared" si="98"/>
        <v>2272122220.0282979</v>
      </c>
    </row>
    <row r="153" spans="1:11" ht="15" customHeight="1" x14ac:dyDescent="0.25">
      <c r="C153" s="13"/>
      <c r="D153" s="10"/>
      <c r="E153" s="160"/>
      <c r="F153" s="160"/>
      <c r="G153" s="161"/>
      <c r="H153" s="161"/>
      <c r="I153" s="161"/>
      <c r="J153" s="161"/>
      <c r="K153" s="161"/>
    </row>
    <row r="154" spans="1:11" ht="15" customHeight="1" x14ac:dyDescent="0.25">
      <c r="C154" s="6" t="s">
        <v>147</v>
      </c>
      <c r="D154" s="22">
        <f>D150/D16</f>
        <v>2.951594310532446E-2</v>
      </c>
      <c r="E154" s="22">
        <f>E150/E16</f>
        <v>3.0802651135880686E-2</v>
      </c>
      <c r="F154" s="22">
        <f>F150/F16</f>
        <v>3.4871094304733036E-2</v>
      </c>
      <c r="G154" s="214">
        <f>AVERAGE(D154:F154)</f>
        <v>3.172989618197939E-2</v>
      </c>
      <c r="H154" s="214">
        <f>G154</f>
        <v>3.172989618197939E-2</v>
      </c>
      <c r="I154" s="214">
        <f t="shared" ref="I154:K154" si="99">H154</f>
        <v>3.172989618197939E-2</v>
      </c>
      <c r="J154" s="214">
        <f t="shared" si="99"/>
        <v>3.172989618197939E-2</v>
      </c>
      <c r="K154" s="214">
        <f t="shared" si="99"/>
        <v>3.172989618197939E-2</v>
      </c>
    </row>
    <row r="155" spans="1:11" ht="15" customHeight="1" x14ac:dyDescent="0.25">
      <c r="C155" s="6" t="s">
        <v>176</v>
      </c>
      <c r="D155" s="22">
        <f>D151/D16</f>
        <v>8.7104880445096518E-3</v>
      </c>
      <c r="E155" s="22">
        <f>E151/E16</f>
        <v>1.160788342886691E-2</v>
      </c>
      <c r="F155" s="22">
        <f>F151/F16</f>
        <v>8.9287088123251902E-3</v>
      </c>
      <c r="G155" s="214">
        <f t="shared" ref="G155" si="100">AVERAGE(D155:F155)</f>
        <v>9.7490267619005835E-3</v>
      </c>
      <c r="H155" s="214">
        <f t="shared" ref="H155:K155" si="101">G155</f>
        <v>9.7490267619005835E-3</v>
      </c>
      <c r="I155" s="214">
        <f t="shared" si="101"/>
        <v>9.7490267619005835E-3</v>
      </c>
      <c r="J155" s="214">
        <f t="shared" si="101"/>
        <v>9.7490267619005835E-3</v>
      </c>
      <c r="K155" s="214">
        <f t="shared" si="101"/>
        <v>9.7490267619005835E-3</v>
      </c>
    </row>
    <row r="156" spans="1:11" ht="15" customHeight="1" x14ac:dyDescent="0.25">
      <c r="E156" s="1"/>
      <c r="F156" s="1"/>
      <c r="G156" s="1"/>
      <c r="H156" s="1"/>
      <c r="I156" s="1"/>
      <c r="J156" s="1"/>
      <c r="K156" s="1"/>
    </row>
    <row r="157" spans="1:11" s="35" customFormat="1" ht="15" customHeight="1" x14ac:dyDescent="0.25">
      <c r="C157" s="45" t="s">
        <v>36</v>
      </c>
      <c r="D157" s="47"/>
      <c r="E157" s="47"/>
      <c r="F157" s="47"/>
      <c r="G157" s="47"/>
      <c r="H157" s="47"/>
      <c r="I157" s="47"/>
      <c r="J157" s="47"/>
      <c r="K157" s="47"/>
    </row>
    <row r="158" spans="1:11" s="31" customFormat="1" ht="15" customHeight="1" x14ac:dyDescent="0.25">
      <c r="C158" s="32"/>
      <c r="D158" s="33"/>
      <c r="E158" s="34"/>
      <c r="F158" s="34"/>
      <c r="G158" s="34"/>
      <c r="H158" s="34"/>
      <c r="I158" s="34"/>
      <c r="J158" s="34"/>
      <c r="K158" s="34"/>
    </row>
    <row r="159" spans="1:11" s="31" customFormat="1" ht="15" customHeight="1" x14ac:dyDescent="0.25">
      <c r="C159" s="35" t="s">
        <v>37</v>
      </c>
      <c r="D159" s="10">
        <f>26716090+41879191+26557197</f>
        <v>95152478</v>
      </c>
      <c r="E159" s="10">
        <f>37226686+75634690+15978712</f>
        <v>128840088</v>
      </c>
      <c r="F159" s="10">
        <f>67260024+94948529+74966587</f>
        <v>237175140</v>
      </c>
      <c r="G159" s="36">
        <f>G248+G259</f>
        <v>184415738.6689865</v>
      </c>
      <c r="H159" s="36">
        <f t="shared" ref="H159:K159" si="102">H248+H259</f>
        <v>202634259.34168419</v>
      </c>
      <c r="I159" s="36">
        <f t="shared" si="102"/>
        <v>223713025.40344507</v>
      </c>
      <c r="J159" s="36">
        <f t="shared" si="102"/>
        <v>246530925.29582655</v>
      </c>
      <c r="K159" s="36">
        <f t="shared" si="102"/>
        <v>270973343.05270457</v>
      </c>
    </row>
    <row r="160" spans="1:11" s="31" customFormat="1" ht="15" customHeight="1" x14ac:dyDescent="0.25">
      <c r="A160" s="32"/>
      <c r="B160" s="32"/>
      <c r="C160" s="24" t="s">
        <v>38</v>
      </c>
      <c r="D160" s="37">
        <f t="shared" ref="D160:K160" si="103">D159/D16</f>
        <v>1.6132015032157634E-2</v>
      </c>
      <c r="E160" s="37">
        <f t="shared" si="103"/>
        <v>1.7394851403626149E-2</v>
      </c>
      <c r="F160" s="37">
        <f t="shared" si="103"/>
        <v>2.5058428105645354E-2</v>
      </c>
      <c r="G160" s="37">
        <f t="shared" si="103"/>
        <v>1.6585536260585326E-2</v>
      </c>
      <c r="H160" s="37">
        <f t="shared" si="103"/>
        <v>1.5868657681655327E-2</v>
      </c>
      <c r="I160" s="37">
        <f t="shared" si="103"/>
        <v>1.5518883354660763E-2</v>
      </c>
      <c r="J160" s="37">
        <f t="shared" si="103"/>
        <v>1.5378943998569948E-2</v>
      </c>
      <c r="K160" s="37">
        <f t="shared" si="103"/>
        <v>1.533657737063579E-2</v>
      </c>
    </row>
    <row r="161" spans="3:11" ht="15" customHeight="1" x14ac:dyDescent="0.25">
      <c r="C161" s="38" t="s">
        <v>39</v>
      </c>
      <c r="D161" s="30">
        <f>D151+D159</f>
        <v>146530097</v>
      </c>
      <c r="E161" s="30">
        <f t="shared" ref="E161:K161" si="104">E151+E159</f>
        <v>214817294</v>
      </c>
      <c r="F161" s="30">
        <f t="shared" si="104"/>
        <v>321684342</v>
      </c>
      <c r="G161" s="30">
        <f t="shared" si="104"/>
        <v>292815849.66643244</v>
      </c>
      <c r="H161" s="30">
        <f t="shared" si="104"/>
        <v>327124109.51242095</v>
      </c>
      <c r="I161" s="30">
        <f t="shared" si="104"/>
        <v>364250473.99435282</v>
      </c>
      <c r="J161" s="30">
        <f t="shared" si="104"/>
        <v>402811914.97682261</v>
      </c>
      <c r="K161" s="30">
        <f t="shared" si="104"/>
        <v>443223403.11111575</v>
      </c>
    </row>
    <row r="163" spans="3:11" x14ac:dyDescent="0.25">
      <c r="C163" s="13" t="s">
        <v>269</v>
      </c>
      <c r="D163" s="268"/>
      <c r="E163" s="13"/>
      <c r="F163" s="13"/>
      <c r="G163" s="13"/>
      <c r="H163" s="13"/>
      <c r="I163" s="13"/>
      <c r="J163" s="13"/>
      <c r="K163" s="13"/>
    </row>
    <row r="164" spans="3:11" x14ac:dyDescent="0.25">
      <c r="C164" s="48" t="s">
        <v>42</v>
      </c>
      <c r="D164" s="49">
        <f t="shared" ref="D164:K164" si="105">D$13</f>
        <v>2023</v>
      </c>
      <c r="E164" s="49">
        <f t="shared" si="105"/>
        <v>2024</v>
      </c>
      <c r="F164" s="49">
        <f t="shared" si="105"/>
        <v>2025</v>
      </c>
      <c r="G164" s="50">
        <f t="shared" si="105"/>
        <v>2026</v>
      </c>
      <c r="H164" s="50">
        <f t="shared" si="105"/>
        <v>2027</v>
      </c>
      <c r="I164" s="50">
        <f t="shared" si="105"/>
        <v>2028</v>
      </c>
      <c r="J164" s="50">
        <f t="shared" si="105"/>
        <v>2029</v>
      </c>
      <c r="K164" s="50">
        <f t="shared" si="105"/>
        <v>2030</v>
      </c>
    </row>
    <row r="165" spans="3:11" x14ac:dyDescent="0.25">
      <c r="C165" s="43" t="s">
        <v>43</v>
      </c>
      <c r="D165" s="44">
        <f t="shared" ref="D165:K165" si="106">D$14</f>
        <v>45291</v>
      </c>
      <c r="E165" s="44">
        <f t="shared" si="106"/>
        <v>45657</v>
      </c>
      <c r="F165" s="44">
        <f t="shared" si="106"/>
        <v>46022</v>
      </c>
      <c r="G165" s="44">
        <f t="shared" si="106"/>
        <v>46387</v>
      </c>
      <c r="H165" s="44">
        <f t="shared" si="106"/>
        <v>46752</v>
      </c>
      <c r="I165" s="44">
        <f t="shared" si="106"/>
        <v>47118</v>
      </c>
      <c r="J165" s="44">
        <f t="shared" si="106"/>
        <v>47483</v>
      </c>
      <c r="K165" s="44">
        <f t="shared" si="106"/>
        <v>47848</v>
      </c>
    </row>
    <row r="166" spans="3:11" x14ac:dyDescent="0.25">
      <c r="C166" s="35"/>
      <c r="D166" s="269"/>
      <c r="E166" s="35"/>
      <c r="F166" s="35"/>
      <c r="G166" s="35"/>
      <c r="H166" s="35"/>
    </row>
    <row r="167" spans="3:11" x14ac:dyDescent="0.25">
      <c r="C167" s="230" t="s">
        <v>266</v>
      </c>
      <c r="D167" s="270">
        <v>4255</v>
      </c>
      <c r="E167" s="270">
        <v>5469</v>
      </c>
      <c r="F167" s="270">
        <v>6725</v>
      </c>
      <c r="G167" s="203">
        <f>F167*(1+G174)</f>
        <v>8002.75</v>
      </c>
      <c r="H167" s="203">
        <f t="shared" ref="H167:K167" si="107">G167*(1+H174)</f>
        <v>9283.1899999999987</v>
      </c>
      <c r="I167" s="203">
        <f t="shared" si="107"/>
        <v>10582.836600000001</v>
      </c>
      <c r="J167" s="203">
        <f t="shared" si="107"/>
        <v>11852.776992000001</v>
      </c>
      <c r="K167" s="203">
        <f t="shared" si="107"/>
        <v>13156.582461120002</v>
      </c>
    </row>
    <row r="168" spans="3:11" x14ac:dyDescent="0.25">
      <c r="C168" s="230" t="s">
        <v>267</v>
      </c>
      <c r="D168" s="270">
        <v>1479</v>
      </c>
      <c r="E168" s="270">
        <v>1785</v>
      </c>
      <c r="F168" s="270">
        <v>2558</v>
      </c>
      <c r="G168" s="203">
        <f t="shared" ref="G168:K169" si="108">F168*(1+G175)</f>
        <v>2916.1200000000003</v>
      </c>
      <c r="H168" s="203">
        <f t="shared" si="108"/>
        <v>3266.0544000000009</v>
      </c>
      <c r="I168" s="203">
        <f t="shared" si="108"/>
        <v>3592.6598400000012</v>
      </c>
      <c r="J168" s="203">
        <f t="shared" si="108"/>
        <v>3915.9992256000014</v>
      </c>
      <c r="K168" s="203">
        <f t="shared" si="108"/>
        <v>4229.2791636480015</v>
      </c>
    </row>
    <row r="169" spans="3:11" x14ac:dyDescent="0.25">
      <c r="C169" s="230" t="s">
        <v>268</v>
      </c>
      <c r="D169" s="270">
        <v>164</v>
      </c>
      <c r="E169" s="270">
        <v>153</v>
      </c>
      <c r="F169" s="270">
        <v>182</v>
      </c>
      <c r="G169" s="203">
        <f t="shared" si="108"/>
        <v>200.20000000000002</v>
      </c>
      <c r="H169" s="203">
        <f t="shared" si="108"/>
        <v>220.22000000000003</v>
      </c>
      <c r="I169" s="203">
        <f t="shared" si="108"/>
        <v>240.03980000000004</v>
      </c>
      <c r="J169" s="203">
        <f t="shared" si="108"/>
        <v>261.64338200000009</v>
      </c>
      <c r="K169" s="203">
        <f t="shared" si="108"/>
        <v>282.57485256000012</v>
      </c>
    </row>
    <row r="170" spans="3:11" x14ac:dyDescent="0.25">
      <c r="C170" s="38" t="s">
        <v>264</v>
      </c>
      <c r="D170" s="271">
        <f t="shared" ref="D170:E170" si="109">SUM(D167:D169)*1000000</f>
        <v>5898000000</v>
      </c>
      <c r="E170" s="271">
        <f t="shared" si="109"/>
        <v>7407000000</v>
      </c>
      <c r="F170" s="271">
        <f>SUM(F167:F169)*1000000</f>
        <v>9465000000</v>
      </c>
      <c r="G170" s="271">
        <f t="shared" ref="G170:K170" si="110">SUM(G167:G169)*1000000</f>
        <v>11119070000.000002</v>
      </c>
      <c r="H170" s="271">
        <f t="shared" si="110"/>
        <v>12769464399.999998</v>
      </c>
      <c r="I170" s="271">
        <f t="shared" si="110"/>
        <v>14415536240.000004</v>
      </c>
      <c r="J170" s="271">
        <f t="shared" si="110"/>
        <v>16030419599.600004</v>
      </c>
      <c r="K170" s="271">
        <f t="shared" si="110"/>
        <v>17668436477.328003</v>
      </c>
    </row>
    <row r="171" spans="3:11" x14ac:dyDescent="0.25">
      <c r="C171" s="267"/>
      <c r="D171" s="203"/>
      <c r="E171" s="203"/>
      <c r="F171" s="203"/>
      <c r="G171" s="203"/>
      <c r="H171" s="203"/>
      <c r="I171" s="203"/>
      <c r="J171" s="203"/>
      <c r="K171" s="203"/>
    </row>
    <row r="172" spans="3:11" x14ac:dyDescent="0.25">
      <c r="C172" s="6" t="s">
        <v>265</v>
      </c>
      <c r="D172" s="203">
        <f t="shared" ref="D172:K172" si="111">D170-D16</f>
        <v>-362840</v>
      </c>
      <c r="E172" s="203">
        <f t="shared" si="111"/>
        <v>205598</v>
      </c>
      <c r="F172" s="203">
        <f t="shared" si="111"/>
        <v>115012</v>
      </c>
      <c r="G172" s="203">
        <f t="shared" si="111"/>
        <v>0</v>
      </c>
      <c r="H172" s="203">
        <f t="shared" si="111"/>
        <v>0</v>
      </c>
      <c r="I172" s="203">
        <f t="shared" si="111"/>
        <v>0</v>
      </c>
      <c r="J172" s="203">
        <f t="shared" si="111"/>
        <v>0</v>
      </c>
      <c r="K172" s="203">
        <f t="shared" si="111"/>
        <v>0</v>
      </c>
    </row>
    <row r="173" spans="3:11" x14ac:dyDescent="0.25">
      <c r="D173" s="203"/>
      <c r="E173" s="203"/>
      <c r="F173" s="203"/>
      <c r="G173" s="203"/>
      <c r="H173" s="203"/>
      <c r="I173" s="203"/>
      <c r="J173" s="203"/>
      <c r="K173" s="203"/>
    </row>
    <row r="174" spans="3:11" x14ac:dyDescent="0.25">
      <c r="C174" s="230" t="s">
        <v>266</v>
      </c>
      <c r="D174" s="7"/>
      <c r="E174" s="1">
        <f>E167/D167-1</f>
        <v>0.28531139835487651</v>
      </c>
      <c r="F174" s="1">
        <f t="shared" ref="F174:F176" si="112">F167/E167-1</f>
        <v>0.229658072773816</v>
      </c>
      <c r="G174" s="214">
        <v>0.19</v>
      </c>
      <c r="H174" s="214">
        <v>0.16</v>
      </c>
      <c r="I174" s="214">
        <v>0.14000000000000001</v>
      </c>
      <c r="J174" s="214">
        <v>0.12</v>
      </c>
      <c r="K174" s="214">
        <v>0.11</v>
      </c>
    </row>
    <row r="175" spans="3:11" x14ac:dyDescent="0.25">
      <c r="C175" s="230" t="s">
        <v>267</v>
      </c>
      <c r="D175" s="7"/>
      <c r="E175" s="1">
        <f t="shared" ref="E175:E176" si="113">E168/D168-1</f>
        <v>0.2068965517241379</v>
      </c>
      <c r="F175" s="1">
        <f t="shared" si="112"/>
        <v>0.43305322128851542</v>
      </c>
      <c r="G175" s="214">
        <v>0.14000000000000001</v>
      </c>
      <c r="H175" s="214">
        <v>0.12</v>
      </c>
      <c r="I175" s="214">
        <v>0.1</v>
      </c>
      <c r="J175" s="214">
        <v>0.09</v>
      </c>
      <c r="K175" s="214">
        <v>0.08</v>
      </c>
    </row>
    <row r="176" spans="3:11" x14ac:dyDescent="0.25">
      <c r="C176" s="230" t="s">
        <v>268</v>
      </c>
      <c r="D176" s="7"/>
      <c r="E176" s="1">
        <f t="shared" si="113"/>
        <v>-6.7073170731707266E-2</v>
      </c>
      <c r="F176" s="1">
        <f t="shared" si="112"/>
        <v>0.18954248366013071</v>
      </c>
      <c r="G176" s="214">
        <v>0.1</v>
      </c>
      <c r="H176" s="214">
        <v>0.1</v>
      </c>
      <c r="I176" s="214">
        <v>0.09</v>
      </c>
      <c r="J176" s="214">
        <v>0.09</v>
      </c>
      <c r="K176" s="214">
        <v>0.08</v>
      </c>
    </row>
    <row r="178" spans="3:11" x14ac:dyDescent="0.25">
      <c r="C178" s="13" t="s">
        <v>156</v>
      </c>
    </row>
    <row r="179" spans="3:11" x14ac:dyDescent="0.25">
      <c r="C179" s="48" t="s">
        <v>42</v>
      </c>
      <c r="D179" s="49">
        <f t="shared" ref="D179:K179" si="114">D$13</f>
        <v>2023</v>
      </c>
      <c r="E179" s="49">
        <f t="shared" si="114"/>
        <v>2024</v>
      </c>
      <c r="F179" s="49">
        <f t="shared" si="114"/>
        <v>2025</v>
      </c>
      <c r="G179" s="50">
        <f t="shared" si="114"/>
        <v>2026</v>
      </c>
      <c r="H179" s="50">
        <f t="shared" si="114"/>
        <v>2027</v>
      </c>
      <c r="I179" s="50">
        <f t="shared" si="114"/>
        <v>2028</v>
      </c>
      <c r="J179" s="50">
        <f t="shared" si="114"/>
        <v>2029</v>
      </c>
      <c r="K179" s="50">
        <f t="shared" si="114"/>
        <v>2030</v>
      </c>
    </row>
    <row r="180" spans="3:11" x14ac:dyDescent="0.25">
      <c r="C180" s="43" t="s">
        <v>43</v>
      </c>
      <c r="D180" s="258">
        <f t="shared" ref="D180:K180" si="115">D$14</f>
        <v>45291</v>
      </c>
      <c r="E180" s="234">
        <f t="shared" si="115"/>
        <v>45657</v>
      </c>
      <c r="F180" s="234">
        <f t="shared" si="115"/>
        <v>46022</v>
      </c>
      <c r="G180" s="234">
        <f t="shared" si="115"/>
        <v>46387</v>
      </c>
      <c r="H180" s="234">
        <f t="shared" si="115"/>
        <v>46752</v>
      </c>
      <c r="I180" s="234">
        <f t="shared" si="115"/>
        <v>47118</v>
      </c>
      <c r="J180" s="234">
        <f t="shared" si="115"/>
        <v>47483</v>
      </c>
      <c r="K180" s="234">
        <f t="shared" si="115"/>
        <v>47848</v>
      </c>
    </row>
    <row r="181" spans="3:11" x14ac:dyDescent="0.25">
      <c r="D181" s="6"/>
    </row>
    <row r="182" spans="3:11" x14ac:dyDescent="0.25">
      <c r="C182" s="13" t="s">
        <v>157</v>
      </c>
      <c r="D182" s="6"/>
    </row>
    <row r="183" spans="3:11" x14ac:dyDescent="0.25">
      <c r="C183" s="17" t="s">
        <v>271</v>
      </c>
      <c r="D183" s="27">
        <f t="shared" ref="D183:F184" si="116">D56</f>
        <v>2322353701</v>
      </c>
      <c r="E183" s="27">
        <f t="shared" si="116"/>
        <v>2895222777</v>
      </c>
      <c r="F183" s="27">
        <f t="shared" si="116"/>
        <v>3606503783</v>
      </c>
      <c r="G183" s="27">
        <f>G199/365*G16</f>
        <v>4320338263.392827</v>
      </c>
      <c r="H183" s="27">
        <f>H199/365*H16</f>
        <v>4961602512.6519136</v>
      </c>
      <c r="I183" s="27">
        <f>I199/365*I16</f>
        <v>5601187222.0426683</v>
      </c>
      <c r="J183" s="27">
        <f>J199/365*J16</f>
        <v>6228653581.1353121</v>
      </c>
      <c r="K183" s="27">
        <f>K199/365*K16</f>
        <v>6865108517.8279953</v>
      </c>
    </row>
    <row r="184" spans="3:11" x14ac:dyDescent="0.25">
      <c r="C184" s="17" t="s">
        <v>246</v>
      </c>
      <c r="D184" s="27">
        <f t="shared" si="116"/>
        <v>847625684</v>
      </c>
      <c r="E184" s="27">
        <f t="shared" si="116"/>
        <v>641667693</v>
      </c>
      <c r="F184" s="27">
        <f t="shared" si="116"/>
        <v>1173197325</v>
      </c>
      <c r="G184" s="27">
        <f>$F184/$F$16*G$16</f>
        <v>1378237896.9239042</v>
      </c>
      <c r="H184" s="27">
        <f t="shared" ref="H184:K184" si="117">$F184/$F$16*H$16</f>
        <v>1582808612.5458927</v>
      </c>
      <c r="I184" s="27">
        <f t="shared" si="117"/>
        <v>1786843535.5158234</v>
      </c>
      <c r="J184" s="27">
        <f t="shared" si="117"/>
        <v>1987012564.5184751</v>
      </c>
      <c r="K184" s="27">
        <f t="shared" si="117"/>
        <v>2190049053.7829275</v>
      </c>
    </row>
    <row r="185" spans="3:11" x14ac:dyDescent="0.25">
      <c r="C185" s="13" t="s">
        <v>158</v>
      </c>
      <c r="D185" s="215">
        <f t="shared" ref="D185:K185" si="118">SUM(D183:D184)</f>
        <v>3169979385</v>
      </c>
      <c r="E185" s="215">
        <f t="shared" si="118"/>
        <v>3536890470</v>
      </c>
      <c r="F185" s="215">
        <f t="shared" si="118"/>
        <v>4779701108</v>
      </c>
      <c r="G185" s="215">
        <f t="shared" si="118"/>
        <v>5698576160.3167315</v>
      </c>
      <c r="H185" s="215">
        <f t="shared" si="118"/>
        <v>6544411125.1978064</v>
      </c>
      <c r="I185" s="215">
        <f t="shared" si="118"/>
        <v>7388030757.5584917</v>
      </c>
      <c r="J185" s="215">
        <f t="shared" si="118"/>
        <v>8215666145.6537876</v>
      </c>
      <c r="K185" s="215">
        <f t="shared" si="118"/>
        <v>9055157571.6109238</v>
      </c>
    </row>
    <row r="186" spans="3:11" x14ac:dyDescent="0.25">
      <c r="C186" s="13"/>
      <c r="E186" s="28"/>
      <c r="F186" s="28"/>
      <c r="G186" s="7"/>
      <c r="H186" s="7"/>
      <c r="I186" s="7"/>
      <c r="J186" s="7"/>
      <c r="K186" s="7"/>
    </row>
    <row r="187" spans="3:11" x14ac:dyDescent="0.25">
      <c r="C187" s="13" t="s">
        <v>162</v>
      </c>
      <c r="E187" s="28"/>
      <c r="F187" s="28"/>
      <c r="G187" s="7"/>
      <c r="H187" s="7"/>
      <c r="I187" s="7"/>
      <c r="J187" s="7"/>
      <c r="K187" s="7"/>
    </row>
    <row r="188" spans="3:11" x14ac:dyDescent="0.25">
      <c r="C188" s="17" t="s">
        <v>260</v>
      </c>
      <c r="D188" s="19">
        <f t="shared" ref="D188:F190" si="119">D82</f>
        <v>2805055424</v>
      </c>
      <c r="E188" s="19">
        <f t="shared" si="119"/>
        <v>2479580023</v>
      </c>
      <c r="F188" s="19">
        <f t="shared" si="119"/>
        <v>3481748449</v>
      </c>
      <c r="G188" s="27">
        <f>G200/365*-G17</f>
        <v>4363688094.4071798</v>
      </c>
      <c r="H188" s="27">
        <f>H200/365*-H17</f>
        <v>5011386723.3713169</v>
      </c>
      <c r="I188" s="27">
        <f>I200/365*-I17</f>
        <v>5657388960.1363468</v>
      </c>
      <c r="J188" s="27">
        <f>J200/365*-J17</f>
        <v>6291151252.3193064</v>
      </c>
      <c r="K188" s="27">
        <f>K200/365*-K17</f>
        <v>6933992312.5680227</v>
      </c>
    </row>
    <row r="189" spans="3:11" x14ac:dyDescent="0.25">
      <c r="C189" s="17" t="s">
        <v>261</v>
      </c>
      <c r="D189" s="19">
        <f t="shared" si="119"/>
        <v>503707390</v>
      </c>
      <c r="E189" s="19">
        <f t="shared" si="119"/>
        <v>609806315</v>
      </c>
      <c r="F189" s="19">
        <f t="shared" si="119"/>
        <v>1407441418</v>
      </c>
      <c r="G189" s="27">
        <f t="shared" ref="G189:K190" si="120">$F189/$F$16*G$16</f>
        <v>1653421004.8492203</v>
      </c>
      <c r="H189" s="27">
        <f t="shared" si="120"/>
        <v>1898836922.4795187</v>
      </c>
      <c r="I189" s="27">
        <f t="shared" si="120"/>
        <v>2143610069.4915271</v>
      </c>
      <c r="J189" s="27">
        <f t="shared" si="120"/>
        <v>2383745446.5639009</v>
      </c>
      <c r="K189" s="27">
        <f t="shared" si="120"/>
        <v>2627320809.6053252</v>
      </c>
    </row>
    <row r="190" spans="3:11" x14ac:dyDescent="0.25">
      <c r="C190" s="17" t="s">
        <v>206</v>
      </c>
      <c r="D190" s="19">
        <f t="shared" si="119"/>
        <v>183613319</v>
      </c>
      <c r="E190" s="19">
        <f t="shared" si="119"/>
        <v>218172525</v>
      </c>
      <c r="F190" s="19">
        <f t="shared" si="119"/>
        <v>153260920</v>
      </c>
      <c r="G190" s="27">
        <f t="shared" si="120"/>
        <v>180046445.35088992</v>
      </c>
      <c r="H190" s="27">
        <f t="shared" si="120"/>
        <v>206770590.90865815</v>
      </c>
      <c r="I190" s="27">
        <f t="shared" si="120"/>
        <v>233424743.06204864</v>
      </c>
      <c r="J190" s="27">
        <f t="shared" si="120"/>
        <v>259573873.20982924</v>
      </c>
      <c r="K190" s="27">
        <f t="shared" si="120"/>
        <v>286097594.73147535</v>
      </c>
    </row>
    <row r="191" spans="3:11" x14ac:dyDescent="0.25">
      <c r="C191" s="13" t="s">
        <v>163</v>
      </c>
      <c r="D191" s="218">
        <f>SUM(D188:D190)</f>
        <v>3492376133</v>
      </c>
      <c r="E191" s="218">
        <f t="shared" ref="E191:K191" si="121">SUM(E188:E190)</f>
        <v>3307558863</v>
      </c>
      <c r="F191" s="218">
        <f t="shared" si="121"/>
        <v>5042450787</v>
      </c>
      <c r="G191" s="218">
        <f t="shared" si="121"/>
        <v>6197155544.6072903</v>
      </c>
      <c r="H191" s="218">
        <f t="shared" si="121"/>
        <v>7116994236.7594938</v>
      </c>
      <c r="I191" s="218">
        <f t="shared" si="121"/>
        <v>8034423772.6899233</v>
      </c>
      <c r="J191" s="218">
        <f t="shared" si="121"/>
        <v>8934470572.0930367</v>
      </c>
      <c r="K191" s="218">
        <f t="shared" si="121"/>
        <v>9847410716.9048233</v>
      </c>
    </row>
    <row r="192" spans="3:11" x14ac:dyDescent="0.25">
      <c r="E192" s="28"/>
      <c r="F192" s="28"/>
      <c r="G192" s="7"/>
      <c r="H192" s="7"/>
      <c r="I192" s="7"/>
      <c r="J192" s="7"/>
      <c r="K192" s="7"/>
    </row>
    <row r="193" spans="3:11" x14ac:dyDescent="0.25">
      <c r="C193" s="6" t="s">
        <v>159</v>
      </c>
      <c r="D193" s="19">
        <f>D185-D191</f>
        <v>-322396748</v>
      </c>
      <c r="E193" s="19">
        <f t="shared" ref="E193:K193" si="122">E185-E191</f>
        <v>229331607</v>
      </c>
      <c r="F193" s="19">
        <f t="shared" si="122"/>
        <v>-262749679</v>
      </c>
      <c r="G193" s="19">
        <f t="shared" si="122"/>
        <v>-498579384.29055882</v>
      </c>
      <c r="H193" s="19">
        <f t="shared" si="122"/>
        <v>-572583111.56168747</v>
      </c>
      <c r="I193" s="19">
        <f t="shared" si="122"/>
        <v>-646393015.13143158</v>
      </c>
      <c r="J193" s="19">
        <f t="shared" si="122"/>
        <v>-718804426.43924904</v>
      </c>
      <c r="K193" s="19">
        <f t="shared" si="122"/>
        <v>-792253145.29389954</v>
      </c>
    </row>
    <row r="194" spans="3:11" x14ac:dyDescent="0.25">
      <c r="C194" s="6" t="s">
        <v>160</v>
      </c>
      <c r="D194" s="22">
        <f t="shared" ref="D194:K194" si="123">D193/D16</f>
        <v>-5.465868356108116E-2</v>
      </c>
      <c r="E194" s="22">
        <f t="shared" si="123"/>
        <v>3.0962329255160011E-2</v>
      </c>
      <c r="F194" s="22">
        <f t="shared" si="123"/>
        <v>-2.7760472455093291E-2</v>
      </c>
      <c r="G194" s="22">
        <f t="shared" si="123"/>
        <v>-4.4840025675758739E-2</v>
      </c>
      <c r="H194" s="22">
        <f t="shared" si="123"/>
        <v>-4.4840025675758767E-2</v>
      </c>
      <c r="I194" s="22">
        <f t="shared" si="123"/>
        <v>-4.4840025675758795E-2</v>
      </c>
      <c r="J194" s="22">
        <f t="shared" si="123"/>
        <v>-4.4840025675758663E-2</v>
      </c>
      <c r="K194" s="22">
        <f t="shared" si="123"/>
        <v>-4.4840025675758718E-2</v>
      </c>
    </row>
    <row r="195" spans="3:11" x14ac:dyDescent="0.25">
      <c r="C195" s="6" t="s">
        <v>161</v>
      </c>
      <c r="D195" s="19"/>
      <c r="E195" s="187">
        <f>D193-E193</f>
        <v>-551728355</v>
      </c>
      <c r="F195" s="187">
        <f t="shared" ref="F195:K195" si="124">E193-F193</f>
        <v>492081286</v>
      </c>
      <c r="G195" s="187">
        <f t="shared" si="124"/>
        <v>235829705.29055882</v>
      </c>
      <c r="H195" s="187">
        <f t="shared" si="124"/>
        <v>74003727.271128654</v>
      </c>
      <c r="I195" s="187">
        <f t="shared" si="124"/>
        <v>73809903.56974411</v>
      </c>
      <c r="J195" s="187">
        <f t="shared" si="124"/>
        <v>72411411.307817459</v>
      </c>
      <c r="K195" s="187">
        <f t="shared" si="124"/>
        <v>73448718.854650497</v>
      </c>
    </row>
    <row r="196" spans="3:11" x14ac:dyDescent="0.25">
      <c r="D196" s="19"/>
      <c r="E196" s="187"/>
      <c r="F196" s="187"/>
      <c r="G196" s="187"/>
      <c r="H196" s="187"/>
      <c r="I196" s="187"/>
      <c r="J196" s="187"/>
      <c r="K196" s="187"/>
    </row>
    <row r="197" spans="3:11" x14ac:dyDescent="0.25">
      <c r="C197" s="13" t="s">
        <v>180</v>
      </c>
      <c r="G197" s="244"/>
      <c r="H197" s="244"/>
      <c r="I197" s="244"/>
      <c r="J197" s="244"/>
      <c r="K197" s="244"/>
    </row>
    <row r="198" spans="3:11" x14ac:dyDescent="0.25">
      <c r="C198" s="17" t="s">
        <v>181</v>
      </c>
      <c r="D198" s="251"/>
      <c r="E198" s="251"/>
      <c r="F198" s="251"/>
      <c r="G198" s="251"/>
      <c r="H198" s="251"/>
      <c r="I198" s="251"/>
      <c r="J198" s="251"/>
      <c r="K198" s="251"/>
    </row>
    <row r="199" spans="3:11" x14ac:dyDescent="0.25">
      <c r="C199" s="17" t="s">
        <v>182</v>
      </c>
      <c r="D199" s="251">
        <f>D183/D16*365</f>
        <v>143.71091163069244</v>
      </c>
      <c r="E199" s="251">
        <f>E183/E16*365</f>
        <v>142.67390942020103</v>
      </c>
      <c r="F199" s="251">
        <f>F183/F16*365</f>
        <v>139.07975453098024</v>
      </c>
      <c r="G199" s="272">
        <f>AVERAGE(D199:F199)</f>
        <v>141.82152519395791</v>
      </c>
      <c r="H199" s="272">
        <f>G199</f>
        <v>141.82152519395791</v>
      </c>
      <c r="I199" s="272">
        <f t="shared" ref="I199:K200" si="125">H199</f>
        <v>141.82152519395791</v>
      </c>
      <c r="J199" s="272">
        <f t="shared" si="125"/>
        <v>141.82152519395791</v>
      </c>
      <c r="K199" s="272">
        <f t="shared" si="125"/>
        <v>141.82152519395791</v>
      </c>
    </row>
    <row r="200" spans="3:11" x14ac:dyDescent="0.25">
      <c r="C200" s="17" t="s">
        <v>183</v>
      </c>
      <c r="D200" s="251">
        <f>D188/-D17*365</f>
        <v>287.06167204443426</v>
      </c>
      <c r="E200" s="251">
        <f>E188/-E17*365</f>
        <v>206.83460577346338</v>
      </c>
      <c r="F200" s="251">
        <f>F188/-F17*365</f>
        <v>219.58961580382871</v>
      </c>
      <c r="G200" s="272">
        <f>AVERAGE(D200:F200)</f>
        <v>237.8286312072421</v>
      </c>
      <c r="H200" s="272">
        <f>G200</f>
        <v>237.8286312072421</v>
      </c>
      <c r="I200" s="272">
        <f t="shared" si="125"/>
        <v>237.8286312072421</v>
      </c>
      <c r="J200" s="272">
        <f t="shared" si="125"/>
        <v>237.8286312072421</v>
      </c>
      <c r="K200" s="272">
        <f t="shared" si="125"/>
        <v>237.8286312072421</v>
      </c>
    </row>
    <row r="201" spans="3:11" x14ac:dyDescent="0.25">
      <c r="D201" s="245"/>
      <c r="E201" s="245"/>
      <c r="F201" s="245"/>
      <c r="G201" s="244"/>
      <c r="H201" s="244"/>
      <c r="I201" s="244"/>
      <c r="J201" s="244"/>
      <c r="K201" s="244"/>
    </row>
    <row r="202" spans="3:11" x14ac:dyDescent="0.25">
      <c r="C202" s="13" t="s">
        <v>164</v>
      </c>
    </row>
    <row r="203" spans="3:11" x14ac:dyDescent="0.25">
      <c r="C203" s="48" t="s">
        <v>42</v>
      </c>
      <c r="D203" s="49">
        <f t="shared" ref="D203:K203" si="126">D$13</f>
        <v>2023</v>
      </c>
      <c r="E203" s="49">
        <f t="shared" si="126"/>
        <v>2024</v>
      </c>
      <c r="F203" s="49">
        <f t="shared" si="126"/>
        <v>2025</v>
      </c>
      <c r="G203" s="50">
        <f t="shared" si="126"/>
        <v>2026</v>
      </c>
      <c r="H203" s="50">
        <f t="shared" si="126"/>
        <v>2027</v>
      </c>
      <c r="I203" s="50">
        <f t="shared" si="126"/>
        <v>2028</v>
      </c>
      <c r="J203" s="50">
        <f t="shared" si="126"/>
        <v>2029</v>
      </c>
      <c r="K203" s="50">
        <f t="shared" si="126"/>
        <v>2030</v>
      </c>
    </row>
    <row r="204" spans="3:11" x14ac:dyDescent="0.25">
      <c r="C204" s="43" t="s">
        <v>43</v>
      </c>
      <c r="D204" s="258">
        <f t="shared" ref="D204:K204" si="127">D$14</f>
        <v>45291</v>
      </c>
      <c r="E204" s="234">
        <f t="shared" si="127"/>
        <v>45657</v>
      </c>
      <c r="F204" s="234">
        <f t="shared" si="127"/>
        <v>46022</v>
      </c>
      <c r="G204" s="234">
        <f t="shared" si="127"/>
        <v>46387</v>
      </c>
      <c r="H204" s="234">
        <f t="shared" si="127"/>
        <v>46752</v>
      </c>
      <c r="I204" s="234">
        <f t="shared" si="127"/>
        <v>47118</v>
      </c>
      <c r="J204" s="234">
        <f t="shared" si="127"/>
        <v>47483</v>
      </c>
      <c r="K204" s="234">
        <f t="shared" si="127"/>
        <v>47848</v>
      </c>
    </row>
    <row r="206" spans="3:11" x14ac:dyDescent="0.25">
      <c r="C206" s="13" t="s">
        <v>199</v>
      </c>
      <c r="D206" s="19"/>
      <c r="E206" s="187"/>
      <c r="F206" s="187"/>
      <c r="G206" s="187"/>
      <c r="H206" s="187"/>
      <c r="I206" s="187"/>
      <c r="J206" s="187"/>
      <c r="K206" s="187"/>
    </row>
    <row r="207" spans="3:11" x14ac:dyDescent="0.25">
      <c r="C207" s="29" t="s">
        <v>32</v>
      </c>
      <c r="D207" s="19"/>
      <c r="E207" s="187">
        <f>D208</f>
        <v>0</v>
      </c>
      <c r="F207" s="187">
        <f t="shared" ref="F207:G207" si="128">E208</f>
        <v>0</v>
      </c>
      <c r="G207" s="187">
        <f t="shared" si="128"/>
        <v>1973408021</v>
      </c>
      <c r="H207" s="187"/>
      <c r="I207" s="187"/>
      <c r="J207" s="187"/>
      <c r="K207" s="187"/>
    </row>
    <row r="208" spans="3:11" x14ac:dyDescent="0.25">
      <c r="C208" s="29" t="s">
        <v>35</v>
      </c>
      <c r="D208" s="19">
        <f>D81+D90</f>
        <v>0</v>
      </c>
      <c r="E208" s="19">
        <f t="shared" ref="E208:K208" si="129">E81+E90</f>
        <v>0</v>
      </c>
      <c r="F208" s="19">
        <f t="shared" si="129"/>
        <v>1973408021</v>
      </c>
      <c r="G208" s="19">
        <f t="shared" si="129"/>
        <v>1973408021</v>
      </c>
      <c r="H208" s="19">
        <f t="shared" si="129"/>
        <v>1973408021</v>
      </c>
      <c r="I208" s="19">
        <f t="shared" si="129"/>
        <v>1973408021</v>
      </c>
      <c r="J208" s="19">
        <f t="shared" si="129"/>
        <v>1973408021</v>
      </c>
      <c r="K208" s="19">
        <f t="shared" si="129"/>
        <v>1973408021</v>
      </c>
    </row>
    <row r="209" spans="3:11" x14ac:dyDescent="0.25">
      <c r="C209" s="29" t="s">
        <v>165</v>
      </c>
      <c r="D209" s="19"/>
      <c r="E209" s="187">
        <f>AVERAGE(E207,E208)</f>
        <v>0</v>
      </c>
      <c r="F209" s="187">
        <f t="shared" ref="F209:K209" si="130">AVERAGE(F207,F208)</f>
        <v>986704010.5</v>
      </c>
      <c r="G209" s="187">
        <f t="shared" si="130"/>
        <v>1973408021</v>
      </c>
      <c r="H209" s="187">
        <f t="shared" si="130"/>
        <v>1973408021</v>
      </c>
      <c r="I209" s="187">
        <f t="shared" si="130"/>
        <v>1973408021</v>
      </c>
      <c r="J209" s="187">
        <f t="shared" si="130"/>
        <v>1973408021</v>
      </c>
      <c r="K209" s="187">
        <f t="shared" si="130"/>
        <v>1973408021</v>
      </c>
    </row>
    <row r="210" spans="3:11" x14ac:dyDescent="0.25">
      <c r="C210" s="29" t="s">
        <v>166</v>
      </c>
      <c r="D210" s="22"/>
      <c r="E210" s="1"/>
      <c r="F210" s="1">
        <f>F217/F209</f>
        <v>-0.10722504405995824</v>
      </c>
      <c r="G210" s="214">
        <v>-0.1</v>
      </c>
      <c r="H210" s="214">
        <f t="shared" ref="H210:K210" si="131">G210</f>
        <v>-0.1</v>
      </c>
      <c r="I210" s="214">
        <f t="shared" si="131"/>
        <v>-0.1</v>
      </c>
      <c r="J210" s="214">
        <f t="shared" si="131"/>
        <v>-0.1</v>
      </c>
      <c r="K210" s="214">
        <f t="shared" si="131"/>
        <v>-0.1</v>
      </c>
    </row>
    <row r="211" spans="3:11" x14ac:dyDescent="0.25">
      <c r="C211" s="29"/>
      <c r="D211" s="22"/>
      <c r="E211" s="1"/>
      <c r="F211" s="1"/>
      <c r="G211" s="1"/>
      <c r="H211" s="1"/>
      <c r="I211" s="1"/>
      <c r="J211" s="1"/>
      <c r="K211" s="1"/>
    </row>
    <row r="212" spans="3:11" x14ac:dyDescent="0.25">
      <c r="C212" s="13" t="s">
        <v>288</v>
      </c>
      <c r="D212" s="7"/>
    </row>
    <row r="213" spans="3:11" x14ac:dyDescent="0.25">
      <c r="C213" s="17" t="s">
        <v>289</v>
      </c>
      <c r="D213" s="187">
        <f t="shared" ref="D213:K213" si="132">D61+D62</f>
        <v>3440508245</v>
      </c>
      <c r="E213" s="187">
        <f t="shared" si="132"/>
        <v>3676868179</v>
      </c>
      <c r="F213" s="187">
        <f t="shared" si="132"/>
        <v>4142371678</v>
      </c>
      <c r="G213" s="187">
        <f t="shared" si="132"/>
        <v>5662503019.984663</v>
      </c>
      <c r="H213" s="187">
        <f t="shared" si="132"/>
        <v>7245923306.3655233</v>
      </c>
      <c r="I213" s="187">
        <f t="shared" si="132"/>
        <v>9056246805.8196812</v>
      </c>
      <c r="J213" s="187">
        <f t="shared" si="132"/>
        <v>11094659020.479927</v>
      </c>
      <c r="K213" s="187">
        <f t="shared" si="132"/>
        <v>13371998435.691502</v>
      </c>
    </row>
    <row r="214" spans="3:11" x14ac:dyDescent="0.25">
      <c r="C214" s="17" t="s">
        <v>290</v>
      </c>
      <c r="D214" s="187"/>
      <c r="E214" s="187">
        <f>AVERAGE(D213,E213)</f>
        <v>3558688212</v>
      </c>
      <c r="F214" s="187">
        <f t="shared" ref="F214:K214" si="133">AVERAGE(E213,F213)</f>
        <v>3909619928.5</v>
      </c>
      <c r="G214" s="187">
        <f t="shared" si="133"/>
        <v>4902437348.9923315</v>
      </c>
      <c r="H214" s="187">
        <f t="shared" si="133"/>
        <v>6454213163.1750927</v>
      </c>
      <c r="I214" s="187">
        <f t="shared" si="133"/>
        <v>8151085056.0926018</v>
      </c>
      <c r="J214" s="187">
        <f t="shared" si="133"/>
        <v>10075452913.149803</v>
      </c>
      <c r="K214" s="187">
        <f t="shared" si="133"/>
        <v>12233328728.085714</v>
      </c>
    </row>
    <row r="215" spans="3:11" x14ac:dyDescent="0.25">
      <c r="C215" s="17" t="s">
        <v>291</v>
      </c>
      <c r="D215" s="187"/>
      <c r="E215" s="1">
        <f>E218/E214</f>
        <v>4.0879007469508545E-2</v>
      </c>
      <c r="F215" s="1">
        <f t="shared" ref="F215" si="134">F218/F214</f>
        <v>3.4449577571003011E-2</v>
      </c>
      <c r="G215" s="214">
        <f>F215</f>
        <v>3.4449577571003011E-2</v>
      </c>
      <c r="H215" s="214">
        <f t="shared" ref="H215:K215" si="135">G215</f>
        <v>3.4449577571003011E-2</v>
      </c>
      <c r="I215" s="214">
        <f t="shared" si="135"/>
        <v>3.4449577571003011E-2</v>
      </c>
      <c r="J215" s="214">
        <f t="shared" si="135"/>
        <v>3.4449577571003011E-2</v>
      </c>
      <c r="K215" s="214">
        <f t="shared" si="135"/>
        <v>3.4449577571003011E-2</v>
      </c>
    </row>
    <row r="216" spans="3:11" x14ac:dyDescent="0.25">
      <c r="C216" s="29"/>
      <c r="D216" s="22"/>
      <c r="E216" s="1"/>
      <c r="F216" s="1"/>
      <c r="G216" s="1"/>
      <c r="H216" s="1"/>
      <c r="I216" s="1"/>
      <c r="J216" s="1"/>
      <c r="K216" s="1"/>
    </row>
    <row r="217" spans="3:11" x14ac:dyDescent="0.25">
      <c r="C217" s="6" t="s">
        <v>151</v>
      </c>
      <c r="D217" s="19">
        <f t="shared" ref="D217:F218" si="136">D26</f>
        <v>-5861229</v>
      </c>
      <c r="E217" s="19">
        <f t="shared" si="136"/>
        <v>-28447260</v>
      </c>
      <c r="F217" s="19">
        <f t="shared" si="136"/>
        <v>-105799381</v>
      </c>
      <c r="G217" s="273">
        <f>G210*G209</f>
        <v>-197340802.10000002</v>
      </c>
      <c r="H217" s="273">
        <f t="shared" ref="H217:K217" si="137">H210*H209</f>
        <v>-197340802.10000002</v>
      </c>
      <c r="I217" s="273">
        <f t="shared" si="137"/>
        <v>-197340802.10000002</v>
      </c>
      <c r="J217" s="273">
        <f t="shared" si="137"/>
        <v>-197340802.10000002</v>
      </c>
      <c r="K217" s="273">
        <f t="shared" si="137"/>
        <v>-197340802.10000002</v>
      </c>
    </row>
    <row r="218" spans="3:11" x14ac:dyDescent="0.25">
      <c r="C218" s="6" t="s">
        <v>292</v>
      </c>
      <c r="D218" s="187">
        <f t="shared" si="136"/>
        <v>127856085</v>
      </c>
      <c r="E218" s="187">
        <f t="shared" si="136"/>
        <v>145475642</v>
      </c>
      <c r="F218" s="187">
        <f t="shared" si="136"/>
        <v>134684755</v>
      </c>
      <c r="G218" s="187">
        <f>G215*F213</f>
        <v>142702954.44918689</v>
      </c>
      <c r="H218" s="187">
        <f t="shared" ref="H218:K218" si="138">H215*G213</f>
        <v>195070837.03300047</v>
      </c>
      <c r="I218" s="187">
        <f t="shared" si="138"/>
        <v>249618997.01617771</v>
      </c>
      <c r="J218" s="187">
        <f t="shared" si="138"/>
        <v>311983876.83923334</v>
      </c>
      <c r="K218" s="187">
        <f t="shared" si="138"/>
        <v>382206316.54985154</v>
      </c>
    </row>
    <row r="219" spans="3:11" x14ac:dyDescent="0.25">
      <c r="C219" s="6" t="s">
        <v>293</v>
      </c>
      <c r="D219" s="187">
        <f>SUM(D217:D218)</f>
        <v>121994856</v>
      </c>
      <c r="E219" s="187">
        <f t="shared" ref="E219:K219" si="139">SUM(E217:E218)</f>
        <v>117028382</v>
      </c>
      <c r="F219" s="187">
        <f t="shared" si="139"/>
        <v>28885374</v>
      </c>
      <c r="G219" s="187">
        <f t="shared" si="139"/>
        <v>-54637847.650813133</v>
      </c>
      <c r="H219" s="187">
        <f t="shared" si="139"/>
        <v>-2269965.0669995546</v>
      </c>
      <c r="I219" s="187">
        <f t="shared" si="139"/>
        <v>52278194.91617769</v>
      </c>
      <c r="J219" s="187">
        <f t="shared" si="139"/>
        <v>114643074.73923331</v>
      </c>
      <c r="K219" s="187">
        <f t="shared" si="139"/>
        <v>184865514.44985151</v>
      </c>
    </row>
    <row r="221" spans="3:11" x14ac:dyDescent="0.25">
      <c r="C221" s="13" t="s">
        <v>167</v>
      </c>
    </row>
    <row r="222" spans="3:11" x14ac:dyDescent="0.25">
      <c r="C222" s="48" t="s">
        <v>42</v>
      </c>
      <c r="D222" s="49">
        <f t="shared" ref="D222:K222" si="140">D$13</f>
        <v>2023</v>
      </c>
      <c r="E222" s="49">
        <f t="shared" si="140"/>
        <v>2024</v>
      </c>
      <c r="F222" s="49">
        <f t="shared" si="140"/>
        <v>2025</v>
      </c>
      <c r="G222" s="50">
        <f t="shared" si="140"/>
        <v>2026</v>
      </c>
      <c r="H222" s="50">
        <f t="shared" si="140"/>
        <v>2027</v>
      </c>
      <c r="I222" s="50">
        <f t="shared" si="140"/>
        <v>2028</v>
      </c>
      <c r="J222" s="50">
        <f t="shared" si="140"/>
        <v>2029</v>
      </c>
      <c r="K222" s="50">
        <f t="shared" si="140"/>
        <v>2030</v>
      </c>
    </row>
    <row r="223" spans="3:11" x14ac:dyDescent="0.25">
      <c r="C223" s="43" t="s">
        <v>43</v>
      </c>
      <c r="D223" s="258">
        <f t="shared" ref="D223:K223" si="141">D$14</f>
        <v>45291</v>
      </c>
      <c r="E223" s="234">
        <f t="shared" si="141"/>
        <v>45657</v>
      </c>
      <c r="F223" s="234">
        <f t="shared" si="141"/>
        <v>46022</v>
      </c>
      <c r="G223" s="234">
        <f t="shared" si="141"/>
        <v>46387</v>
      </c>
      <c r="H223" s="234">
        <f t="shared" si="141"/>
        <v>46752</v>
      </c>
      <c r="I223" s="234">
        <f t="shared" si="141"/>
        <v>47118</v>
      </c>
      <c r="J223" s="234">
        <f t="shared" si="141"/>
        <v>47483</v>
      </c>
      <c r="K223" s="234">
        <f t="shared" si="141"/>
        <v>47848</v>
      </c>
    </row>
    <row r="225" spans="3:11" x14ac:dyDescent="0.25">
      <c r="C225" s="13" t="s">
        <v>168</v>
      </c>
    </row>
    <row r="226" spans="3:11" x14ac:dyDescent="0.25">
      <c r="C226" s="17" t="s">
        <v>32</v>
      </c>
      <c r="D226" s="19"/>
      <c r="E226" s="187">
        <f>D229</f>
        <v>3301731675</v>
      </c>
      <c r="F226" s="187">
        <f t="shared" ref="F226:K226" si="142">E229</f>
        <v>4725547762</v>
      </c>
      <c r="G226" s="187">
        <f t="shared" si="142"/>
        <v>3062121606</v>
      </c>
      <c r="H226" s="187">
        <f t="shared" si="142"/>
        <v>4693743987.4548054</v>
      </c>
      <c r="I226" s="187">
        <f t="shared" si="142"/>
        <v>6613961575.1499176</v>
      </c>
      <c r="J226" s="187">
        <f t="shared" si="142"/>
        <v>8821624876.9494095</v>
      </c>
      <c r="K226" s="187">
        <f t="shared" si="142"/>
        <v>11315761469.735825</v>
      </c>
    </row>
    <row r="227" spans="3:11" x14ac:dyDescent="0.25">
      <c r="C227" s="17" t="s">
        <v>216</v>
      </c>
      <c r="D227" s="19">
        <f>D34</f>
        <v>1356230754</v>
      </c>
      <c r="E227" s="19">
        <f t="shared" ref="E227:K227" si="143">E34</f>
        <v>1826871586</v>
      </c>
      <c r="F227" s="19">
        <f t="shared" si="143"/>
        <v>2090353004</v>
      </c>
      <c r="G227" s="19">
        <f t="shared" si="143"/>
        <v>2386545640.4493437</v>
      </c>
      <c r="H227" s="19">
        <f t="shared" si="143"/>
        <v>2808668822.3422499</v>
      </c>
      <c r="I227" s="19">
        <f t="shared" si="143"/>
        <v>3229110662.1078916</v>
      </c>
      <c r="J227" s="19">
        <f t="shared" si="143"/>
        <v>3648130155.5156903</v>
      </c>
      <c r="K227" s="19">
        <f t="shared" si="143"/>
        <v>4078676971.0923433</v>
      </c>
    </row>
    <row r="228" spans="3:11" x14ac:dyDescent="0.25">
      <c r="C228" s="17" t="s">
        <v>169</v>
      </c>
      <c r="D228" s="243">
        <v>466183200</v>
      </c>
      <c r="E228" s="190">
        <v>582729000</v>
      </c>
      <c r="F228" s="190">
        <v>661212437</v>
      </c>
      <c r="G228" s="187">
        <f>G237*G33</f>
        <v>754923258.99453843</v>
      </c>
      <c r="H228" s="187">
        <f>H237*H33</f>
        <v>888451234.64713776</v>
      </c>
      <c r="I228" s="187">
        <f>I237*I33</f>
        <v>1021447360.3083997</v>
      </c>
      <c r="J228" s="187">
        <f>J237*J33</f>
        <v>1153993562.7292747</v>
      </c>
      <c r="K228" s="187">
        <f>K237*K33</f>
        <v>1290186141.5159309</v>
      </c>
    </row>
    <row r="229" spans="3:11" x14ac:dyDescent="0.25">
      <c r="C229" s="17" t="s">
        <v>170</v>
      </c>
      <c r="D229" s="19">
        <f>D102</f>
        <v>3301731675</v>
      </c>
      <c r="E229" s="19">
        <f>E102</f>
        <v>4725547762</v>
      </c>
      <c r="F229" s="19">
        <f>F102</f>
        <v>3062121606</v>
      </c>
      <c r="G229" s="187">
        <f>G226+G227-G228</f>
        <v>4693743987.4548054</v>
      </c>
      <c r="H229" s="187">
        <f t="shared" ref="H229:K229" si="144">H226+H227-H228</f>
        <v>6613961575.1499176</v>
      </c>
      <c r="I229" s="187">
        <f t="shared" si="144"/>
        <v>8821624876.9494095</v>
      </c>
      <c r="J229" s="187">
        <f t="shared" si="144"/>
        <v>11315761469.735825</v>
      </c>
      <c r="K229" s="187">
        <f t="shared" si="144"/>
        <v>14104252299.312237</v>
      </c>
    </row>
    <row r="230" spans="3:11" x14ac:dyDescent="0.25">
      <c r="D230" s="19"/>
      <c r="E230" s="187"/>
      <c r="F230" s="187"/>
      <c r="G230" s="187"/>
      <c r="H230" s="187"/>
      <c r="I230" s="187"/>
      <c r="J230" s="187"/>
      <c r="K230" s="187"/>
    </row>
    <row r="231" spans="3:11" x14ac:dyDescent="0.25">
      <c r="C231" s="13" t="s">
        <v>283</v>
      </c>
      <c r="D231" s="187"/>
      <c r="E231" s="187"/>
      <c r="F231" s="187"/>
      <c r="G231" s="187"/>
      <c r="H231" s="187"/>
      <c r="I231" s="187"/>
      <c r="J231" s="187"/>
      <c r="K231" s="187"/>
    </row>
    <row r="232" spans="3:11" x14ac:dyDescent="0.25">
      <c r="C232" s="17" t="s">
        <v>32</v>
      </c>
      <c r="D232" s="187"/>
      <c r="E232" s="187">
        <f>D235</f>
        <v>164000</v>
      </c>
      <c r="F232" s="187">
        <f t="shared" ref="F232:K232" si="145">E235</f>
        <v>140882</v>
      </c>
      <c r="G232" s="187">
        <f t="shared" si="145"/>
        <v>112771</v>
      </c>
      <c r="H232" s="187">
        <f t="shared" si="145"/>
        <v>144866.05227984008</v>
      </c>
      <c r="I232" s="187">
        <f t="shared" si="145"/>
        <v>182637.95622417814</v>
      </c>
      <c r="J232" s="187">
        <f t="shared" si="145"/>
        <v>226064.10058998567</v>
      </c>
      <c r="K232" s="187">
        <f t="shared" si="145"/>
        <v>275125.35719469568</v>
      </c>
    </row>
    <row r="233" spans="3:11" x14ac:dyDescent="0.25">
      <c r="C233" s="17" t="s">
        <v>284</v>
      </c>
      <c r="D233" s="187">
        <f>D35</f>
        <v>-36000</v>
      </c>
      <c r="E233" s="187">
        <f>E35</f>
        <v>-23118</v>
      </c>
      <c r="F233" s="187">
        <f>F35</f>
        <v>-28111</v>
      </c>
      <c r="G233" s="187">
        <f>-G239*G33</f>
        <v>32095.052279840089</v>
      </c>
      <c r="H233" s="187">
        <f>-H239*H33</f>
        <v>37771.903944338075</v>
      </c>
      <c r="I233" s="187">
        <f>-I239*I33</f>
        <v>43426.144365807544</v>
      </c>
      <c r="J233" s="187">
        <f>-J239*J33</f>
        <v>49061.256604710004</v>
      </c>
      <c r="K233" s="187">
        <f>-K239*K33</f>
        <v>54851.392071069487</v>
      </c>
    </row>
    <row r="234" spans="3:11" x14ac:dyDescent="0.25">
      <c r="C234" s="17" t="s">
        <v>285</v>
      </c>
      <c r="D234" s="190">
        <v>0</v>
      </c>
      <c r="E234" s="190">
        <v>0</v>
      </c>
      <c r="F234" s="190">
        <v>0</v>
      </c>
      <c r="G234" s="187">
        <f>F234</f>
        <v>0</v>
      </c>
      <c r="H234" s="187">
        <f t="shared" ref="H234:K234" si="146">G234</f>
        <v>0</v>
      </c>
      <c r="I234" s="187">
        <f t="shared" si="146"/>
        <v>0</v>
      </c>
      <c r="J234" s="187">
        <f t="shared" si="146"/>
        <v>0</v>
      </c>
      <c r="K234" s="187">
        <f t="shared" si="146"/>
        <v>0</v>
      </c>
    </row>
    <row r="235" spans="3:11" x14ac:dyDescent="0.25">
      <c r="C235" s="17" t="s">
        <v>170</v>
      </c>
      <c r="D235" s="187">
        <f>D104</f>
        <v>164000</v>
      </c>
      <c r="E235" s="187">
        <f>E104</f>
        <v>140882</v>
      </c>
      <c r="F235" s="187">
        <f>F104</f>
        <v>112771</v>
      </c>
      <c r="G235" s="187">
        <f>G232+G233-G234</f>
        <v>144866.05227984008</v>
      </c>
      <c r="H235" s="187">
        <f t="shared" ref="H235:K235" si="147">H232+H233-H234</f>
        <v>182637.95622417814</v>
      </c>
      <c r="I235" s="187">
        <f t="shared" si="147"/>
        <v>226064.10058998567</v>
      </c>
      <c r="J235" s="187">
        <f t="shared" si="147"/>
        <v>275125.35719469568</v>
      </c>
      <c r="K235" s="187">
        <f t="shared" si="147"/>
        <v>329976.74926576519</v>
      </c>
    </row>
    <row r="236" spans="3:11" x14ac:dyDescent="0.25">
      <c r="D236" s="187"/>
      <c r="E236" s="187"/>
      <c r="F236" s="187"/>
      <c r="G236" s="187"/>
      <c r="H236" s="187"/>
      <c r="I236" s="187"/>
      <c r="J236" s="187"/>
      <c r="K236" s="187"/>
    </row>
    <row r="237" spans="3:11" x14ac:dyDescent="0.25">
      <c r="C237" s="6" t="s">
        <v>217</v>
      </c>
      <c r="D237" s="1">
        <f>D228/D33</f>
        <v>0.34374355056677941</v>
      </c>
      <c r="E237" s="1">
        <f>E228/E33</f>
        <v>0.31898047933770934</v>
      </c>
      <c r="F237" s="1">
        <f>F228/F33</f>
        <v>0.31632041469450173</v>
      </c>
      <c r="G237" s="214">
        <f>F237</f>
        <v>0.31632041469450173</v>
      </c>
      <c r="H237" s="214">
        <f t="shared" ref="H237:K239" si="148">G237</f>
        <v>0.31632041469450173</v>
      </c>
      <c r="I237" s="214">
        <f t="shared" si="148"/>
        <v>0.31632041469450173</v>
      </c>
      <c r="J237" s="214">
        <f t="shared" si="148"/>
        <v>0.31632041469450173</v>
      </c>
      <c r="K237" s="214">
        <f t="shared" si="148"/>
        <v>0.31632041469450173</v>
      </c>
    </row>
    <row r="238" spans="3:11" x14ac:dyDescent="0.25">
      <c r="C238" s="6" t="s">
        <v>286</v>
      </c>
      <c r="D238" s="22"/>
      <c r="E238" s="22"/>
      <c r="F238" s="22"/>
      <c r="G238" s="214"/>
      <c r="H238" s="214"/>
      <c r="I238" s="214"/>
      <c r="J238" s="214"/>
      <c r="K238" s="214"/>
    </row>
    <row r="239" spans="3:11" x14ac:dyDescent="0.25">
      <c r="C239" s="6" t="s">
        <v>287</v>
      </c>
      <c r="D239" s="22">
        <f>D233/D33</f>
        <v>-2.6544860090205009E-5</v>
      </c>
      <c r="E239" s="22">
        <f>E233/E33</f>
        <v>-1.2654579952823979E-5</v>
      </c>
      <c r="F239" s="22">
        <f>F233/F33</f>
        <v>-1.3448148703647476E-5</v>
      </c>
      <c r="G239" s="214">
        <f>F239</f>
        <v>-1.3448148703647476E-5</v>
      </c>
      <c r="H239" s="214">
        <f t="shared" si="148"/>
        <v>-1.3448148703647476E-5</v>
      </c>
      <c r="I239" s="214">
        <f t="shared" si="148"/>
        <v>-1.3448148703647476E-5</v>
      </c>
      <c r="J239" s="214">
        <f t="shared" si="148"/>
        <v>-1.3448148703647476E-5</v>
      </c>
      <c r="K239" s="214">
        <f t="shared" si="148"/>
        <v>-1.3448148703647476E-5</v>
      </c>
    </row>
    <row r="240" spans="3:11" x14ac:dyDescent="0.25">
      <c r="D240" s="19"/>
      <c r="E240" s="187"/>
      <c r="F240" s="187"/>
      <c r="G240" s="187"/>
      <c r="H240" s="187"/>
      <c r="I240" s="187"/>
      <c r="J240" s="187"/>
      <c r="K240" s="187"/>
    </row>
    <row r="241" spans="3:11" x14ac:dyDescent="0.25">
      <c r="C241" s="13" t="s">
        <v>218</v>
      </c>
    </row>
    <row r="242" spans="3:11" x14ac:dyDescent="0.25">
      <c r="C242" s="48" t="s">
        <v>42</v>
      </c>
      <c r="D242" s="49">
        <f t="shared" ref="D242:K242" si="149">D$13</f>
        <v>2023</v>
      </c>
      <c r="E242" s="49">
        <f t="shared" si="149"/>
        <v>2024</v>
      </c>
      <c r="F242" s="49">
        <f t="shared" si="149"/>
        <v>2025</v>
      </c>
      <c r="G242" s="50">
        <f t="shared" si="149"/>
        <v>2026</v>
      </c>
      <c r="H242" s="50">
        <f t="shared" si="149"/>
        <v>2027</v>
      </c>
      <c r="I242" s="50">
        <f t="shared" si="149"/>
        <v>2028</v>
      </c>
      <c r="J242" s="50">
        <f t="shared" si="149"/>
        <v>2029</v>
      </c>
      <c r="K242" s="50">
        <f t="shared" si="149"/>
        <v>2030</v>
      </c>
    </row>
    <row r="243" spans="3:11" x14ac:dyDescent="0.25">
      <c r="C243" s="43" t="s">
        <v>43</v>
      </c>
      <c r="D243" s="258">
        <f t="shared" ref="D243:K243" si="150">D$14</f>
        <v>45291</v>
      </c>
      <c r="E243" s="234">
        <f t="shared" si="150"/>
        <v>45657</v>
      </c>
      <c r="F243" s="234">
        <f t="shared" si="150"/>
        <v>46022</v>
      </c>
      <c r="G243" s="234">
        <f t="shared" si="150"/>
        <v>46387</v>
      </c>
      <c r="H243" s="234">
        <f t="shared" si="150"/>
        <v>46752</v>
      </c>
      <c r="I243" s="234">
        <f t="shared" si="150"/>
        <v>47118</v>
      </c>
      <c r="J243" s="234">
        <f t="shared" si="150"/>
        <v>47483</v>
      </c>
      <c r="K243" s="234">
        <f t="shared" si="150"/>
        <v>47848</v>
      </c>
    </row>
    <row r="244" spans="3:11" x14ac:dyDescent="0.25">
      <c r="C244" s="246"/>
      <c r="D244" s="265"/>
      <c r="E244" s="247"/>
      <c r="F244" s="247"/>
      <c r="G244" s="247"/>
      <c r="H244" s="247"/>
      <c r="I244" s="247"/>
      <c r="J244" s="247"/>
      <c r="K244" s="247"/>
    </row>
    <row r="245" spans="3:11" x14ac:dyDescent="0.25">
      <c r="C245" s="230" t="s">
        <v>32</v>
      </c>
      <c r="D245" s="19">
        <v>179633131</v>
      </c>
      <c r="E245" s="187">
        <f>D249</f>
        <v>107177789</v>
      </c>
      <c r="F245" s="187">
        <f t="shared" ref="F245:K245" si="151">E249</f>
        <v>70612641</v>
      </c>
      <c r="G245" s="187">
        <f t="shared" si="151"/>
        <v>251081318</v>
      </c>
      <c r="H245" s="187">
        <f t="shared" si="151"/>
        <v>256808788.73169094</v>
      </c>
      <c r="I245" s="187">
        <f t="shared" si="151"/>
        <v>272540538.71845728</v>
      </c>
      <c r="J245" s="187">
        <f t="shared" si="151"/>
        <v>295342404.03027654</v>
      </c>
      <c r="K245" s="187">
        <f t="shared" si="151"/>
        <v>322941907.87173086</v>
      </c>
    </row>
    <row r="246" spans="3:11" x14ac:dyDescent="0.25">
      <c r="C246" s="230" t="s">
        <v>184</v>
      </c>
      <c r="D246" s="243">
        <v>406748</v>
      </c>
      <c r="E246" s="190">
        <v>121475</v>
      </c>
      <c r="F246" s="190">
        <v>9728058</v>
      </c>
      <c r="G246" s="187">
        <f>G250*G16</f>
        <v>11428237.955685554</v>
      </c>
      <c r="H246" s="187">
        <f>H250*H16</f>
        <v>13124521.900649553</v>
      </c>
      <c r="I246" s="187">
        <f>I250*I16</f>
        <v>14816363.095971933</v>
      </c>
      <c r="J246" s="187">
        <f>J250*J16</f>
        <v>16476148.608985677</v>
      </c>
      <c r="K246" s="187">
        <f>K250*K16</f>
        <v>18159710.87220595</v>
      </c>
    </row>
    <row r="247" spans="3:11" x14ac:dyDescent="0.25">
      <c r="C247" s="230" t="s">
        <v>279</v>
      </c>
      <c r="D247" s="243">
        <f>D309</f>
        <v>37474057</v>
      </c>
      <c r="E247" s="243">
        <f t="shared" ref="E247:K247" si="152">E309</f>
        <v>45548696</v>
      </c>
      <c r="F247" s="243">
        <f t="shared" si="152"/>
        <v>53198672</v>
      </c>
      <c r="G247" s="187">
        <f t="shared" si="152"/>
        <v>67172217.181570441</v>
      </c>
      <c r="H247" s="187">
        <f t="shared" si="152"/>
        <v>77142534.040088952</v>
      </c>
      <c r="I247" s="187">
        <f t="shared" si="152"/>
        <v>87086737.56906642</v>
      </c>
      <c r="J247" s="187">
        <f t="shared" si="152"/>
        <v>96842526.115586534</v>
      </c>
      <c r="K247" s="187">
        <f t="shared" si="152"/>
        <v>106738068.22997408</v>
      </c>
    </row>
    <row r="248" spans="3:11" x14ac:dyDescent="0.25">
      <c r="C248" s="230" t="s">
        <v>185</v>
      </c>
      <c r="D248" s="243">
        <v>41879191</v>
      </c>
      <c r="E248" s="190">
        <v>37226686</v>
      </c>
      <c r="F248" s="190">
        <v>74966587</v>
      </c>
      <c r="G248" s="187">
        <f>G251*G245</f>
        <v>72872984.405565098</v>
      </c>
      <c r="H248" s="187">
        <f t="shared" ref="H248:K248" si="153">H251*H245</f>
        <v>74535305.953972161</v>
      </c>
      <c r="I248" s="187">
        <f t="shared" si="153"/>
        <v>79101235.353219107</v>
      </c>
      <c r="J248" s="187">
        <f t="shared" si="153"/>
        <v>85719170.88311784</v>
      </c>
      <c r="K248" s="187">
        <f t="shared" si="153"/>
        <v>93729556.638061315</v>
      </c>
    </row>
    <row r="249" spans="3:11" x14ac:dyDescent="0.25">
      <c r="C249" s="230" t="s">
        <v>35</v>
      </c>
      <c r="D249" s="19">
        <f>D69</f>
        <v>107177789</v>
      </c>
      <c r="E249" s="19">
        <f>E69</f>
        <v>70612641</v>
      </c>
      <c r="F249" s="19">
        <f>F69</f>
        <v>251081318</v>
      </c>
      <c r="G249" s="187">
        <f>G245+G246+G247-G248</f>
        <v>256808788.73169094</v>
      </c>
      <c r="H249" s="187">
        <f t="shared" ref="H249:K249" si="154">H245+H246+H247-H248</f>
        <v>272540538.71845728</v>
      </c>
      <c r="I249" s="187">
        <f t="shared" si="154"/>
        <v>295342404.03027654</v>
      </c>
      <c r="J249" s="187">
        <f t="shared" si="154"/>
        <v>322941907.87173086</v>
      </c>
      <c r="K249" s="187">
        <f t="shared" si="154"/>
        <v>354110130.33584964</v>
      </c>
    </row>
    <row r="250" spans="3:11" x14ac:dyDescent="0.25">
      <c r="C250" s="230" t="s">
        <v>186</v>
      </c>
      <c r="D250" s="37">
        <f>D246/D16</f>
        <v>6.8959474185213056E-5</v>
      </c>
      <c r="E250" s="37">
        <f>E246/E16</f>
        <v>1.6400482233879618E-5</v>
      </c>
      <c r="F250" s="37">
        <f>F246/F16</f>
        <v>1.0278051991475504E-3</v>
      </c>
      <c r="G250" s="250">
        <f>F250</f>
        <v>1.0278051991475504E-3</v>
      </c>
      <c r="H250" s="250">
        <f>G250</f>
        <v>1.0278051991475504E-3</v>
      </c>
      <c r="I250" s="250">
        <f t="shared" ref="I250:K250" si="155">H250</f>
        <v>1.0278051991475504E-3</v>
      </c>
      <c r="J250" s="250">
        <f t="shared" si="155"/>
        <v>1.0278051991475504E-3</v>
      </c>
      <c r="K250" s="250">
        <f t="shared" si="155"/>
        <v>1.0278051991475504E-3</v>
      </c>
    </row>
    <row r="251" spans="3:11" x14ac:dyDescent="0.25">
      <c r="C251" s="230" t="s">
        <v>278</v>
      </c>
      <c r="D251" s="37">
        <f>D248/D245</f>
        <v>0.23313734368967828</v>
      </c>
      <c r="E251" s="37">
        <f t="shared" ref="E251:F251" si="156">E248/E245</f>
        <v>0.34733582720203343</v>
      </c>
      <c r="F251" s="37">
        <f t="shared" si="156"/>
        <v>1.0616595830199864</v>
      </c>
      <c r="G251" s="250">
        <f>AVERAGE(D251:E251)</f>
        <v>0.29023658544585584</v>
      </c>
      <c r="H251" s="250">
        <f t="shared" ref="H251:K251" si="157">G251</f>
        <v>0.29023658544585584</v>
      </c>
      <c r="I251" s="250">
        <f t="shared" si="157"/>
        <v>0.29023658544585584</v>
      </c>
      <c r="J251" s="250">
        <f t="shared" si="157"/>
        <v>0.29023658544585584</v>
      </c>
      <c r="K251" s="250">
        <f t="shared" si="157"/>
        <v>0.29023658544585584</v>
      </c>
    </row>
    <row r="253" spans="3:11" x14ac:dyDescent="0.25">
      <c r="C253" s="13" t="s">
        <v>188</v>
      </c>
    </row>
    <row r="254" spans="3:11" x14ac:dyDescent="0.25">
      <c r="C254" s="48" t="s">
        <v>42</v>
      </c>
      <c r="D254" s="49">
        <f t="shared" ref="D254:K254" si="158">D$13</f>
        <v>2023</v>
      </c>
      <c r="E254" s="49">
        <f t="shared" si="158"/>
        <v>2024</v>
      </c>
      <c r="F254" s="49">
        <f t="shared" si="158"/>
        <v>2025</v>
      </c>
      <c r="G254" s="50">
        <f t="shared" si="158"/>
        <v>2026</v>
      </c>
      <c r="H254" s="50">
        <f t="shared" si="158"/>
        <v>2027</v>
      </c>
      <c r="I254" s="50">
        <f t="shared" si="158"/>
        <v>2028</v>
      </c>
      <c r="J254" s="50">
        <f t="shared" si="158"/>
        <v>2029</v>
      </c>
      <c r="K254" s="50">
        <f t="shared" si="158"/>
        <v>2030</v>
      </c>
    </row>
    <row r="255" spans="3:11" x14ac:dyDescent="0.25">
      <c r="C255" s="43" t="s">
        <v>43</v>
      </c>
      <c r="D255" s="258">
        <f t="shared" ref="D255:K255" si="159">D$14</f>
        <v>45291</v>
      </c>
      <c r="E255" s="234">
        <f t="shared" si="159"/>
        <v>45657</v>
      </c>
      <c r="F255" s="234">
        <f t="shared" si="159"/>
        <v>46022</v>
      </c>
      <c r="G255" s="234">
        <f t="shared" si="159"/>
        <v>46387</v>
      </c>
      <c r="H255" s="234">
        <f t="shared" si="159"/>
        <v>46752</v>
      </c>
      <c r="I255" s="234">
        <f t="shared" si="159"/>
        <v>47118</v>
      </c>
      <c r="J255" s="234">
        <f t="shared" si="159"/>
        <v>47483</v>
      </c>
      <c r="K255" s="234">
        <f t="shared" si="159"/>
        <v>47848</v>
      </c>
    </row>
    <row r="256" spans="3:11" x14ac:dyDescent="0.25">
      <c r="C256" s="246"/>
      <c r="D256" s="265"/>
      <c r="E256" s="247"/>
      <c r="F256" s="247"/>
      <c r="G256" s="247"/>
      <c r="H256" s="247"/>
      <c r="I256" s="247"/>
      <c r="J256" s="247"/>
      <c r="K256" s="247"/>
    </row>
    <row r="257" spans="3:11" x14ac:dyDescent="0.25">
      <c r="C257" s="6" t="s">
        <v>189</v>
      </c>
      <c r="D257" s="19"/>
      <c r="E257" s="187">
        <f>D260</f>
        <v>230798737</v>
      </c>
      <c r="F257" s="187">
        <f t="shared" ref="F257:K257" si="160">E260</f>
        <v>557750104</v>
      </c>
      <c r="G257" s="187">
        <f t="shared" si="160"/>
        <v>596096775</v>
      </c>
      <c r="H257" s="187">
        <f t="shared" si="160"/>
        <v>594224076.47780323</v>
      </c>
      <c r="I257" s="187">
        <f t="shared" si="160"/>
        <v>592073414.85672128</v>
      </c>
      <c r="J257" s="187">
        <f t="shared" si="160"/>
        <v>589645518.15193188</v>
      </c>
      <c r="K257" s="187">
        <f t="shared" si="160"/>
        <v>586945639.19673467</v>
      </c>
    </row>
    <row r="258" spans="3:11" x14ac:dyDescent="0.25">
      <c r="C258" s="6" t="s">
        <v>190</v>
      </c>
      <c r="D258" s="243">
        <v>181340249</v>
      </c>
      <c r="E258" s="190">
        <v>403630592</v>
      </c>
      <c r="F258" s="190">
        <v>93354432</v>
      </c>
      <c r="G258" s="187">
        <f>G264*G$16</f>
        <v>109670055.74122463</v>
      </c>
      <c r="H258" s="187">
        <f t="shared" ref="H258:K258" si="161">H264*H$16</f>
        <v>125948291.76663004</v>
      </c>
      <c r="I258" s="187">
        <f t="shared" si="161"/>
        <v>142183893.3454366</v>
      </c>
      <c r="J258" s="187">
        <f t="shared" si="161"/>
        <v>158111875.45751145</v>
      </c>
      <c r="K258" s="187">
        <f t="shared" si="161"/>
        <v>174268029.01041618</v>
      </c>
    </row>
    <row r="259" spans="3:11" x14ac:dyDescent="0.25">
      <c r="C259" s="6" t="s">
        <v>191</v>
      </c>
      <c r="D259" s="243">
        <v>26716090</v>
      </c>
      <c r="E259" s="190">
        <v>75634690</v>
      </c>
      <c r="F259" s="190">
        <v>94948529</v>
      </c>
      <c r="G259" s="187">
        <f t="shared" ref="G259:K259" si="162">G265*G$16</f>
        <v>111542754.26342139</v>
      </c>
      <c r="H259" s="187">
        <f t="shared" si="162"/>
        <v>128098953.38771203</v>
      </c>
      <c r="I259" s="187">
        <f t="shared" si="162"/>
        <v>144611790.05022594</v>
      </c>
      <c r="J259" s="187">
        <f t="shared" si="162"/>
        <v>160811754.4127087</v>
      </c>
      <c r="K259" s="187">
        <f t="shared" si="162"/>
        <v>177243786.41464329</v>
      </c>
    </row>
    <row r="260" spans="3:11" x14ac:dyDescent="0.25">
      <c r="C260" s="6" t="s">
        <v>192</v>
      </c>
      <c r="D260" s="19">
        <f>D68</f>
        <v>230798737</v>
      </c>
      <c r="E260" s="19">
        <f>E68</f>
        <v>557750104</v>
      </c>
      <c r="F260" s="19">
        <f>F68</f>
        <v>596096775</v>
      </c>
      <c r="G260" s="187">
        <f>G257+G258-G259</f>
        <v>594224076.47780323</v>
      </c>
      <c r="H260" s="187">
        <f t="shared" ref="H260:K260" si="163">H257+H258-H259</f>
        <v>592073414.85672128</v>
      </c>
      <c r="I260" s="187">
        <f t="shared" si="163"/>
        <v>589645518.15193188</v>
      </c>
      <c r="J260" s="187">
        <f t="shared" si="163"/>
        <v>586945639.19673467</v>
      </c>
      <c r="K260" s="187">
        <f t="shared" si="163"/>
        <v>583969881.79250753</v>
      </c>
    </row>
    <row r="261" spans="3:11" x14ac:dyDescent="0.25">
      <c r="C261" s="6" t="s">
        <v>193</v>
      </c>
      <c r="E261" s="187">
        <f>D262</f>
        <v>224079461</v>
      </c>
      <c r="F261" s="187">
        <f t="shared" ref="F261:K261" si="164">E262</f>
        <v>566014883</v>
      </c>
      <c r="G261" s="187">
        <f t="shared" si="164"/>
        <v>653479281</v>
      </c>
      <c r="H261" s="187">
        <f t="shared" si="164"/>
        <v>651606582.47780323</v>
      </c>
      <c r="I261" s="187">
        <f t="shared" si="164"/>
        <v>649455920.85672128</v>
      </c>
      <c r="J261" s="187">
        <f t="shared" si="164"/>
        <v>647028024.15193188</v>
      </c>
      <c r="K261" s="187">
        <f t="shared" si="164"/>
        <v>644328145.19673467</v>
      </c>
    </row>
    <row r="262" spans="3:11" x14ac:dyDescent="0.25">
      <c r="C262" s="6" t="s">
        <v>194</v>
      </c>
      <c r="D262" s="19">
        <f>D86+D91</f>
        <v>224079461</v>
      </c>
      <c r="E262" s="19">
        <f>E86+E91</f>
        <v>566014883</v>
      </c>
      <c r="F262" s="19">
        <f>F86+F91</f>
        <v>653479281</v>
      </c>
      <c r="G262" s="187">
        <f>G261+G258-G259</f>
        <v>651606582.47780323</v>
      </c>
      <c r="H262" s="187">
        <f t="shared" ref="H262:K262" si="165">H261+H258-H259</f>
        <v>649455920.85672128</v>
      </c>
      <c r="I262" s="187">
        <f t="shared" si="165"/>
        <v>647028024.15193188</v>
      </c>
      <c r="J262" s="187">
        <f t="shared" si="165"/>
        <v>644328145.19673467</v>
      </c>
      <c r="K262" s="187">
        <f t="shared" si="165"/>
        <v>641352387.79250753</v>
      </c>
    </row>
    <row r="263" spans="3:11" x14ac:dyDescent="0.25">
      <c r="C263" s="6" t="s">
        <v>195</v>
      </c>
      <c r="D263" s="264">
        <f>D86/(D86+D91)</f>
        <v>5.3502324338418505E-2</v>
      </c>
      <c r="E263" s="264">
        <f>E86/(E86+E91)</f>
        <v>0.15017591507395045</v>
      </c>
      <c r="F263" s="264">
        <f>F86/(F86+F91)</f>
        <v>0.16791689681742183</v>
      </c>
      <c r="G263" s="211">
        <f>F263</f>
        <v>0.16791689681742183</v>
      </c>
      <c r="H263" s="211">
        <f>G263</f>
        <v>0.16791689681742183</v>
      </c>
      <c r="I263" s="211">
        <f t="shared" ref="I263:K264" si="166">H263</f>
        <v>0.16791689681742183</v>
      </c>
      <c r="J263" s="211">
        <f t="shared" si="166"/>
        <v>0.16791689681742183</v>
      </c>
      <c r="K263" s="211">
        <f t="shared" si="166"/>
        <v>0.16791689681742183</v>
      </c>
    </row>
    <row r="264" spans="3:11" x14ac:dyDescent="0.25">
      <c r="C264" s="6" t="s">
        <v>196</v>
      </c>
      <c r="D264" s="22">
        <f>D258/D16</f>
        <v>3.0744166460942916E-2</v>
      </c>
      <c r="E264" s="22">
        <f>E258/E16</f>
        <v>5.4494639663686457E-2</v>
      </c>
      <c r="F264" s="22">
        <f>F258/F16</f>
        <v>9.8632399779140355E-3</v>
      </c>
      <c r="G264" s="214">
        <f>F264</f>
        <v>9.8632399779140355E-3</v>
      </c>
      <c r="H264" s="214">
        <f>G264</f>
        <v>9.8632399779140355E-3</v>
      </c>
      <c r="I264" s="214">
        <f t="shared" si="166"/>
        <v>9.8632399779140355E-3</v>
      </c>
      <c r="J264" s="214">
        <f t="shared" si="166"/>
        <v>9.8632399779140355E-3</v>
      </c>
      <c r="K264" s="214">
        <f t="shared" si="166"/>
        <v>9.8632399779140355E-3</v>
      </c>
    </row>
    <row r="265" spans="3:11" x14ac:dyDescent="0.25">
      <c r="C265" s="6" t="s">
        <v>197</v>
      </c>
      <c r="D265" s="22">
        <f>D259/D16</f>
        <v>4.5294076889986646E-3</v>
      </c>
      <c r="E265" s="22">
        <f>E259/E16</f>
        <v>1.0211528212471638E-2</v>
      </c>
      <c r="F265" s="22">
        <f>F259/F16</f>
        <v>1.0031662204071147E-2</v>
      </c>
      <c r="G265" s="214">
        <f>F265</f>
        <v>1.0031662204071147E-2</v>
      </c>
      <c r="H265" s="214">
        <f t="shared" ref="H265:K265" si="167">G265</f>
        <v>1.0031662204071147E-2</v>
      </c>
      <c r="I265" s="214">
        <f t="shared" si="167"/>
        <v>1.0031662204071147E-2</v>
      </c>
      <c r="J265" s="214">
        <f t="shared" si="167"/>
        <v>1.0031662204071147E-2</v>
      </c>
      <c r="K265" s="214">
        <f t="shared" si="167"/>
        <v>1.0031662204071147E-2</v>
      </c>
    </row>
    <row r="267" spans="3:11" x14ac:dyDescent="0.25">
      <c r="C267" s="13" t="s">
        <v>258</v>
      </c>
    </row>
    <row r="268" spans="3:11" x14ac:dyDescent="0.25">
      <c r="C268" s="48" t="s">
        <v>42</v>
      </c>
      <c r="D268" s="49">
        <f t="shared" ref="D268:K268" si="168">D$13</f>
        <v>2023</v>
      </c>
      <c r="E268" s="49">
        <f t="shared" si="168"/>
        <v>2024</v>
      </c>
      <c r="F268" s="49">
        <f t="shared" si="168"/>
        <v>2025</v>
      </c>
      <c r="G268" s="50">
        <f t="shared" si="168"/>
        <v>2026</v>
      </c>
      <c r="H268" s="50">
        <f t="shared" si="168"/>
        <v>2027</v>
      </c>
      <c r="I268" s="50">
        <f t="shared" si="168"/>
        <v>2028</v>
      </c>
      <c r="J268" s="50">
        <f t="shared" si="168"/>
        <v>2029</v>
      </c>
      <c r="K268" s="50">
        <f t="shared" si="168"/>
        <v>2030</v>
      </c>
    </row>
    <row r="269" spans="3:11" x14ac:dyDescent="0.25">
      <c r="C269" s="43" t="s">
        <v>43</v>
      </c>
      <c r="D269" s="258">
        <f t="shared" ref="D269:K269" si="169">D$14</f>
        <v>45291</v>
      </c>
      <c r="E269" s="234">
        <f t="shared" si="169"/>
        <v>45657</v>
      </c>
      <c r="F269" s="234">
        <f t="shared" si="169"/>
        <v>46022</v>
      </c>
      <c r="G269" s="234">
        <f t="shared" si="169"/>
        <v>46387</v>
      </c>
      <c r="H269" s="234">
        <f t="shared" si="169"/>
        <v>46752</v>
      </c>
      <c r="I269" s="234">
        <f t="shared" si="169"/>
        <v>47118</v>
      </c>
      <c r="J269" s="234">
        <f t="shared" si="169"/>
        <v>47483</v>
      </c>
      <c r="K269" s="234">
        <f t="shared" si="169"/>
        <v>47848</v>
      </c>
    </row>
    <row r="271" spans="3:11" x14ac:dyDescent="0.25">
      <c r="C271" s="6" t="s">
        <v>32</v>
      </c>
      <c r="D271" s="19">
        <v>307462112</v>
      </c>
      <c r="E271" s="187">
        <f>D274</f>
        <v>360689127</v>
      </c>
      <c r="F271" s="187">
        <f t="shared" ref="F271:K271" si="170">E274</f>
        <v>387235689</v>
      </c>
      <c r="G271" s="187">
        <f t="shared" si="170"/>
        <v>596341932</v>
      </c>
      <c r="H271" s="187">
        <f t="shared" si="170"/>
        <v>623159312.62683475</v>
      </c>
      <c r="I271" s="187">
        <f t="shared" si="170"/>
        <v>651182665.6414783</v>
      </c>
      <c r="J271" s="187">
        <f t="shared" si="170"/>
        <v>680466223.38751376</v>
      </c>
      <c r="K271" s="187">
        <f t="shared" si="170"/>
        <v>711066657.02646124</v>
      </c>
    </row>
    <row r="272" spans="3:11" x14ac:dyDescent="0.25">
      <c r="C272" s="6" t="s">
        <v>200</v>
      </c>
      <c r="D272" s="243">
        <f>53971227+13789543</f>
        <v>67760770</v>
      </c>
      <c r="E272" s="190">
        <f>63853550+14041594</f>
        <v>77895144</v>
      </c>
      <c r="F272" s="190">
        <f>44168729+25338042</f>
        <v>69506771</v>
      </c>
      <c r="G272" s="187">
        <f>G275*G271</f>
        <v>107040242.62913838</v>
      </c>
      <c r="H272" s="187">
        <f t="shared" ref="H272:K272" si="171">H275*H271</f>
        <v>111853821.50887133</v>
      </c>
      <c r="I272" s="187">
        <f t="shared" si="171"/>
        <v>116883866.0940464</v>
      </c>
      <c r="J272" s="187">
        <f t="shared" si="171"/>
        <v>122140110.80531052</v>
      </c>
      <c r="K272" s="187">
        <f t="shared" si="171"/>
        <v>127632727.81831269</v>
      </c>
    </row>
    <row r="273" spans="3:11" x14ac:dyDescent="0.25">
      <c r="C273" s="6" t="s">
        <v>219</v>
      </c>
      <c r="D273" s="243">
        <v>19996797</v>
      </c>
      <c r="E273" s="190">
        <v>54275657</v>
      </c>
      <c r="F273" s="190">
        <v>72823120</v>
      </c>
      <c r="G273" s="187">
        <f>G276*G271</f>
        <v>80222862.0023036</v>
      </c>
      <c r="H273" s="187">
        <f t="shared" ref="H273:K273" si="172">H276*H271</f>
        <v>83830468.494227782</v>
      </c>
      <c r="I273" s="187">
        <f t="shared" si="172"/>
        <v>87600308.348010853</v>
      </c>
      <c r="J273" s="187">
        <f t="shared" si="172"/>
        <v>91539677.166363016</v>
      </c>
      <c r="K273" s="187">
        <f t="shared" si="172"/>
        <v>95656198.633828655</v>
      </c>
    </row>
    <row r="274" spans="3:11" x14ac:dyDescent="0.25">
      <c r="C274" s="6" t="s">
        <v>35</v>
      </c>
      <c r="D274" s="19">
        <f>D92</f>
        <v>360689127</v>
      </c>
      <c r="E274" s="19">
        <f>E92</f>
        <v>387235689</v>
      </c>
      <c r="F274" s="19">
        <f>F92</f>
        <v>596341932</v>
      </c>
      <c r="G274" s="187">
        <f>G271+G272-G273</f>
        <v>623159312.62683475</v>
      </c>
      <c r="H274" s="187">
        <f t="shared" ref="H274:K274" si="173">H271+H272-H273</f>
        <v>651182665.6414783</v>
      </c>
      <c r="I274" s="187">
        <f t="shared" si="173"/>
        <v>680466223.38751376</v>
      </c>
      <c r="J274" s="187">
        <f t="shared" si="173"/>
        <v>711066657.02646124</v>
      </c>
      <c r="K274" s="187">
        <f t="shared" si="173"/>
        <v>743043186.21094525</v>
      </c>
    </row>
    <row r="275" spans="3:11" x14ac:dyDescent="0.25">
      <c r="C275" s="6" t="s">
        <v>201</v>
      </c>
      <c r="D275" s="264">
        <f>D272/D271</f>
        <v>0.22038738223459547</v>
      </c>
      <c r="E275" s="264">
        <f t="shared" ref="E275:F275" si="174">E272/E271</f>
        <v>0.21596199654779169</v>
      </c>
      <c r="F275" s="264">
        <f t="shared" si="174"/>
        <v>0.17949474434935153</v>
      </c>
      <c r="G275" s="211">
        <f>F275</f>
        <v>0.17949474434935153</v>
      </c>
      <c r="H275" s="211">
        <f>G275</f>
        <v>0.17949474434935153</v>
      </c>
      <c r="I275" s="211">
        <f t="shared" ref="I275:K275" si="175">H275</f>
        <v>0.17949474434935153</v>
      </c>
      <c r="J275" s="211">
        <f t="shared" si="175"/>
        <v>0.17949474434935153</v>
      </c>
      <c r="K275" s="211">
        <f t="shared" si="175"/>
        <v>0.17949474434935153</v>
      </c>
    </row>
    <row r="276" spans="3:11" x14ac:dyDescent="0.25">
      <c r="C276" s="6" t="s">
        <v>202</v>
      </c>
      <c r="D276" s="264">
        <f>D273/D271</f>
        <v>6.5038247704484645E-2</v>
      </c>
      <c r="E276" s="264">
        <f t="shared" ref="E276:F276" si="176">E273/E271</f>
        <v>0.15047766327594345</v>
      </c>
      <c r="F276" s="264">
        <f t="shared" si="176"/>
        <v>0.18805890590316948</v>
      </c>
      <c r="G276" s="211">
        <f t="shared" ref="G276" si="177">AVERAGE(D276:F276)</f>
        <v>0.13452493896119919</v>
      </c>
      <c r="H276" s="211">
        <f t="shared" ref="H276:K276" si="178">G276</f>
        <v>0.13452493896119919</v>
      </c>
      <c r="I276" s="211">
        <f t="shared" si="178"/>
        <v>0.13452493896119919</v>
      </c>
      <c r="J276" s="211">
        <f t="shared" si="178"/>
        <v>0.13452493896119919</v>
      </c>
      <c r="K276" s="211">
        <f t="shared" si="178"/>
        <v>0.13452493896119919</v>
      </c>
    </row>
    <row r="278" spans="3:11" x14ac:dyDescent="0.25">
      <c r="C278" s="13" t="s">
        <v>245</v>
      </c>
    </row>
    <row r="279" spans="3:11" x14ac:dyDescent="0.25">
      <c r="C279" s="48" t="s">
        <v>42</v>
      </c>
      <c r="D279" s="49">
        <f t="shared" ref="D279:K279" si="179">D$13</f>
        <v>2023</v>
      </c>
      <c r="E279" s="49">
        <f t="shared" si="179"/>
        <v>2024</v>
      </c>
      <c r="F279" s="49">
        <f t="shared" si="179"/>
        <v>2025</v>
      </c>
      <c r="G279" s="50">
        <f t="shared" si="179"/>
        <v>2026</v>
      </c>
      <c r="H279" s="50">
        <f t="shared" si="179"/>
        <v>2027</v>
      </c>
      <c r="I279" s="50">
        <f t="shared" si="179"/>
        <v>2028</v>
      </c>
      <c r="J279" s="50">
        <f t="shared" si="179"/>
        <v>2029</v>
      </c>
      <c r="K279" s="50">
        <f t="shared" si="179"/>
        <v>2030</v>
      </c>
    </row>
    <row r="280" spans="3:11" x14ac:dyDescent="0.25">
      <c r="C280" s="43" t="s">
        <v>43</v>
      </c>
      <c r="D280" s="258">
        <f t="shared" ref="D280:K280" si="180">D$14</f>
        <v>45291</v>
      </c>
      <c r="E280" s="234">
        <f t="shared" si="180"/>
        <v>45657</v>
      </c>
      <c r="F280" s="234">
        <f t="shared" si="180"/>
        <v>46022</v>
      </c>
      <c r="G280" s="234">
        <f t="shared" si="180"/>
        <v>46387</v>
      </c>
      <c r="H280" s="234">
        <f t="shared" si="180"/>
        <v>46752</v>
      </c>
      <c r="I280" s="234">
        <f t="shared" si="180"/>
        <v>47118</v>
      </c>
      <c r="J280" s="234">
        <f t="shared" si="180"/>
        <v>47483</v>
      </c>
      <c r="K280" s="234">
        <f t="shared" si="180"/>
        <v>47848</v>
      </c>
    </row>
    <row r="282" spans="3:11" x14ac:dyDescent="0.25">
      <c r="C282" s="6" t="s">
        <v>32</v>
      </c>
      <c r="D282" s="19"/>
      <c r="E282" s="19">
        <f>D285</f>
        <v>32033446</v>
      </c>
      <c r="F282" s="19">
        <f t="shared" ref="F282:K282" si="181">E285</f>
        <v>19070247</v>
      </c>
      <c r="G282" s="19">
        <f t="shared" si="181"/>
        <v>38010740</v>
      </c>
      <c r="H282" s="19">
        <f t="shared" si="181"/>
        <v>74153602.853561819</v>
      </c>
      <c r="I282" s="19">
        <f t="shared" si="181"/>
        <v>115661121.06530432</v>
      </c>
      <c r="J282" s="19">
        <f t="shared" si="181"/>
        <v>162519244.02728498</v>
      </c>
      <c r="K282" s="19">
        <f t="shared" si="181"/>
        <v>214626592.67005748</v>
      </c>
    </row>
    <row r="283" spans="3:11" x14ac:dyDescent="0.25">
      <c r="C283" s="6" t="s">
        <v>220</v>
      </c>
      <c r="D283" s="243"/>
      <c r="E283" s="243">
        <v>22737301</v>
      </c>
      <c r="F283" s="243">
        <v>98025910</v>
      </c>
      <c r="G283" s="266">
        <f>G287*G16</f>
        <v>115157971.43711688</v>
      </c>
      <c r="H283" s="266">
        <f>H287*H16</f>
        <v>132250774.2682149</v>
      </c>
      <c r="I283" s="266">
        <f>I287*I16</f>
        <v>149298809.21485728</v>
      </c>
      <c r="J283" s="266">
        <f>J287*J16</f>
        <v>166023831.34342489</v>
      </c>
      <c r="K283" s="266">
        <f>K287*K16</f>
        <v>182988442.66603696</v>
      </c>
    </row>
    <row r="284" spans="3:11" x14ac:dyDescent="0.25">
      <c r="C284" s="6" t="s">
        <v>280</v>
      </c>
      <c r="D284" s="243"/>
      <c r="E284" s="243">
        <v>15978712</v>
      </c>
      <c r="F284" s="243">
        <v>67260024</v>
      </c>
      <c r="G284" s="266">
        <f>G288*G16</f>
        <v>79015108.583555043</v>
      </c>
      <c r="H284" s="266">
        <f>H288*H16</f>
        <v>90743256.056472376</v>
      </c>
      <c r="I284" s="266">
        <f>I288*I16</f>
        <v>102440686.25287662</v>
      </c>
      <c r="J284" s="266">
        <f>J288*J16</f>
        <v>113916482.70065241</v>
      </c>
      <c r="K284" s="266">
        <f>K288*K16</f>
        <v>125556672.16392349</v>
      </c>
    </row>
    <row r="285" spans="3:11" x14ac:dyDescent="0.25">
      <c r="C285" s="6" t="s">
        <v>35</v>
      </c>
      <c r="D285" s="19">
        <f>D73</f>
        <v>32033446</v>
      </c>
      <c r="E285" s="19">
        <f>E73</f>
        <v>19070247</v>
      </c>
      <c r="F285" s="19">
        <f>F73</f>
        <v>38010740</v>
      </c>
      <c r="G285" s="19">
        <f>G282+G283-G284</f>
        <v>74153602.853561819</v>
      </c>
      <c r="H285" s="19">
        <f t="shared" ref="H285:K285" si="182">H282+H283-H284</f>
        <v>115661121.06530432</v>
      </c>
      <c r="I285" s="19">
        <f t="shared" si="182"/>
        <v>162519244.02728498</v>
      </c>
      <c r="J285" s="19">
        <f t="shared" si="182"/>
        <v>214626592.67005748</v>
      </c>
      <c r="K285" s="19">
        <f t="shared" si="182"/>
        <v>272058363.17217094</v>
      </c>
    </row>
    <row r="286" spans="3:11" x14ac:dyDescent="0.25">
      <c r="C286" s="6" t="s">
        <v>282</v>
      </c>
      <c r="D286" s="19"/>
      <c r="E286" s="19"/>
      <c r="F286" s="19"/>
      <c r="G286" s="19"/>
      <c r="H286" s="19"/>
      <c r="I286" s="19"/>
      <c r="J286" s="19"/>
      <c r="K286" s="19"/>
    </row>
    <row r="287" spans="3:11" x14ac:dyDescent="0.25">
      <c r="C287" s="6" t="s">
        <v>221</v>
      </c>
      <c r="D287" s="210"/>
      <c r="E287" s="210">
        <f>E283/E16</f>
        <v>3.0697896776857234E-3</v>
      </c>
      <c r="F287" s="210">
        <f>F283/F16</f>
        <v>1.0356798854321166E-2</v>
      </c>
      <c r="G287" s="211">
        <f>F287</f>
        <v>1.0356798854321166E-2</v>
      </c>
      <c r="H287" s="211">
        <f>G287</f>
        <v>1.0356798854321166E-2</v>
      </c>
      <c r="I287" s="211">
        <f t="shared" ref="I287:K288" si="183">H287</f>
        <v>1.0356798854321166E-2</v>
      </c>
      <c r="J287" s="211">
        <f t="shared" si="183"/>
        <v>1.0356798854321166E-2</v>
      </c>
      <c r="K287" s="211">
        <f t="shared" si="183"/>
        <v>1.0356798854321166E-2</v>
      </c>
    </row>
    <row r="288" spans="3:11" x14ac:dyDescent="0.25">
      <c r="C288" s="6" t="s">
        <v>281</v>
      </c>
      <c r="D288" s="210"/>
      <c r="E288" s="210">
        <f>E284/E16</f>
        <v>2.157304649321087E-3</v>
      </c>
      <c r="F288" s="210">
        <f>F284/F16</f>
        <v>7.1062695516401131E-3</v>
      </c>
      <c r="G288" s="211">
        <f>F288</f>
        <v>7.1062695516401131E-3</v>
      </c>
      <c r="H288" s="211">
        <f>G288</f>
        <v>7.1062695516401131E-3</v>
      </c>
      <c r="I288" s="211">
        <f t="shared" si="183"/>
        <v>7.1062695516401131E-3</v>
      </c>
      <c r="J288" s="211">
        <f t="shared" si="183"/>
        <v>7.1062695516401131E-3</v>
      </c>
      <c r="K288" s="211">
        <f t="shared" si="183"/>
        <v>7.1062695516401131E-3</v>
      </c>
    </row>
    <row r="290" spans="3:11" x14ac:dyDescent="0.25">
      <c r="C290" s="13" t="s">
        <v>248</v>
      </c>
    </row>
    <row r="291" spans="3:11" x14ac:dyDescent="0.25">
      <c r="C291" s="48" t="s">
        <v>42</v>
      </c>
      <c r="D291" s="49">
        <f t="shared" ref="D291:K291" si="184">D$13</f>
        <v>2023</v>
      </c>
      <c r="E291" s="49">
        <f t="shared" si="184"/>
        <v>2024</v>
      </c>
      <c r="F291" s="49">
        <f t="shared" si="184"/>
        <v>2025</v>
      </c>
      <c r="G291" s="50">
        <f t="shared" si="184"/>
        <v>2026</v>
      </c>
      <c r="H291" s="50">
        <f t="shared" si="184"/>
        <v>2027</v>
      </c>
      <c r="I291" s="50">
        <f t="shared" si="184"/>
        <v>2028</v>
      </c>
      <c r="J291" s="50">
        <f t="shared" si="184"/>
        <v>2029</v>
      </c>
      <c r="K291" s="50">
        <f t="shared" si="184"/>
        <v>2030</v>
      </c>
    </row>
    <row r="292" spans="3:11" x14ac:dyDescent="0.25">
      <c r="C292" s="43" t="s">
        <v>43</v>
      </c>
      <c r="D292" s="258">
        <f t="shared" ref="D292:K292" si="185">D$14</f>
        <v>45291</v>
      </c>
      <c r="E292" s="234">
        <f t="shared" si="185"/>
        <v>45657</v>
      </c>
      <c r="F292" s="234">
        <f t="shared" si="185"/>
        <v>46022</v>
      </c>
      <c r="G292" s="234">
        <f t="shared" si="185"/>
        <v>46387</v>
      </c>
      <c r="H292" s="234">
        <f t="shared" si="185"/>
        <v>46752</v>
      </c>
      <c r="I292" s="234">
        <f t="shared" si="185"/>
        <v>47118</v>
      </c>
      <c r="J292" s="234">
        <f t="shared" si="185"/>
        <v>47483</v>
      </c>
      <c r="K292" s="234">
        <f t="shared" si="185"/>
        <v>47848</v>
      </c>
    </row>
    <row r="293" spans="3:11" x14ac:dyDescent="0.25">
      <c r="C293" s="246"/>
      <c r="D293" s="265"/>
      <c r="E293" s="247"/>
      <c r="F293" s="247"/>
      <c r="G293" s="247"/>
      <c r="H293" s="247"/>
      <c r="I293" s="247"/>
      <c r="J293" s="247"/>
      <c r="K293" s="247"/>
    </row>
    <row r="294" spans="3:11" x14ac:dyDescent="0.25">
      <c r="C294" s="230" t="s">
        <v>32</v>
      </c>
      <c r="D294" s="19"/>
      <c r="E294" s="187">
        <f>D297</f>
        <v>372877131</v>
      </c>
      <c r="F294" s="187">
        <f t="shared" ref="F294:K294" si="186">E297</f>
        <v>310748048</v>
      </c>
      <c r="G294" s="187">
        <f t="shared" si="186"/>
        <v>447281090</v>
      </c>
      <c r="H294" s="187">
        <f t="shared" si="186"/>
        <v>510937896.44177604</v>
      </c>
      <c r="I294" s="187">
        <f t="shared" si="186"/>
        <v>584043230.2220248</v>
      </c>
      <c r="J294" s="187">
        <f t="shared" si="186"/>
        <v>666572344.63393939</v>
      </c>
      <c r="K294" s="187">
        <f t="shared" si="186"/>
        <v>758346685.26064563</v>
      </c>
    </row>
    <row r="295" spans="3:11" x14ac:dyDescent="0.25">
      <c r="C295" s="230" t="s">
        <v>184</v>
      </c>
      <c r="D295" s="243"/>
      <c r="E295" s="190">
        <v>22737301</v>
      </c>
      <c r="F295" s="190">
        <v>98025910</v>
      </c>
      <c r="G295" s="187">
        <f>G298*G16</f>
        <v>115157971.43711688</v>
      </c>
      <c r="H295" s="187">
        <f>H298*H16</f>
        <v>132250774.2682149</v>
      </c>
      <c r="I295" s="187">
        <f>I298*I16</f>
        <v>149298809.21485728</v>
      </c>
      <c r="J295" s="187">
        <f>J298*J16</f>
        <v>166023831.34342489</v>
      </c>
      <c r="K295" s="187">
        <f>K298*K16</f>
        <v>182988442.66603696</v>
      </c>
    </row>
    <row r="296" spans="3:11" x14ac:dyDescent="0.25">
      <c r="C296" s="230" t="s">
        <v>185</v>
      </c>
      <c r="D296" s="243"/>
      <c r="E296" s="190">
        <v>15978712</v>
      </c>
      <c r="F296" s="190">
        <v>67260024</v>
      </c>
      <c r="G296" s="187">
        <f>G299*G16</f>
        <v>51501164.995340832</v>
      </c>
      <c r="H296" s="187">
        <f>H299*H16</f>
        <v>59145440.487966232</v>
      </c>
      <c r="I296" s="187">
        <f>I299*I16</f>
        <v>66769694.802942626</v>
      </c>
      <c r="J296" s="187">
        <f>J299*J16</f>
        <v>74249490.716718674</v>
      </c>
      <c r="K296" s="187">
        <f>K299*K16</f>
        <v>81836436.16134873</v>
      </c>
    </row>
    <row r="297" spans="3:11" x14ac:dyDescent="0.25">
      <c r="C297" s="230" t="s">
        <v>35</v>
      </c>
      <c r="D297" s="19">
        <f>D59</f>
        <v>372877131</v>
      </c>
      <c r="E297" s="19">
        <f>E59</f>
        <v>310748048</v>
      </c>
      <c r="F297" s="19">
        <f>F59</f>
        <v>447281090</v>
      </c>
      <c r="G297" s="187">
        <f>G294+G295-G296</f>
        <v>510937896.44177604</v>
      </c>
      <c r="H297" s="187">
        <f t="shared" ref="H297:K297" si="187">H294+H295-H296</f>
        <v>584043230.2220248</v>
      </c>
      <c r="I297" s="187">
        <f t="shared" si="187"/>
        <v>666572344.63393939</v>
      </c>
      <c r="J297" s="187">
        <f t="shared" si="187"/>
        <v>758346685.26064563</v>
      </c>
      <c r="K297" s="187">
        <f t="shared" si="187"/>
        <v>859498691.76533389</v>
      </c>
    </row>
    <row r="298" spans="3:11" x14ac:dyDescent="0.25">
      <c r="C298" s="230" t="s">
        <v>186</v>
      </c>
      <c r="D298" s="37"/>
      <c r="E298" s="249">
        <f>E295/E16</f>
        <v>3.0697896776857234E-3</v>
      </c>
      <c r="F298" s="249">
        <f>F295/F16</f>
        <v>1.0356798854321166E-2</v>
      </c>
      <c r="G298" s="211">
        <f>F298</f>
        <v>1.0356798854321166E-2</v>
      </c>
      <c r="H298" s="211">
        <f>G298</f>
        <v>1.0356798854321166E-2</v>
      </c>
      <c r="I298" s="211">
        <f t="shared" ref="I298:K298" si="188">H298</f>
        <v>1.0356798854321166E-2</v>
      </c>
      <c r="J298" s="211">
        <f t="shared" si="188"/>
        <v>1.0356798854321166E-2</v>
      </c>
      <c r="K298" s="211">
        <f t="shared" si="188"/>
        <v>1.0356798854321166E-2</v>
      </c>
    </row>
    <row r="299" spans="3:11" x14ac:dyDescent="0.25">
      <c r="C299" s="230" t="s">
        <v>187</v>
      </c>
      <c r="D299" s="37"/>
      <c r="E299" s="249">
        <f>E296/E16</f>
        <v>2.157304649321087E-3</v>
      </c>
      <c r="F299" s="249">
        <f>F296/F16</f>
        <v>7.1062695516401131E-3</v>
      </c>
      <c r="G299" s="250">
        <f t="shared" ref="G299" si="189">AVERAGE(D299:F299)</f>
        <v>4.6317871004805996E-3</v>
      </c>
      <c r="H299" s="250">
        <f t="shared" ref="H299:K299" si="190">G299</f>
        <v>4.6317871004805996E-3</v>
      </c>
      <c r="I299" s="250">
        <f t="shared" si="190"/>
        <v>4.6317871004805996E-3</v>
      </c>
      <c r="J299" s="250">
        <f t="shared" si="190"/>
        <v>4.6317871004805996E-3</v>
      </c>
      <c r="K299" s="250">
        <f t="shared" si="190"/>
        <v>4.6317871004805996E-3</v>
      </c>
    </row>
    <row r="301" spans="3:11" x14ac:dyDescent="0.25">
      <c r="C301" s="13" t="s">
        <v>241</v>
      </c>
    </row>
    <row r="302" spans="3:11" x14ac:dyDescent="0.25">
      <c r="C302" s="48" t="s">
        <v>42</v>
      </c>
      <c r="D302" s="49">
        <f t="shared" ref="D302:K302" si="191">D$13</f>
        <v>2023</v>
      </c>
      <c r="E302" s="49">
        <f t="shared" si="191"/>
        <v>2024</v>
      </c>
      <c r="F302" s="49">
        <f t="shared" si="191"/>
        <v>2025</v>
      </c>
      <c r="G302" s="50">
        <f t="shared" si="191"/>
        <v>2026</v>
      </c>
      <c r="H302" s="50">
        <f t="shared" si="191"/>
        <v>2027</v>
      </c>
      <c r="I302" s="50">
        <f t="shared" si="191"/>
        <v>2028</v>
      </c>
      <c r="J302" s="50">
        <f t="shared" si="191"/>
        <v>2029</v>
      </c>
      <c r="K302" s="50">
        <f t="shared" si="191"/>
        <v>2030</v>
      </c>
    </row>
    <row r="303" spans="3:11" x14ac:dyDescent="0.25">
      <c r="C303" s="43" t="s">
        <v>43</v>
      </c>
      <c r="D303" s="258">
        <f t="shared" ref="D303:K303" si="192">D$14</f>
        <v>45291</v>
      </c>
      <c r="E303" s="234">
        <f t="shared" si="192"/>
        <v>45657</v>
      </c>
      <c r="F303" s="234">
        <f t="shared" si="192"/>
        <v>46022</v>
      </c>
      <c r="G303" s="234">
        <f t="shared" si="192"/>
        <v>46387</v>
      </c>
      <c r="H303" s="234">
        <f t="shared" si="192"/>
        <v>46752</v>
      </c>
      <c r="I303" s="234">
        <f t="shared" si="192"/>
        <v>47118</v>
      </c>
      <c r="J303" s="234">
        <f t="shared" si="192"/>
        <v>47483</v>
      </c>
      <c r="K303" s="234">
        <f t="shared" si="192"/>
        <v>47848</v>
      </c>
    </row>
    <row r="304" spans="3:11" x14ac:dyDescent="0.25">
      <c r="C304" s="246"/>
      <c r="D304" s="265"/>
      <c r="E304" s="247"/>
      <c r="F304" s="247"/>
      <c r="G304" s="247"/>
      <c r="H304" s="247"/>
      <c r="I304" s="247"/>
      <c r="J304" s="247"/>
      <c r="K304" s="247"/>
    </row>
    <row r="305" spans="3:11" x14ac:dyDescent="0.25">
      <c r="C305" s="230" t="s">
        <v>32</v>
      </c>
      <c r="D305" s="19"/>
      <c r="E305" s="187">
        <f>D311</f>
        <v>119813847</v>
      </c>
      <c r="F305" s="187">
        <f t="shared" ref="F305:K305" si="193">E311</f>
        <v>51062073</v>
      </c>
      <c r="G305" s="187">
        <f t="shared" si="193"/>
        <v>196030648</v>
      </c>
      <c r="H305" s="187">
        <f t="shared" si="193"/>
        <v>220266902.67007169</v>
      </c>
      <c r="I305" s="187">
        <f t="shared" si="193"/>
        <v>248100524.65453756</v>
      </c>
      <c r="J305" s="187">
        <f t="shared" si="193"/>
        <v>279522092.06244928</v>
      </c>
      <c r="K305" s="187">
        <f t="shared" si="193"/>
        <v>314463623.31317568</v>
      </c>
    </row>
    <row r="306" spans="3:11" x14ac:dyDescent="0.25">
      <c r="C306" s="230" t="s">
        <v>272</v>
      </c>
      <c r="D306" s="190">
        <v>0</v>
      </c>
      <c r="E306" s="190">
        <v>0</v>
      </c>
      <c r="F306" s="190">
        <v>118500002</v>
      </c>
      <c r="G306" s="187">
        <v>0</v>
      </c>
      <c r="H306" s="187">
        <f>G306</f>
        <v>0</v>
      </c>
      <c r="I306" s="187">
        <f t="shared" ref="I306:K306" si="194">H306</f>
        <v>0</v>
      </c>
      <c r="J306" s="187">
        <f t="shared" si="194"/>
        <v>0</v>
      </c>
      <c r="K306" s="187">
        <f t="shared" si="194"/>
        <v>0</v>
      </c>
    </row>
    <row r="307" spans="3:11" x14ac:dyDescent="0.25">
      <c r="C307" s="230" t="s">
        <v>220</v>
      </c>
      <c r="D307" s="190">
        <v>115757975</v>
      </c>
      <c r="E307" s="190">
        <v>165399192</v>
      </c>
      <c r="F307" s="190">
        <v>185845000</v>
      </c>
      <c r="G307" s="187">
        <f t="shared" ref="G307:K309" si="195">G312*G$16</f>
        <v>228279658.85704947</v>
      </c>
      <c r="H307" s="187">
        <f t="shared" si="195"/>
        <v>262163020.56010413</v>
      </c>
      <c r="I307" s="187">
        <f t="shared" si="195"/>
        <v>295957638.10360342</v>
      </c>
      <c r="J307" s="187">
        <f t="shared" si="195"/>
        <v>329111941.69404888</v>
      </c>
      <c r="K307" s="187">
        <f t="shared" si="195"/>
        <v>362741187.13002837</v>
      </c>
    </row>
    <row r="308" spans="3:11" x14ac:dyDescent="0.25">
      <c r="C308" s="230" t="s">
        <v>273</v>
      </c>
      <c r="D308" s="190">
        <v>15839875</v>
      </c>
      <c r="E308" s="190">
        <v>172690122</v>
      </c>
      <c r="F308" s="190">
        <v>103434182</v>
      </c>
      <c r="G308" s="187">
        <f t="shared" si="195"/>
        <v>136871187.0054073</v>
      </c>
      <c r="H308" s="187">
        <f t="shared" si="195"/>
        <v>157186864.53554934</v>
      </c>
      <c r="I308" s="187">
        <f t="shared" si="195"/>
        <v>177449333.12662536</v>
      </c>
      <c r="J308" s="187">
        <f t="shared" si="195"/>
        <v>197327884.32773587</v>
      </c>
      <c r="K308" s="187">
        <f t="shared" si="195"/>
        <v>217491199.64003468</v>
      </c>
    </row>
    <row r="309" spans="3:11" x14ac:dyDescent="0.25">
      <c r="C309" s="230" t="s">
        <v>274</v>
      </c>
      <c r="D309" s="190">
        <v>37474057</v>
      </c>
      <c r="E309" s="190">
        <v>45548696</v>
      </c>
      <c r="F309" s="190">
        <v>53198672</v>
      </c>
      <c r="G309" s="187">
        <f t="shared" si="195"/>
        <v>67172217.181570441</v>
      </c>
      <c r="H309" s="187">
        <f t="shared" si="195"/>
        <v>77142534.040088952</v>
      </c>
      <c r="I309" s="187">
        <f t="shared" si="195"/>
        <v>87086737.56906642</v>
      </c>
      <c r="J309" s="187">
        <f t="shared" si="195"/>
        <v>96842526.115586534</v>
      </c>
      <c r="K309" s="187">
        <f t="shared" si="195"/>
        <v>106738068.22997408</v>
      </c>
    </row>
    <row r="310" spans="3:11" x14ac:dyDescent="0.25">
      <c r="C310" s="230" t="s">
        <v>275</v>
      </c>
      <c r="D310" s="190">
        <v>408341</v>
      </c>
      <c r="E310" s="190">
        <v>15912148</v>
      </c>
      <c r="F310" s="190">
        <v>2743573</v>
      </c>
      <c r="G310" s="187">
        <v>0</v>
      </c>
      <c r="H310" s="187">
        <f>G310</f>
        <v>0</v>
      </c>
      <c r="I310" s="187">
        <f t="shared" ref="I310:K310" si="196">H310</f>
        <v>0</v>
      </c>
      <c r="J310" s="187">
        <f t="shared" si="196"/>
        <v>0</v>
      </c>
      <c r="K310" s="187">
        <f t="shared" si="196"/>
        <v>0</v>
      </c>
    </row>
    <row r="311" spans="3:11" x14ac:dyDescent="0.25">
      <c r="C311" s="230" t="s">
        <v>35</v>
      </c>
      <c r="D311" s="19">
        <f>D67</f>
        <v>119813847</v>
      </c>
      <c r="E311" s="19">
        <f>E67</f>
        <v>51062073</v>
      </c>
      <c r="F311" s="19">
        <f>F67</f>
        <v>196030648</v>
      </c>
      <c r="G311" s="187">
        <f>G305+G307-G308-G309</f>
        <v>220266902.67007169</v>
      </c>
      <c r="H311" s="187">
        <f t="shared" ref="H311:K311" si="197">H305+H307-H308-H309</f>
        <v>248100524.65453756</v>
      </c>
      <c r="I311" s="187">
        <f t="shared" si="197"/>
        <v>279522092.06244928</v>
      </c>
      <c r="J311" s="187">
        <f t="shared" si="197"/>
        <v>314463623.31317568</v>
      </c>
      <c r="K311" s="187">
        <f t="shared" si="197"/>
        <v>352975542.57319528</v>
      </c>
    </row>
    <row r="312" spans="3:11" x14ac:dyDescent="0.25">
      <c r="C312" s="230" t="s">
        <v>186</v>
      </c>
      <c r="D312" s="211">
        <f t="shared" ref="D312:F314" si="198">D307/D$16</f>
        <v>1.9625441523363457E-2</v>
      </c>
      <c r="E312" s="211">
        <f t="shared" si="198"/>
        <v>2.2330738916600482E-2</v>
      </c>
      <c r="F312" s="211">
        <f t="shared" si="198"/>
        <v>1.9635209538797622E-2</v>
      </c>
      <c r="G312" s="210">
        <f t="shared" ref="G312:G314" si="199">AVERAGE(D312:F312)</f>
        <v>2.0530463326253853E-2</v>
      </c>
      <c r="H312" s="210">
        <f t="shared" ref="H312:K314" si="200">G312</f>
        <v>2.0530463326253853E-2</v>
      </c>
      <c r="I312" s="210">
        <f t="shared" si="200"/>
        <v>2.0530463326253853E-2</v>
      </c>
      <c r="J312" s="210">
        <f t="shared" si="200"/>
        <v>2.0530463326253853E-2</v>
      </c>
      <c r="K312" s="210">
        <f t="shared" si="200"/>
        <v>2.0530463326253853E-2</v>
      </c>
    </row>
    <row r="313" spans="3:11" x14ac:dyDescent="0.25">
      <c r="C313" s="230" t="s">
        <v>276</v>
      </c>
      <c r="D313" s="211">
        <f t="shared" si="198"/>
        <v>2.6854697531628964E-3</v>
      </c>
      <c r="E313" s="211">
        <f t="shared" si="198"/>
        <v>2.3315095927783525E-2</v>
      </c>
      <c r="F313" s="211">
        <f t="shared" si="198"/>
        <v>1.0928202733698131E-2</v>
      </c>
      <c r="G313" s="210">
        <f t="shared" si="199"/>
        <v>1.2309589471548185E-2</v>
      </c>
      <c r="H313" s="210">
        <f t="shared" si="200"/>
        <v>1.2309589471548185E-2</v>
      </c>
      <c r="I313" s="210">
        <f t="shared" si="200"/>
        <v>1.2309589471548185E-2</v>
      </c>
      <c r="J313" s="210">
        <f t="shared" si="200"/>
        <v>1.2309589471548185E-2</v>
      </c>
      <c r="K313" s="210">
        <f t="shared" si="200"/>
        <v>1.2309589471548185E-2</v>
      </c>
    </row>
    <row r="314" spans="3:11" x14ac:dyDescent="0.25">
      <c r="C314" s="230" t="s">
        <v>277</v>
      </c>
      <c r="D314" s="211">
        <f t="shared" si="198"/>
        <v>6.3532980280338264E-3</v>
      </c>
      <c r="E314" s="211">
        <f t="shared" si="198"/>
        <v>6.1495828732198686E-3</v>
      </c>
      <c r="F314" s="211">
        <f t="shared" si="198"/>
        <v>5.6206358627122919E-3</v>
      </c>
      <c r="G314" s="210">
        <f t="shared" si="199"/>
        <v>6.041172254655329E-3</v>
      </c>
      <c r="H314" s="210">
        <f t="shared" si="200"/>
        <v>6.041172254655329E-3</v>
      </c>
      <c r="I314" s="210">
        <f t="shared" si="200"/>
        <v>6.041172254655329E-3</v>
      </c>
      <c r="J314" s="210">
        <f t="shared" si="200"/>
        <v>6.041172254655329E-3</v>
      </c>
      <c r="K314" s="210">
        <f t="shared" si="200"/>
        <v>6.041172254655329E-3</v>
      </c>
    </row>
  </sheetData>
  <conditionalFormatting sqref="C46:C47">
    <cfRule type="expression" dxfId="2" priority="1">
      <formula>#REF!=$C46</formula>
    </cfRule>
  </conditionalFormatting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FB8B-B60E-497E-A730-4D15A5E1DAC7}">
  <dimension ref="B1:Q132"/>
  <sheetViews>
    <sheetView showGridLines="0" zoomScaleNormal="100" workbookViewId="0">
      <selection activeCell="E25" sqref="E25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6384" width="9.140625" style="51"/>
  </cols>
  <sheetData>
    <row r="1" spans="2:10" ht="15.75" thickBot="1" x14ac:dyDescent="0.3"/>
    <row r="2" spans="2:10" ht="15.75" thickBot="1" x14ac:dyDescent="0.3">
      <c r="B2" s="52" t="s">
        <v>46</v>
      </c>
      <c r="C2" s="53"/>
      <c r="D2" s="53"/>
      <c r="E2" s="53"/>
      <c r="F2" s="53"/>
      <c r="G2" s="53"/>
      <c r="H2" s="53"/>
      <c r="I2" s="53"/>
    </row>
    <row r="3" spans="2:10" x14ac:dyDescent="0.25">
      <c r="B3" s="186" t="str">
        <f>FSM!C3</f>
        <v>All amounts are shown in Saudi riyal, except per-share data, ratios, and shares outstanding</v>
      </c>
    </row>
    <row r="4" spans="2:10" x14ac:dyDescent="0.25">
      <c r="B4" s="51" t="s">
        <v>47</v>
      </c>
      <c r="C4" s="55"/>
      <c r="D4" s="55">
        <v>46022</v>
      </c>
      <c r="F4" s="51" t="s">
        <v>48</v>
      </c>
      <c r="H4" s="56">
        <f>+WACC!E21</f>
        <v>8.0299119736031585E-2</v>
      </c>
      <c r="I4" s="51" t="s">
        <v>49</v>
      </c>
    </row>
    <row r="5" spans="2:10" x14ac:dyDescent="0.25">
      <c r="B5" s="51" t="s">
        <v>50</v>
      </c>
      <c r="C5" s="57"/>
      <c r="D5" s="57">
        <f>EOMONTH(D4,12)</f>
        <v>46387</v>
      </c>
      <c r="F5" s="51" t="s">
        <v>51</v>
      </c>
      <c r="H5" s="252">
        <v>692</v>
      </c>
    </row>
    <row r="6" spans="2:10" x14ac:dyDescent="0.25">
      <c r="B6" s="51" t="s">
        <v>52</v>
      </c>
      <c r="C6" s="55"/>
      <c r="D6" s="55">
        <v>46022</v>
      </c>
      <c r="F6" s="51" t="s">
        <v>53</v>
      </c>
      <c r="H6" s="58">
        <v>46198</v>
      </c>
      <c r="J6" s="59"/>
    </row>
    <row r="7" spans="2:10" x14ac:dyDescent="0.25">
      <c r="B7" s="51" t="s">
        <v>54</v>
      </c>
      <c r="C7" s="55"/>
      <c r="D7" s="55">
        <v>46198</v>
      </c>
      <c r="E7" s="59"/>
      <c r="F7" s="216" t="s">
        <v>149</v>
      </c>
      <c r="G7" s="59"/>
      <c r="H7" s="252">
        <f>C73</f>
        <v>926.02880166518003</v>
      </c>
    </row>
    <row r="8" spans="2:10" x14ac:dyDescent="0.25">
      <c r="B8" s="51" t="s">
        <v>55</v>
      </c>
      <c r="C8" s="138"/>
      <c r="D8" s="138">
        <f>YEARFRAC(D7,D5)</f>
        <v>0.51666666666666672</v>
      </c>
      <c r="F8" s="216" t="s">
        <v>150</v>
      </c>
      <c r="H8" s="210">
        <f>H7/H5-1</f>
        <v>0.33819190992078041</v>
      </c>
    </row>
    <row r="9" spans="2:10" x14ac:dyDescent="0.25">
      <c r="D9" s="61"/>
      <c r="F9" t="s">
        <v>179</v>
      </c>
      <c r="G9"/>
      <c r="H9" s="253">
        <v>1</v>
      </c>
    </row>
    <row r="10" spans="2:10" x14ac:dyDescent="0.25">
      <c r="B10" s="62" t="s">
        <v>56</v>
      </c>
      <c r="C10" s="63"/>
      <c r="D10" s="64"/>
      <c r="F10" s="63"/>
      <c r="G10" s="63"/>
      <c r="H10" s="63"/>
      <c r="I10" s="63"/>
    </row>
    <row r="11" spans="2:10" ht="17.25" customHeight="1" x14ac:dyDescent="0.4">
      <c r="C11" s="65" t="s">
        <v>57</v>
      </c>
      <c r="D11" s="65" t="s">
        <v>58</v>
      </c>
      <c r="E11" s="66" t="s">
        <v>59</v>
      </c>
      <c r="F11" s="65"/>
      <c r="G11" s="65"/>
      <c r="H11" s="65"/>
      <c r="I11" s="65"/>
    </row>
    <row r="12" spans="2:10" x14ac:dyDescent="0.25">
      <c r="B12" s="67" t="s">
        <v>60</v>
      </c>
      <c r="C12" s="68">
        <f>D7</f>
        <v>46198</v>
      </c>
      <c r="D12" s="235">
        <f>D4</f>
        <v>46022</v>
      </c>
      <c r="E12" s="235">
        <f>EOMONTH(D12,12)</f>
        <v>46387</v>
      </c>
      <c r="F12" s="235">
        <f>EOMONTH(E12,12)</f>
        <v>46752</v>
      </c>
      <c r="G12" s="235">
        <f t="shared" ref="G12:I12" si="0">EOMONTH(F12,12)</f>
        <v>47118</v>
      </c>
      <c r="H12" s="235">
        <f t="shared" si="0"/>
        <v>47483</v>
      </c>
      <c r="I12" s="235">
        <f t="shared" si="0"/>
        <v>47848</v>
      </c>
    </row>
    <row r="13" spans="2:10" x14ac:dyDescent="0.25">
      <c r="B13" s="67"/>
      <c r="D13" s="178"/>
      <c r="E13" s="185"/>
      <c r="F13" s="185"/>
      <c r="G13" s="185"/>
      <c r="H13" s="185"/>
      <c r="I13" s="184"/>
    </row>
    <row r="14" spans="2:10" x14ac:dyDescent="0.25">
      <c r="B14" s="51" t="s">
        <v>61</v>
      </c>
      <c r="C14" s="157">
        <f>E14*(1-$D$8)+D14*$D$8</f>
        <v>10264407743.800001</v>
      </c>
      <c r="D14" s="179">
        <f>FSM!F16</f>
        <v>9464884988</v>
      </c>
      <c r="E14" s="179">
        <f>FSM!G16</f>
        <v>11119070000.000002</v>
      </c>
      <c r="F14" s="179">
        <f>FSM!H16</f>
        <v>12769464399.999998</v>
      </c>
      <c r="G14" s="179">
        <f>FSM!I16</f>
        <v>14415536240.000004</v>
      </c>
      <c r="H14" s="179">
        <f>FSM!J16</f>
        <v>16030419599.600004</v>
      </c>
      <c r="I14" s="179">
        <f>FSM!K16</f>
        <v>17668436477.328003</v>
      </c>
    </row>
    <row r="15" spans="2:10" x14ac:dyDescent="0.25">
      <c r="B15" s="71" t="s">
        <v>40</v>
      </c>
      <c r="C15"/>
      <c r="D15" s="180"/>
      <c r="E15" s="180">
        <f>E14/D14-1</f>
        <v>0.1747707461947241</v>
      </c>
      <c r="F15" s="180">
        <f t="shared" ref="F15:I15" si="1">F14/E14-1</f>
        <v>0.14842917618110119</v>
      </c>
      <c r="G15" s="180">
        <f t="shared" si="1"/>
        <v>0.12890688195191702</v>
      </c>
      <c r="H15" s="180">
        <f t="shared" si="1"/>
        <v>0.11202381463403688</v>
      </c>
      <c r="I15" s="180">
        <f t="shared" si="1"/>
        <v>0.10218178429770308</v>
      </c>
    </row>
    <row r="16" spans="2:10" x14ac:dyDescent="0.25">
      <c r="B16" s="51" t="s">
        <v>24</v>
      </c>
      <c r="C16" s="157">
        <f>E16*(1-$D$8)+D16*$D$8</f>
        <v>2531284403.4024305</v>
      </c>
      <c r="D16" s="179">
        <f>FSM!F37</f>
        <v>2284371546</v>
      </c>
      <c r="E16" s="179">
        <f>FSM!G37</f>
        <v>2795225733.729167</v>
      </c>
      <c r="F16" s="179">
        <f>FSM!H37</f>
        <v>3210118786.6267996</v>
      </c>
      <c r="G16" s="179">
        <f>FSM!I37</f>
        <v>3623925190.1061316</v>
      </c>
      <c r="H16" s="179">
        <f>FSM!J37</f>
        <v>4029891113.8501997</v>
      </c>
      <c r="I16" s="179">
        <f>FSM!K37</f>
        <v>4441672578.3888693</v>
      </c>
    </row>
    <row r="17" spans="2:13" x14ac:dyDescent="0.25">
      <c r="B17" s="71" t="s">
        <v>62</v>
      </c>
      <c r="C17"/>
      <c r="D17" s="180">
        <f>D16/D14</f>
        <v>0.24135227727502526</v>
      </c>
      <c r="E17" s="180">
        <f t="shared" ref="E17:I17" si="2">E16/E14</f>
        <v>0.25139024520298608</v>
      </c>
      <c r="F17" s="180">
        <f t="shared" si="2"/>
        <v>0.25139024520298597</v>
      </c>
      <c r="G17" s="180">
        <f t="shared" si="2"/>
        <v>0.25139024520298597</v>
      </c>
      <c r="H17" s="180">
        <f t="shared" si="2"/>
        <v>0.25139024520298614</v>
      </c>
      <c r="I17" s="180">
        <f t="shared" si="2"/>
        <v>0.25139024520298603</v>
      </c>
    </row>
    <row r="18" spans="2:13" x14ac:dyDescent="0.25">
      <c r="B18" s="51" t="s">
        <v>63</v>
      </c>
      <c r="C18" s="157">
        <f>E18*(1-$D$8)+D18*$D$8</f>
        <v>2258304178.4303217</v>
      </c>
      <c r="D18" s="179">
        <f>FSM!F25</f>
        <v>2029947228</v>
      </c>
      <c r="E18" s="179">
        <f>FSM!G25</f>
        <v>2502409884.0627346</v>
      </c>
      <c r="F18" s="179">
        <f>FSM!H25</f>
        <v>2882994677.1143785</v>
      </c>
      <c r="G18" s="179">
        <f>FSM!I25</f>
        <v>3259674716.1117787</v>
      </c>
      <c r="H18" s="179">
        <f>FSM!J25</f>
        <v>3627079198.8733768</v>
      </c>
      <c r="I18" s="179">
        <f>FSM!K25</f>
        <v>3998449175.2777534</v>
      </c>
    </row>
    <row r="19" spans="2:13" x14ac:dyDescent="0.25">
      <c r="B19" s="71" t="s">
        <v>62</v>
      </c>
      <c r="D19" s="180">
        <f>D18/D14</f>
        <v>0.21447140990869482</v>
      </c>
      <c r="E19" s="180">
        <f t="shared" ref="E19:I19" si="3">E18/E14</f>
        <v>0.22505568218050018</v>
      </c>
      <c r="F19" s="180">
        <f t="shared" si="3"/>
        <v>0.22577256075943003</v>
      </c>
      <c r="G19" s="180">
        <f t="shared" si="3"/>
        <v>0.22612233508642463</v>
      </c>
      <c r="H19" s="180">
        <f t="shared" si="3"/>
        <v>0.22626227444251557</v>
      </c>
      <c r="I19" s="180">
        <f t="shared" si="3"/>
        <v>0.22630464107044965</v>
      </c>
    </row>
    <row r="20" spans="2:13" x14ac:dyDescent="0.25">
      <c r="B20" s="71"/>
      <c r="D20" s="179"/>
      <c r="E20" s="179"/>
      <c r="F20" s="179"/>
      <c r="G20" s="179"/>
      <c r="H20" s="179"/>
      <c r="I20" s="179"/>
    </row>
    <row r="21" spans="2:13" x14ac:dyDescent="0.25">
      <c r="B21" s="51" t="s">
        <v>64</v>
      </c>
      <c r="D21" s="181">
        <f>D18*D22</f>
        <v>43440691.388452582</v>
      </c>
      <c r="E21" s="181">
        <f t="shared" ref="E21:I21" si="4">E18*E22</f>
        <v>62560247.101568371</v>
      </c>
      <c r="F21" s="181">
        <f t="shared" si="4"/>
        <v>72074866.92785947</v>
      </c>
      <c r="G21" s="181">
        <f t="shared" si="4"/>
        <v>81491867.90279448</v>
      </c>
      <c r="H21" s="181">
        <f t="shared" si="4"/>
        <v>90676979.971834421</v>
      </c>
      <c r="I21" s="181">
        <f t="shared" si="4"/>
        <v>99961229.381943837</v>
      </c>
    </row>
    <row r="22" spans="2:13" ht="15" customHeight="1" x14ac:dyDescent="0.25">
      <c r="B22" s="71" t="s">
        <v>26</v>
      </c>
      <c r="D22" s="182">
        <f>-FSM!F48</f>
        <v>2.1399911677138724E-2</v>
      </c>
      <c r="E22" s="182">
        <f>FSM!G48</f>
        <v>2.5000000000000001E-2</v>
      </c>
      <c r="F22" s="182">
        <f>FSM!H48</f>
        <v>2.5000000000000001E-2</v>
      </c>
      <c r="G22" s="182">
        <f>FSM!I48</f>
        <v>2.5000000000000001E-2</v>
      </c>
      <c r="H22" s="182">
        <f>FSM!J48</f>
        <v>2.5000000000000001E-2</v>
      </c>
      <c r="I22" s="182">
        <f>FSM!K48</f>
        <v>2.5000000000000001E-2</v>
      </c>
    </row>
    <row r="23" spans="2:13" x14ac:dyDescent="0.25">
      <c r="B23" s="72" t="s">
        <v>65</v>
      </c>
      <c r="C23" s="72"/>
      <c r="D23" s="183">
        <f>D18*(1-D22)</f>
        <v>1986506536.6115475</v>
      </c>
      <c r="E23" s="183">
        <f t="shared" ref="E23:I23" si="5">E18*(1-E22)</f>
        <v>2439849636.9611664</v>
      </c>
      <c r="F23" s="183">
        <f t="shared" si="5"/>
        <v>2810919810.1865191</v>
      </c>
      <c r="G23" s="183">
        <f t="shared" si="5"/>
        <v>3178182848.2089844</v>
      </c>
      <c r="H23" s="183">
        <f t="shared" si="5"/>
        <v>3536402218.9015422</v>
      </c>
      <c r="I23" s="183">
        <f t="shared" si="5"/>
        <v>3898487945.8958097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23</v>
      </c>
      <c r="D25" s="70"/>
      <c r="E25" s="70">
        <f>-FSM!G23</f>
        <v>292815849.66643244</v>
      </c>
      <c r="F25" s="70">
        <f>-FSM!H23</f>
        <v>327124109.51242095</v>
      </c>
      <c r="G25" s="70">
        <f>-FSM!I23</f>
        <v>364250473.99435282</v>
      </c>
      <c r="H25" s="70">
        <f>-FSM!J23</f>
        <v>402811914.97682261</v>
      </c>
      <c r="I25" s="70">
        <f>-FSM!K23</f>
        <v>443223403.11111575</v>
      </c>
      <c r="M25" s="74"/>
    </row>
    <row r="26" spans="2:13" x14ac:dyDescent="0.25">
      <c r="B26" s="51" t="s">
        <v>66</v>
      </c>
      <c r="D26" s="69"/>
      <c r="E26" s="69">
        <f>D32-E32</f>
        <v>235829705.29055882</v>
      </c>
      <c r="F26" s="69">
        <f t="shared" ref="F26:I26" si="6">E32-F32</f>
        <v>74003727.271128654</v>
      </c>
      <c r="G26" s="69">
        <f t="shared" si="6"/>
        <v>73809903.56974411</v>
      </c>
      <c r="H26" s="69">
        <f t="shared" si="6"/>
        <v>72411411.307817459</v>
      </c>
      <c r="I26" s="69">
        <f t="shared" si="6"/>
        <v>73448718.854650497</v>
      </c>
      <c r="M26" s="74"/>
    </row>
    <row r="27" spans="2:13" x14ac:dyDescent="0.25">
      <c r="B27" s="51" t="s">
        <v>67</v>
      </c>
      <c r="D27" s="70"/>
      <c r="E27" s="70">
        <f>-FSM!G150</f>
        <v>-352806936.74016166</v>
      </c>
      <c r="F27" s="70">
        <f>-FSM!H150</f>
        <v>-405173779.71148169</v>
      </c>
      <c r="G27" s="70">
        <f>-FSM!I150</f>
        <v>-457403468.30276167</v>
      </c>
      <c r="H27" s="70">
        <f>-FSM!J150</f>
        <v>-508643549.64887577</v>
      </c>
      <c r="I27" s="70">
        <f>-FSM!K150</f>
        <v>-560617655.12351525</v>
      </c>
      <c r="M27" s="74"/>
    </row>
    <row r="28" spans="2:13" x14ac:dyDescent="0.25">
      <c r="B28" s="71" t="s">
        <v>38</v>
      </c>
      <c r="D28" s="1"/>
      <c r="E28" s="1">
        <f>E27/E14</f>
        <v>-3.172989618197939E-2</v>
      </c>
      <c r="F28" s="1">
        <f t="shared" ref="F28:I28" si="7">F27/F14</f>
        <v>-3.172989618197939E-2</v>
      </c>
      <c r="G28" s="1">
        <f t="shared" si="7"/>
        <v>-3.172989618197939E-2</v>
      </c>
      <c r="H28" s="1">
        <f t="shared" si="7"/>
        <v>-3.172989618197939E-2</v>
      </c>
      <c r="I28" s="1">
        <f t="shared" si="7"/>
        <v>-3.172989618197939E-2</v>
      </c>
      <c r="M28" s="74"/>
    </row>
    <row r="29" spans="2:13" x14ac:dyDescent="0.25">
      <c r="B29" s="216"/>
      <c r="D29" s="70"/>
      <c r="E29" s="70"/>
      <c r="F29" s="70"/>
      <c r="G29" s="70"/>
      <c r="H29" s="70"/>
      <c r="I29" s="70"/>
      <c r="M29" s="74"/>
    </row>
    <row r="30" spans="2:13" x14ac:dyDescent="0.25">
      <c r="B30" s="72" t="s">
        <v>68</v>
      </c>
      <c r="C30" s="72"/>
      <c r="D30" s="73"/>
      <c r="E30" s="73">
        <f>E23+E25+E26+E27</f>
        <v>2615688255.1779957</v>
      </c>
      <c r="F30" s="73">
        <f t="shared" ref="F30:I30" si="8">F23+F25+F26+F27</f>
        <v>2806873867.2585874</v>
      </c>
      <c r="G30" s="73">
        <f t="shared" si="8"/>
        <v>3158839757.4703197</v>
      </c>
      <c r="H30" s="73">
        <f t="shared" si="8"/>
        <v>3502981995.5373063</v>
      </c>
      <c r="I30" s="73">
        <f t="shared" si="8"/>
        <v>3854542412.738061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69</v>
      </c>
      <c r="C32" s="70"/>
      <c r="D32" s="70">
        <f>FSM!F193</f>
        <v>-262749679</v>
      </c>
      <c r="E32" s="70">
        <f>FSM!G193</f>
        <v>-498579384.29055882</v>
      </c>
      <c r="F32" s="70">
        <f>FSM!H193</f>
        <v>-572583111.56168747</v>
      </c>
      <c r="G32" s="70">
        <f>FSM!I193</f>
        <v>-646393015.13143158</v>
      </c>
      <c r="H32" s="70">
        <f>FSM!J193</f>
        <v>-718804426.43924904</v>
      </c>
      <c r="I32" s="70">
        <f>FSM!K193</f>
        <v>-792253145.29389954</v>
      </c>
    </row>
    <row r="33" spans="2:13" x14ac:dyDescent="0.25">
      <c r="B33" s="71" t="s">
        <v>38</v>
      </c>
      <c r="D33" s="60">
        <f>D32/D14</f>
        <v>-2.7760472455093291E-2</v>
      </c>
      <c r="E33" s="60">
        <f t="shared" ref="E33:I33" si="9">E32/E14</f>
        <v>-4.4840025675758739E-2</v>
      </c>
      <c r="F33" s="60">
        <f t="shared" si="9"/>
        <v>-4.4840025675758767E-2</v>
      </c>
      <c r="G33" s="60">
        <f t="shared" si="9"/>
        <v>-4.4840025675758795E-2</v>
      </c>
      <c r="H33" s="60">
        <f t="shared" si="9"/>
        <v>-4.4840025675758663E-2</v>
      </c>
      <c r="I33" s="60">
        <f t="shared" si="9"/>
        <v>-4.4840025675758718E-2</v>
      </c>
      <c r="J33" s="70"/>
    </row>
    <row r="34" spans="2:13" x14ac:dyDescent="0.25">
      <c r="D34"/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Jun 25,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x14ac:dyDescent="0.4">
      <c r="B36" s="72"/>
      <c r="D36" s="77" t="s">
        <v>70</v>
      </c>
      <c r="E36" s="77" t="s">
        <v>71</v>
      </c>
      <c r="F36" s="78" t="s">
        <v>72</v>
      </c>
      <c r="G36" s="78" t="s">
        <v>73</v>
      </c>
      <c r="H36" s="78" t="s">
        <v>74</v>
      </c>
      <c r="I36" s="78" t="s">
        <v>75</v>
      </c>
      <c r="J36" s="70"/>
    </row>
    <row r="37" spans="2:13" x14ac:dyDescent="0.25">
      <c r="B37" s="51" t="s">
        <v>76</v>
      </c>
      <c r="D37" s="79">
        <f>D7</f>
        <v>46198</v>
      </c>
      <c r="E37" s="158">
        <f>IF($H$9=1,AVERAGE(E12,D37),E12)</f>
        <v>46292.5</v>
      </c>
      <c r="F37" s="158">
        <f>IF($H$9=1,AVERAGE(F12,E12),F12)</f>
        <v>46569.5</v>
      </c>
      <c r="G37" s="158">
        <f>IF($H$9=1,AVERAGE(G12,F12),G12)</f>
        <v>46935</v>
      </c>
      <c r="H37" s="158">
        <f>IF($H$9=1,AVERAGE(H12,G12),H12)</f>
        <v>47300.5</v>
      </c>
      <c r="I37" s="158">
        <f>IF($H$9=1,AVERAGE(I12,H12),I12)</f>
        <v>47665.5</v>
      </c>
      <c r="J37" s="70"/>
    </row>
    <row r="38" spans="2:13" x14ac:dyDescent="0.25">
      <c r="B38" s="51" t="s">
        <v>77</v>
      </c>
      <c r="C38" s="80">
        <f>D8</f>
        <v>0.51666666666666672</v>
      </c>
      <c r="D38" s="74"/>
      <c r="E38" s="81">
        <f>E30*C38</f>
        <v>1351438931.8419645</v>
      </c>
      <c r="F38" s="81">
        <f>F30</f>
        <v>2806873867.2585874</v>
      </c>
      <c r="G38" s="81">
        <f t="shared" ref="G38:I38" si="10">G30</f>
        <v>3158839757.4703197</v>
      </c>
      <c r="H38" s="81">
        <f t="shared" si="10"/>
        <v>3502981995.5373063</v>
      </c>
      <c r="I38" s="81">
        <f t="shared" si="10"/>
        <v>3854542412.738061</v>
      </c>
      <c r="J38" s="69"/>
    </row>
    <row r="39" spans="2:13" ht="15" customHeight="1" x14ac:dyDescent="0.25">
      <c r="B39" s="72" t="s">
        <v>78</v>
      </c>
      <c r="C39" s="82"/>
      <c r="D39" s="73"/>
      <c r="E39" s="73">
        <f>E38/(1+$H$4)^((E37-$D$37)/365)</f>
        <v>1324682321.8012486</v>
      </c>
      <c r="F39" s="73">
        <f t="shared" ref="F39:I39" si="11">F38/(1+$H$4)^((F37-$D$37)/365)</f>
        <v>2594666326.6573071</v>
      </c>
      <c r="G39" s="73">
        <f t="shared" si="11"/>
        <v>2702690038.9749675</v>
      </c>
      <c r="H39" s="73">
        <f t="shared" si="11"/>
        <v>2774064647.6498957</v>
      </c>
      <c r="I39" s="73">
        <f t="shared" si="11"/>
        <v>2825579162.2664127</v>
      </c>
      <c r="J39" s="69"/>
    </row>
    <row r="41" spans="2:13" x14ac:dyDescent="0.25">
      <c r="B41" s="62" t="s">
        <v>79</v>
      </c>
      <c r="C41" s="62"/>
      <c r="E41" s="62" t="s">
        <v>80</v>
      </c>
      <c r="F41" s="63"/>
      <c r="G41" s="63"/>
      <c r="H41" s="63"/>
      <c r="I41" s="63"/>
    </row>
    <row r="42" spans="2:13" x14ac:dyDescent="0.25">
      <c r="B42" s="51" t="s">
        <v>81</v>
      </c>
      <c r="C42" s="83">
        <v>0.03</v>
      </c>
      <c r="E42" s="51" t="s">
        <v>82</v>
      </c>
      <c r="I42" s="74">
        <f>I16</f>
        <v>4441672578.3888693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3970178685.120203</v>
      </c>
      <c r="E43" s="51" t="s">
        <v>83</v>
      </c>
      <c r="I43" s="85">
        <v>18.100000000000001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78931375060.94725</v>
      </c>
      <c r="E44" s="51" t="str">
        <f>"Terminal value in "&amp;YEAR(I12)</f>
        <v>Terminal value in 2030</v>
      </c>
      <c r="I44" s="74">
        <f>I42*I43</f>
        <v>80394273668.838547</v>
      </c>
      <c r="J44" s="74"/>
    </row>
    <row r="45" spans="2:13" x14ac:dyDescent="0.25">
      <c r="B45" s="51" t="s">
        <v>84</v>
      </c>
      <c r="C45" s="74">
        <f>C44/(1+H4)^((I37-D37)/365)</f>
        <v>57860784689.828064</v>
      </c>
      <c r="E45" s="51" t="s">
        <v>84</v>
      </c>
      <c r="I45" s="74">
        <f>I44/(1+H4)^((I37-D37)/365)</f>
        <v>58933165112.808014</v>
      </c>
      <c r="J45" s="74"/>
    </row>
    <row r="46" spans="2:13" x14ac:dyDescent="0.25">
      <c r="B46" s="51" t="s">
        <v>85</v>
      </c>
      <c r="C46" s="69">
        <f>SUM(E39:I39)</f>
        <v>12221682497.349833</v>
      </c>
      <c r="E46" s="51" t="s">
        <v>85</v>
      </c>
      <c r="I46" s="74">
        <f>C46</f>
        <v>12221682497.349833</v>
      </c>
      <c r="J46" s="74"/>
    </row>
    <row r="47" spans="2:13" x14ac:dyDescent="0.25">
      <c r="B47" s="72" t="s">
        <v>86</v>
      </c>
      <c r="C47" s="86">
        <f>SUM(C45:C46)</f>
        <v>70082467187.177902</v>
      </c>
      <c r="E47" s="72" t="s">
        <v>87</v>
      </c>
      <c r="I47" s="86">
        <f>SUM(I45:I46)</f>
        <v>71154847610.157852</v>
      </c>
      <c r="J47" s="86"/>
    </row>
    <row r="49" spans="2:10" x14ac:dyDescent="0.25">
      <c r="B49" s="87" t="s">
        <v>88</v>
      </c>
      <c r="C49" s="88">
        <f>C45/C47</f>
        <v>0.82560998509501837</v>
      </c>
      <c r="E49" s="87" t="s">
        <v>88</v>
      </c>
      <c r="I49" s="88">
        <f>I45/I47</f>
        <v>0.82823823101540717</v>
      </c>
      <c r="J49" s="88"/>
    </row>
    <row r="50" spans="2:10" x14ac:dyDescent="0.25">
      <c r="B50" s="87" t="s">
        <v>89</v>
      </c>
      <c r="C50" s="88">
        <f>1-C49</f>
        <v>0.17439001490498163</v>
      </c>
      <c r="E50" s="87" t="s">
        <v>90</v>
      </c>
      <c r="G50" s="89"/>
      <c r="I50" s="90">
        <f>1-I49</f>
        <v>0.17176176898459283</v>
      </c>
      <c r="J50" s="90"/>
    </row>
    <row r="51" spans="2:10" x14ac:dyDescent="0.25">
      <c r="B51" s="87" t="s">
        <v>91</v>
      </c>
      <c r="C51" s="91">
        <f>C44/I16</f>
        <v>17.77064240281711</v>
      </c>
      <c r="E51" s="51" t="s">
        <v>92</v>
      </c>
      <c r="I51" s="221">
        <f>(H4-I38/I44)/(1+I38/I44)</f>
        <v>3.0873395207936808E-2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93</v>
      </c>
      <c r="C53" s="63"/>
      <c r="E53" s="62" t="s">
        <v>30</v>
      </c>
      <c r="F53" s="63"/>
      <c r="G53" s="62"/>
      <c r="H53" s="63"/>
      <c r="I53" s="63"/>
    </row>
    <row r="54" spans="2:10" x14ac:dyDescent="0.25">
      <c r="B54" s="51" t="s">
        <v>94</v>
      </c>
      <c r="C54" s="193" t="s">
        <v>177</v>
      </c>
    </row>
    <row r="55" spans="2:10" x14ac:dyDescent="0.25">
      <c r="B55" s="93" t="s">
        <v>95</v>
      </c>
      <c r="C55" s="58" t="s">
        <v>178</v>
      </c>
      <c r="G55" s="94" t="s">
        <v>94</v>
      </c>
      <c r="H55" s="95" t="s">
        <v>96</v>
      </c>
      <c r="I55" s="95" t="s">
        <v>97</v>
      </c>
    </row>
    <row r="56" spans="2:10" x14ac:dyDescent="0.25">
      <c r="B56" s="96" t="s">
        <v>98</v>
      </c>
      <c r="C56" s="97"/>
      <c r="E56" s="51" t="s">
        <v>99</v>
      </c>
      <c r="G56" s="194" t="s">
        <v>177</v>
      </c>
      <c r="H56" s="58" t="s">
        <v>178</v>
      </c>
      <c r="I56" s="191">
        <v>77860490</v>
      </c>
      <c r="J56" s="98"/>
    </row>
    <row r="57" spans="2:10" x14ac:dyDescent="0.25">
      <c r="B57" s="71" t="s">
        <v>100</v>
      </c>
      <c r="C57" s="100">
        <f>FSM!F81+FSM!F86+FSM!F90+FSM!F91</f>
        <v>2626887302</v>
      </c>
      <c r="E57" s="93" t="s">
        <v>101</v>
      </c>
      <c r="G57" s="194"/>
      <c r="H57" s="58"/>
      <c r="I57" s="191">
        <v>184344</v>
      </c>
      <c r="J57" s="99"/>
    </row>
    <row r="58" spans="2:10" x14ac:dyDescent="0.25">
      <c r="B58" s="71" t="s">
        <v>102</v>
      </c>
      <c r="C58" s="100"/>
      <c r="E58" s="93" t="s">
        <v>103</v>
      </c>
      <c r="G58" s="58"/>
      <c r="H58" s="58"/>
      <c r="I58" s="101"/>
    </row>
    <row r="59" spans="2:10" ht="15" customHeight="1" x14ac:dyDescent="0.25">
      <c r="B59" s="71" t="s">
        <v>104</v>
      </c>
      <c r="C59" s="100"/>
      <c r="E59" s="51" t="s">
        <v>102</v>
      </c>
      <c r="G59" s="58"/>
      <c r="H59" s="58"/>
      <c r="I59" s="101"/>
    </row>
    <row r="60" spans="2:10" x14ac:dyDescent="0.25">
      <c r="B60" s="102" t="s">
        <v>105</v>
      </c>
      <c r="C60" s="100">
        <f>FSM!F104</f>
        <v>112771</v>
      </c>
      <c r="E60" s="51" t="s">
        <v>106</v>
      </c>
      <c r="G60" s="58"/>
      <c r="H60" s="58"/>
      <c r="I60" s="101"/>
    </row>
    <row r="61" spans="2:10" ht="15" customHeight="1" x14ac:dyDescent="0.25">
      <c r="B61" s="96" t="s">
        <v>107</v>
      </c>
      <c r="C61" s="100"/>
      <c r="E61" s="103" t="s">
        <v>108</v>
      </c>
      <c r="I61" s="192">
        <f>SUM(I56:I60)</f>
        <v>78044834</v>
      </c>
      <c r="J61" s="104"/>
    </row>
    <row r="62" spans="2:10" x14ac:dyDescent="0.25">
      <c r="B62" s="105" t="s">
        <v>109</v>
      </c>
      <c r="C62" s="100">
        <f>FSM!F62</f>
        <v>1836371678</v>
      </c>
      <c r="J62" s="106"/>
    </row>
    <row r="63" spans="2:10" x14ac:dyDescent="0.25">
      <c r="B63" s="276" t="s">
        <v>299</v>
      </c>
      <c r="C63" s="100">
        <f>FSM!F61+FSM!F71+FSM!F72</f>
        <v>2575322994</v>
      </c>
      <c r="J63" s="106"/>
    </row>
    <row r="64" spans="2:10" x14ac:dyDescent="0.25">
      <c r="B64" s="105" t="s">
        <v>171</v>
      </c>
      <c r="C64" s="100">
        <f>FSM!F60</f>
        <v>404602319</v>
      </c>
      <c r="J64" s="107"/>
    </row>
    <row r="65" spans="2:6" x14ac:dyDescent="0.25">
      <c r="B65" s="108" t="s">
        <v>93</v>
      </c>
      <c r="C65" s="14">
        <f>SUM(C57:C60)-SUM(C62:C64)</f>
        <v>-2189296918</v>
      </c>
    </row>
    <row r="67" spans="2:6" x14ac:dyDescent="0.25">
      <c r="B67" s="62" t="s">
        <v>110</v>
      </c>
      <c r="C67" s="63"/>
      <c r="D67" s="63"/>
    </row>
    <row r="68" spans="2:6" ht="17.25" x14ac:dyDescent="0.4">
      <c r="C68" s="109" t="s">
        <v>111</v>
      </c>
      <c r="D68" s="109" t="s">
        <v>24</v>
      </c>
    </row>
    <row r="69" spans="2:6" x14ac:dyDescent="0.25">
      <c r="B69" s="51" t="s">
        <v>112</v>
      </c>
      <c r="C69" s="110">
        <f>C47</f>
        <v>70082467187.177902</v>
      </c>
      <c r="D69" s="110">
        <f>I47</f>
        <v>71154847610.157852</v>
      </c>
    </row>
    <row r="70" spans="2:6" x14ac:dyDescent="0.25">
      <c r="B70" s="51" t="s">
        <v>93</v>
      </c>
      <c r="C70" s="111">
        <f>$C$65</f>
        <v>-2189296918</v>
      </c>
      <c r="D70" s="111">
        <f>$C$65</f>
        <v>-2189296918</v>
      </c>
    </row>
    <row r="71" spans="2:6" x14ac:dyDescent="0.25">
      <c r="B71" s="51" t="s">
        <v>113</v>
      </c>
      <c r="C71" s="112">
        <f>C69-C70</f>
        <v>72271764105.177902</v>
      </c>
      <c r="D71" s="112">
        <f t="shared" ref="D71" si="12">D69-D70</f>
        <v>73344144528.157852</v>
      </c>
    </row>
    <row r="72" spans="2:6" x14ac:dyDescent="0.25">
      <c r="B72" s="51" t="s">
        <v>30</v>
      </c>
      <c r="C72" s="217">
        <f>$I$61</f>
        <v>78044834</v>
      </c>
      <c r="D72" s="217">
        <f t="shared" ref="D72" si="13">$I$61</f>
        <v>78044834</v>
      </c>
    </row>
    <row r="73" spans="2:6" x14ac:dyDescent="0.25">
      <c r="B73" s="72" t="s">
        <v>114</v>
      </c>
      <c r="C73" s="254">
        <f>C71/C72</f>
        <v>926.02880166518003</v>
      </c>
      <c r="D73" s="254">
        <f t="shared" ref="D73" si="14">D71/D72</f>
        <v>939.76937061789192</v>
      </c>
    </row>
    <row r="75" spans="2:6" ht="17.25" x14ac:dyDescent="0.4">
      <c r="C75" s="65" t="s">
        <v>115</v>
      </c>
      <c r="D75" s="65"/>
    </row>
    <row r="76" spans="2:6" x14ac:dyDescent="0.25">
      <c r="B76" s="94"/>
      <c r="C76" s="95" t="s">
        <v>111</v>
      </c>
      <c r="D76" s="95" t="s">
        <v>24</v>
      </c>
    </row>
    <row r="77" spans="2:6" x14ac:dyDescent="0.25">
      <c r="B77" s="51" t="s">
        <v>116</v>
      </c>
      <c r="C77" s="240">
        <f>C69/$C$14</f>
        <v>6.8277166044489741</v>
      </c>
      <c r="D77" s="240">
        <f>D69/$C$14</f>
        <v>6.9321922302957457</v>
      </c>
    </row>
    <row r="78" spans="2:6" x14ac:dyDescent="0.25">
      <c r="B78" s="51" t="s">
        <v>117</v>
      </c>
      <c r="C78" s="241">
        <f>C69/$C$16</f>
        <v>27.686524316657753</v>
      </c>
      <c r="D78" s="241">
        <f t="shared" ref="D78" si="15">D69/$C$16</f>
        <v>28.110175022022389</v>
      </c>
    </row>
    <row r="79" spans="2:6" x14ac:dyDescent="0.25">
      <c r="B79" s="69" t="s">
        <v>118</v>
      </c>
      <c r="C79" s="241">
        <f>C69/$C$18</f>
        <v>31.033227435238633</v>
      </c>
      <c r="D79" s="241">
        <f t="shared" ref="D79" si="16">D69/$C$18</f>
        <v>31.508088365498846</v>
      </c>
    </row>
    <row r="80" spans="2:6" ht="17.25" x14ac:dyDescent="0.4">
      <c r="B80" s="69"/>
      <c r="C80" s="65" t="s">
        <v>119</v>
      </c>
      <c r="D80" s="65"/>
      <c r="E80" s="113"/>
      <c r="F80" s="113"/>
    </row>
    <row r="81" spans="2:17" x14ac:dyDescent="0.25">
      <c r="B81" s="94"/>
      <c r="C81" s="95" t="s">
        <v>111</v>
      </c>
      <c r="D81" s="95" t="s">
        <v>24</v>
      </c>
      <c r="E81" s="113"/>
      <c r="F81" s="113"/>
    </row>
    <row r="82" spans="2:17" x14ac:dyDescent="0.25">
      <c r="B82" s="51" t="s">
        <v>116</v>
      </c>
      <c r="C82" s="240">
        <f>C69/$D$14</f>
        <v>7.4044710819023747</v>
      </c>
      <c r="D82" s="240">
        <f>D69/$D$14</f>
        <v>7.5177720279085394</v>
      </c>
      <c r="E82" s="113"/>
      <c r="F82" s="113"/>
    </row>
    <row r="83" spans="2:17" x14ac:dyDescent="0.25">
      <c r="B83" s="51" t="s">
        <v>117</v>
      </c>
      <c r="C83" s="241">
        <f>C69/$D$16</f>
        <v>30.679101790553428</v>
      </c>
      <c r="D83" s="241">
        <f t="shared" ref="D83" si="17">D69/$D$16</f>
        <v>31.148543998786899</v>
      </c>
      <c r="E83" s="113"/>
      <c r="F83" s="113"/>
    </row>
    <row r="84" spans="2:17" x14ac:dyDescent="0.25">
      <c r="B84" s="69" t="s">
        <v>118</v>
      </c>
      <c r="C84" s="241">
        <f>C69/$D$18</f>
        <v>34.524280346059271</v>
      </c>
      <c r="D84" s="241">
        <f t="shared" ref="D84" si="18">D69/$D$18</f>
        <v>35.052560297472844</v>
      </c>
      <c r="E84" s="113"/>
      <c r="F84" s="113"/>
    </row>
    <row r="86" spans="2:17" x14ac:dyDescent="0.25">
      <c r="B86" s="62" t="s">
        <v>120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4"/>
      <c r="C88" s="72"/>
      <c r="D88" s="115" t="s">
        <v>114</v>
      </c>
      <c r="E88" s="65"/>
      <c r="F88" s="65"/>
      <c r="G88" s="65"/>
      <c r="H88" s="65"/>
      <c r="I88" s="65"/>
      <c r="J88" s="116"/>
      <c r="L88" s="115" t="s">
        <v>121</v>
      </c>
      <c r="M88" s="65"/>
      <c r="N88" s="65"/>
      <c r="O88" s="65"/>
      <c r="P88" s="65"/>
      <c r="Q88" s="65"/>
    </row>
    <row r="89" spans="2:17" ht="15" customHeight="1" x14ac:dyDescent="0.25">
      <c r="B89" s="114"/>
      <c r="D89" s="93"/>
      <c r="E89" s="117" t="s">
        <v>122</v>
      </c>
      <c r="F89" s="117"/>
      <c r="G89" s="117"/>
      <c r="H89" s="117"/>
      <c r="I89" s="117"/>
      <c r="J89" s="118"/>
      <c r="L89" s="117" t="s">
        <v>122</v>
      </c>
      <c r="M89" s="117"/>
      <c r="N89" s="117"/>
      <c r="O89" s="117"/>
      <c r="P89" s="117"/>
      <c r="Q89" s="117"/>
    </row>
    <row r="90" spans="2:17" ht="15" customHeight="1" x14ac:dyDescent="0.25">
      <c r="B90" s="114"/>
      <c r="C90" s="119"/>
      <c r="D90" s="162">
        <f>C73</f>
        <v>926.02880166518003</v>
      </c>
      <c r="E90" s="197">
        <f>F90-0.005</f>
        <v>1.9999999999999997E-2</v>
      </c>
      <c r="F90" s="198">
        <f>G90-0.005</f>
        <v>2.4999999999999998E-2</v>
      </c>
      <c r="G90" s="120">
        <f>$C$42</f>
        <v>0.03</v>
      </c>
      <c r="H90" s="198">
        <f>G90+0.005</f>
        <v>3.4999999999999996E-2</v>
      </c>
      <c r="I90" s="222">
        <f>H90+0.005</f>
        <v>3.9999999999999994E-2</v>
      </c>
      <c r="K90" s="124"/>
      <c r="L90" s="121">
        <f>C78</f>
        <v>27.686524316657753</v>
      </c>
      <c r="M90" s="197">
        <f>N90-0.005</f>
        <v>1.9999999999999997E-2</v>
      </c>
      <c r="N90" s="198">
        <f>O90-0.005</f>
        <v>2.4999999999999998E-2</v>
      </c>
      <c r="O90" s="120">
        <f>$C$42</f>
        <v>0.03</v>
      </c>
      <c r="P90" s="198">
        <f>O90+0.005</f>
        <v>3.4999999999999996E-2</v>
      </c>
      <c r="Q90" s="222">
        <f>P90+0.005</f>
        <v>3.9999999999999994E-2</v>
      </c>
    </row>
    <row r="91" spans="2:17" ht="15" customHeight="1" x14ac:dyDescent="0.25">
      <c r="B91" s="114"/>
      <c r="D91" s="195">
        <f>D92+0.01</f>
        <v>0.10029911973603158</v>
      </c>
      <c r="E91" s="122">
        <f t="dataTable" ref="E91:I95" dt2D="1" dtr="1" r1="C42" r2="H4" ca="1"/>
        <v>605.39629061081087</v>
      </c>
      <c r="F91" s="122">
        <v>578.38420729820825</v>
      </c>
      <c r="G91" s="122">
        <v>578.38420729820825</v>
      </c>
      <c r="H91" s="122">
        <v>605.39629061081087</v>
      </c>
      <c r="I91" s="122">
        <v>670.9478064037005</v>
      </c>
      <c r="J91" s="123"/>
      <c r="L91" s="195">
        <f>L92+0.01</f>
        <v>0.10029911973603158</v>
      </c>
      <c r="M91" s="124">
        <f t="dataTable" ref="M91:Q95" dt2D="1" dtr="1" r1="C42" r2="H4" ca="1"/>
        <v>17.800748120744821</v>
      </c>
      <c r="N91" s="124">
        <v>16.967908651859947</v>
      </c>
      <c r="O91" s="124">
        <v>16.967908651859947</v>
      </c>
      <c r="P91" s="124">
        <v>17.800748120744821</v>
      </c>
      <c r="Q91" s="124">
        <v>19.821839532530802</v>
      </c>
    </row>
    <row r="92" spans="2:17" ht="15" customHeight="1" x14ac:dyDescent="0.25">
      <c r="B92" s="114"/>
      <c r="D92" s="195">
        <f>D93+0.01</f>
        <v>9.029911973603158E-2</v>
      </c>
      <c r="E92" s="122">
        <v>687.57171929831895</v>
      </c>
      <c r="F92" s="122">
        <v>651.64228204520748</v>
      </c>
      <c r="G92" s="122">
        <v>651.64228204520748</v>
      </c>
      <c r="H92" s="122">
        <v>687.57171929831895</v>
      </c>
      <c r="I92" s="122">
        <v>777.30619667091798</v>
      </c>
      <c r="J92" s="123"/>
      <c r="L92" s="195">
        <f>L93+0.01</f>
        <v>9.029911973603158E-2</v>
      </c>
      <c r="M92" s="124">
        <v>20.334389809594509</v>
      </c>
      <c r="N92" s="124">
        <v>19.226609521309495</v>
      </c>
      <c r="O92" s="124">
        <v>19.226609521309495</v>
      </c>
      <c r="P92" s="124">
        <v>20.334389809594509</v>
      </c>
      <c r="Q92" s="124">
        <v>23.101092903568357</v>
      </c>
    </row>
    <row r="93" spans="2:17" ht="15" customHeight="1" x14ac:dyDescent="0.25">
      <c r="B93" s="114"/>
      <c r="C93" s="119" t="s">
        <v>123</v>
      </c>
      <c r="D93" s="125">
        <f>WACC!$E$21</f>
        <v>8.0299119736031585E-2</v>
      </c>
      <c r="E93" s="122">
        <v>797.07445568545461</v>
      </c>
      <c r="F93" s="122">
        <v>747.40847155629376</v>
      </c>
      <c r="G93" s="122">
        <v>747.40847155629376</v>
      </c>
      <c r="H93" s="122">
        <v>797.07445568545461</v>
      </c>
      <c r="I93" s="122">
        <v>926.02880166518003</v>
      </c>
      <c r="J93" s="123"/>
      <c r="K93" s="119" t="s">
        <v>123</v>
      </c>
      <c r="L93" s="125">
        <f>WACC!$E$21</f>
        <v>8.0299119736031585E-2</v>
      </c>
      <c r="M93" s="124">
        <v>23.710589999661053</v>
      </c>
      <c r="N93" s="124">
        <v>22.179283015113274</v>
      </c>
      <c r="O93" s="124">
        <v>22.179283015113274</v>
      </c>
      <c r="P93" s="124">
        <v>23.710589999661053</v>
      </c>
      <c r="Q93" s="124">
        <v>27.686524316657753</v>
      </c>
    </row>
    <row r="94" spans="2:17" ht="15" customHeight="1" x14ac:dyDescent="0.25">
      <c r="B94" s="114"/>
      <c r="D94" s="195">
        <f t="shared" ref="D94:D95" si="19">D93-0.01</f>
        <v>7.029911973603159E-2</v>
      </c>
      <c r="E94" s="122">
        <v>950.2073312076061</v>
      </c>
      <c r="F94" s="122">
        <v>877.89734251081086</v>
      </c>
      <c r="G94" s="122">
        <v>877.89734251081086</v>
      </c>
      <c r="H94" s="122">
        <v>950.2073312076061</v>
      </c>
      <c r="I94" s="122">
        <v>1148.6572601017069</v>
      </c>
      <c r="J94" s="123"/>
      <c r="L94" s="195">
        <f t="shared" ref="L94:L95" si="20">L93-0.01</f>
        <v>7.029911973603159E-2</v>
      </c>
      <c r="M94" s="124">
        <v>28.431999349793617</v>
      </c>
      <c r="N94" s="124">
        <v>26.202529971798146</v>
      </c>
      <c r="O94" s="124">
        <v>26.202529971798146</v>
      </c>
      <c r="P94" s="124">
        <v>28.431999349793617</v>
      </c>
      <c r="Q94" s="124">
        <v>34.550628981862495</v>
      </c>
    </row>
    <row r="95" spans="2:17" ht="15" customHeight="1" x14ac:dyDescent="0.25">
      <c r="B95" s="126" t="s">
        <v>124</v>
      </c>
      <c r="D95" s="196">
        <f t="shared" si="19"/>
        <v>6.0299119736031588E-2</v>
      </c>
      <c r="E95" s="122">
        <v>1179.4552705092642</v>
      </c>
      <c r="F95" s="122">
        <v>1066.1094148721854</v>
      </c>
      <c r="G95" s="122">
        <v>1066.1094148721854</v>
      </c>
      <c r="H95" s="122">
        <v>1179.4552705092642</v>
      </c>
      <c r="I95" s="122">
        <v>1518.3738615983038</v>
      </c>
      <c r="J95" s="123"/>
      <c r="L95" s="196">
        <f t="shared" si="20"/>
        <v>6.0299119736031588E-2</v>
      </c>
      <c r="M95" s="124">
        <v>35.500196563662961</v>
      </c>
      <c r="N95" s="124">
        <v>32.005504905983834</v>
      </c>
      <c r="O95" s="124">
        <v>32.005504905983834</v>
      </c>
      <c r="P95" s="124">
        <v>35.500196563662961</v>
      </c>
      <c r="Q95" s="124">
        <v>45.949771153347172</v>
      </c>
    </row>
    <row r="96" spans="2:17" ht="15" customHeight="1" x14ac:dyDescent="0.25">
      <c r="B96" s="126" t="s">
        <v>125</v>
      </c>
      <c r="E96" s="127"/>
      <c r="F96" s="127"/>
      <c r="G96" s="127"/>
      <c r="H96" s="127"/>
      <c r="I96" s="127"/>
      <c r="J96" s="127"/>
    </row>
    <row r="97" spans="2:17" ht="17.25" customHeight="1" x14ac:dyDescent="0.4">
      <c r="B97" s="114"/>
      <c r="D97" s="115" t="s">
        <v>114</v>
      </c>
      <c r="E97" s="65"/>
      <c r="F97" s="65"/>
      <c r="G97" s="65"/>
      <c r="H97" s="65"/>
      <c r="I97" s="65"/>
      <c r="J97" s="116"/>
      <c r="L97" s="115" t="s">
        <v>121</v>
      </c>
      <c r="M97" s="65"/>
      <c r="N97" s="65"/>
      <c r="O97" s="65"/>
      <c r="P97" s="65"/>
      <c r="Q97" s="65"/>
    </row>
    <row r="98" spans="2:17" ht="15" customHeight="1" x14ac:dyDescent="0.25">
      <c r="B98" s="114"/>
      <c r="E98" s="117" t="s">
        <v>126</v>
      </c>
      <c r="F98" s="117"/>
      <c r="G98" s="117"/>
      <c r="H98" s="117"/>
      <c r="I98" s="117"/>
      <c r="J98" s="118"/>
      <c r="M98" s="117" t="s">
        <v>126</v>
      </c>
      <c r="N98" s="117"/>
      <c r="O98" s="117"/>
      <c r="P98" s="117"/>
      <c r="Q98" s="117"/>
    </row>
    <row r="99" spans="2:17" ht="15" customHeight="1" x14ac:dyDescent="0.25">
      <c r="B99" s="114"/>
      <c r="D99" s="163">
        <f>D73</f>
        <v>939.76937061789192</v>
      </c>
      <c r="E99" s="164">
        <f>+F99-0.5</f>
        <v>17.100000000000001</v>
      </c>
      <c r="F99" s="164">
        <f>+G99-0.5</f>
        <v>17.600000000000001</v>
      </c>
      <c r="G99" s="128">
        <f>$I$43</f>
        <v>18.100000000000001</v>
      </c>
      <c r="H99" s="164">
        <f>+G99+0.5</f>
        <v>18.600000000000001</v>
      </c>
      <c r="I99" s="224">
        <f>+H99+0.5</f>
        <v>19.100000000000001</v>
      </c>
      <c r="J99" s="223"/>
      <c r="L99" s="121">
        <f>D78</f>
        <v>28.110175022022389</v>
      </c>
      <c r="M99" s="164">
        <f>+N99-0.5</f>
        <v>17.100000000000001</v>
      </c>
      <c r="N99" s="164">
        <f>+O99-0.5</f>
        <v>17.600000000000001</v>
      </c>
      <c r="O99" s="128">
        <f>$I$43</f>
        <v>18.100000000000001</v>
      </c>
      <c r="P99" s="164">
        <f>+O99+0.5</f>
        <v>18.600000000000001</v>
      </c>
      <c r="Q99" s="224">
        <f>+P99+0.5</f>
        <v>19.100000000000001</v>
      </c>
    </row>
    <row r="100" spans="2:17" ht="15" customHeight="1" x14ac:dyDescent="0.25">
      <c r="B100" s="114"/>
      <c r="D100" s="195">
        <f>D101+0.01</f>
        <v>0.10029911973603158</v>
      </c>
      <c r="E100" s="122">
        <f t="dataTable" ref="E100:I104" dt2D="1" dtr="1" r1="I43" r2="H4" ca="1"/>
        <v>840.88322151841032</v>
      </c>
      <c r="F100" s="122">
        <v>821.50667563236266</v>
      </c>
      <c r="G100" s="122">
        <v>821.50667563236266</v>
      </c>
      <c r="H100" s="122">
        <v>840.88322151841032</v>
      </c>
      <c r="I100" s="122">
        <v>879.63631329050531</v>
      </c>
      <c r="J100" s="123"/>
      <c r="L100" s="195">
        <f>L101+0.01</f>
        <v>0.10029911973603158</v>
      </c>
      <c r="M100" s="124">
        <f t="dataTable" ref="M100:Q104" dt2D="1" dtr="1" r1="I43" r2="H4" ca="1"/>
        <v>25.061306597362272</v>
      </c>
      <c r="N100" s="124">
        <v>24.463886842736009</v>
      </c>
      <c r="O100" s="124">
        <v>24.463886842736009</v>
      </c>
      <c r="P100" s="124">
        <v>25.061306597362272</v>
      </c>
      <c r="Q100" s="124">
        <v>26.256146106614793</v>
      </c>
    </row>
    <row r="101" spans="2:17" ht="15" customHeight="1" x14ac:dyDescent="0.25">
      <c r="B101" s="114"/>
      <c r="D101" s="195">
        <f>D102+0.01</f>
        <v>9.029911973603158E-2</v>
      </c>
      <c r="E101" s="122">
        <v>868.82372780397327</v>
      </c>
      <c r="F101" s="122">
        <v>848.72270056346292</v>
      </c>
      <c r="G101" s="122">
        <v>848.72270056346292</v>
      </c>
      <c r="H101" s="122">
        <v>868.82372780397327</v>
      </c>
      <c r="I101" s="122">
        <v>909.0257822849934</v>
      </c>
      <c r="J101" s="123"/>
      <c r="L101" s="195">
        <f>L102+0.01</f>
        <v>9.029911973603158E-2</v>
      </c>
      <c r="M101" s="124">
        <v>25.922771303580841</v>
      </c>
      <c r="N101" s="124">
        <v>25.303014261619683</v>
      </c>
      <c r="O101" s="124">
        <v>25.303014261619683</v>
      </c>
      <c r="P101" s="124">
        <v>25.922771303580841</v>
      </c>
      <c r="Q101" s="124">
        <v>27.162285387503143</v>
      </c>
    </row>
    <row r="102" spans="2:17" ht="15" customHeight="1" x14ac:dyDescent="0.25">
      <c r="B102" s="114"/>
      <c r="C102" s="119" t="s">
        <v>123</v>
      </c>
      <c r="D102" s="125">
        <f>WACC!$E$21</f>
        <v>8.0299119736031585E-2</v>
      </c>
      <c r="E102" s="122">
        <v>898.0500689523476</v>
      </c>
      <c r="F102" s="122">
        <v>877.19041811957561</v>
      </c>
      <c r="G102" s="122">
        <v>877.19041811957561</v>
      </c>
      <c r="H102" s="122">
        <v>898.0500689523476</v>
      </c>
      <c r="I102" s="122">
        <v>939.76937061789192</v>
      </c>
      <c r="J102" s="123"/>
      <c r="K102" s="119" t="s">
        <v>123</v>
      </c>
      <c r="L102" s="125">
        <f>WACC!$E$21</f>
        <v>8.0299119736031585E-2</v>
      </c>
      <c r="M102" s="124">
        <v>26.823881009106735</v>
      </c>
      <c r="N102" s="124">
        <v>26.180734002648908</v>
      </c>
      <c r="O102" s="124">
        <v>26.180734002648908</v>
      </c>
      <c r="P102" s="124">
        <v>26.823881009106735</v>
      </c>
      <c r="Q102" s="124">
        <v>28.110175022022389</v>
      </c>
    </row>
    <row r="103" spans="2:17" ht="15" customHeight="1" x14ac:dyDescent="0.25">
      <c r="B103" s="114"/>
      <c r="D103" s="195">
        <f t="shared" ref="D103:D104" si="21">D102-0.01</f>
        <v>7.029911973603159E-2</v>
      </c>
      <c r="E103" s="122">
        <v>928.63473828793019</v>
      </c>
      <c r="F103" s="122">
        <v>906.98037389984688</v>
      </c>
      <c r="G103" s="122">
        <v>906.98037389984688</v>
      </c>
      <c r="H103" s="122">
        <v>928.63473828793019</v>
      </c>
      <c r="I103" s="122">
        <v>971.94346706409658</v>
      </c>
      <c r="J103" s="123"/>
      <c r="L103" s="195">
        <f t="shared" ref="L103:L104" si="22">L102-0.01</f>
        <v>7.029911973603159E-2</v>
      </c>
      <c r="M103" s="124">
        <v>27.76687083594404</v>
      </c>
      <c r="N103" s="124">
        <v>27.099221135352575</v>
      </c>
      <c r="O103" s="124">
        <v>27.099221135352575</v>
      </c>
      <c r="P103" s="124">
        <v>27.76687083594404</v>
      </c>
      <c r="Q103" s="124">
        <v>29.102170237126959</v>
      </c>
    </row>
    <row r="104" spans="2:17" ht="15" customHeight="1" x14ac:dyDescent="0.25">
      <c r="B104" s="114"/>
      <c r="D104" s="196">
        <f t="shared" si="21"/>
        <v>6.0299119736031588E-2</v>
      </c>
      <c r="E104" s="122">
        <v>960.65506322412023</v>
      </c>
      <c r="F104" s="122">
        <v>938.16781678778602</v>
      </c>
      <c r="G104" s="122">
        <v>938.16781678778602</v>
      </c>
      <c r="H104" s="122">
        <v>960.65506322412023</v>
      </c>
      <c r="I104" s="122">
        <v>1005.6295560967884</v>
      </c>
      <c r="J104" s="123"/>
      <c r="L104" s="196">
        <f t="shared" si="22"/>
        <v>6.0299119736031588E-2</v>
      </c>
      <c r="M104" s="124">
        <v>28.754124951250859</v>
      </c>
      <c r="N104" s="124">
        <v>28.060795741430816</v>
      </c>
      <c r="O104" s="124">
        <v>28.060795741430816</v>
      </c>
      <c r="P104" s="124">
        <v>28.754124951250859</v>
      </c>
      <c r="Q104" s="124">
        <v>30.140783370890926</v>
      </c>
    </row>
    <row r="105" spans="2:17" x14ac:dyDescent="0.25">
      <c r="J105" s="129"/>
    </row>
    <row r="106" spans="2:17" x14ac:dyDescent="0.25">
      <c r="B106" s="130" t="s">
        <v>127</v>
      </c>
      <c r="C106" s="130"/>
      <c r="D106" s="130"/>
      <c r="E106" s="130"/>
      <c r="G106" s="130" t="s">
        <v>128</v>
      </c>
      <c r="H106" s="130"/>
      <c r="I106" s="130"/>
      <c r="J106" s="131"/>
      <c r="K106" s="130"/>
      <c r="L106" s="130"/>
      <c r="M106" s="130"/>
      <c r="N106" s="130"/>
      <c r="O106" s="130"/>
      <c r="P106" s="130"/>
    </row>
    <row r="107" spans="2:17" x14ac:dyDescent="0.25">
      <c r="J107" s="129"/>
    </row>
    <row r="108" spans="2:17" x14ac:dyDescent="0.25">
      <c r="J108" s="129"/>
    </row>
    <row r="109" spans="2:17" x14ac:dyDescent="0.25">
      <c r="J109" s="129"/>
    </row>
    <row r="110" spans="2:17" x14ac:dyDescent="0.25">
      <c r="J110" s="129"/>
    </row>
    <row r="111" spans="2:17" x14ac:dyDescent="0.25">
      <c r="J111" s="129"/>
    </row>
    <row r="112" spans="2:17" x14ac:dyDescent="0.25">
      <c r="J112" s="129"/>
    </row>
    <row r="113" spans="2:17" x14ac:dyDescent="0.25">
      <c r="J113" s="129"/>
    </row>
    <row r="114" spans="2:17" x14ac:dyDescent="0.25">
      <c r="J114" s="129"/>
    </row>
    <row r="115" spans="2:17" x14ac:dyDescent="0.25">
      <c r="J115" s="129"/>
    </row>
    <row r="116" spans="2:17" x14ac:dyDescent="0.25">
      <c r="J116" s="129"/>
    </row>
    <row r="117" spans="2:17" x14ac:dyDescent="0.25">
      <c r="J117" s="129"/>
    </row>
    <row r="118" spans="2:17" x14ac:dyDescent="0.25">
      <c r="J118" s="129"/>
    </row>
    <row r="119" spans="2:17" x14ac:dyDescent="0.25">
      <c r="J119" s="129"/>
    </row>
    <row r="120" spans="2:17" x14ac:dyDescent="0.25">
      <c r="J120" s="129"/>
      <c r="M120" s="132"/>
    </row>
    <row r="121" spans="2:17" x14ac:dyDescent="0.25">
      <c r="J121" s="129"/>
    </row>
    <row r="122" spans="2:17" x14ac:dyDescent="0.25">
      <c r="J122" s="129"/>
    </row>
    <row r="123" spans="2:17" x14ac:dyDescent="0.25">
      <c r="J123" s="129"/>
    </row>
    <row r="124" spans="2:17" x14ac:dyDescent="0.25">
      <c r="J124" s="129"/>
    </row>
    <row r="125" spans="2:17" x14ac:dyDescent="0.25">
      <c r="J125" s="129"/>
    </row>
    <row r="126" spans="2:17" x14ac:dyDescent="0.25">
      <c r="J126" s="129"/>
    </row>
    <row r="127" spans="2:17" x14ac:dyDescent="0.25">
      <c r="B127" s="133"/>
      <c r="C127" s="134" t="s">
        <v>129</v>
      </c>
      <c r="D127" s="134" t="s">
        <v>130</v>
      </c>
      <c r="E127" s="135" t="s">
        <v>131</v>
      </c>
      <c r="G127" s="133"/>
      <c r="H127" s="136"/>
      <c r="I127" s="136"/>
      <c r="J127" s="137"/>
      <c r="K127" s="136"/>
      <c r="L127" s="136"/>
      <c r="M127" s="136"/>
      <c r="N127" s="136"/>
      <c r="O127" s="134" t="s">
        <v>129</v>
      </c>
      <c r="P127" s="134" t="s">
        <v>130</v>
      </c>
      <c r="Q127" s="135" t="s">
        <v>131</v>
      </c>
    </row>
    <row r="128" spans="2:17" x14ac:dyDescent="0.25">
      <c r="B128" s="165" t="str">
        <f>"DCF Value at "&amp;TEXT(E99,"0.0x")&amp;"-"&amp;TEXT(I99,"0.0x")&amp;" Exit EBITDA Range at "&amp;TEXT(D102,"0.0%")&amp;" WACC"</f>
        <v>DCF Value at 17.1x-19.1x Exit EBITDA Range at 8.0% WACC</v>
      </c>
      <c r="C128" s="166">
        <f>E102</f>
        <v>898.0500689523476</v>
      </c>
      <c r="D128" s="166">
        <f>E128-C128</f>
        <v>41.719301665544322</v>
      </c>
      <c r="E128" s="167">
        <f>I102</f>
        <v>939.76937061789192</v>
      </c>
      <c r="G128" s="165" t="str">
        <f>"LTM EBITDA Purchase Multiple at "&amp;TEXT(M90,"0.0%")&amp;"-"&amp;TEXT(Q90,"0.0%")&amp;" Perpetuity Growth at "&amp;TEXT(L93,"0.0%")&amp;" WACC"</f>
        <v>LTM EBITDA Purchase Multiple at 2.0%-4.0% Perpetuity Growth at 8.0% WACC</v>
      </c>
      <c r="H128"/>
      <c r="I128"/>
      <c r="J128" s="173"/>
      <c r="K128"/>
      <c r="L128"/>
      <c r="M128"/>
      <c r="N128"/>
      <c r="O128" s="174">
        <f>M93</f>
        <v>23.710589999661053</v>
      </c>
      <c r="P128" s="174">
        <f>Q128-O128</f>
        <v>3.9759343169966996</v>
      </c>
      <c r="Q128" s="175">
        <f>Q93</f>
        <v>27.686524316657753</v>
      </c>
    </row>
    <row r="129" spans="2:17" x14ac:dyDescent="0.25">
      <c r="B129" s="168" t="str">
        <f>"DCF Value at "&amp;TEXT(E90,"0.0%")&amp;"-"&amp;TEXT(I90,"0.0%")&amp;" Perpetuity Range at "&amp;TEXT(D102,"0.0%")&amp;" WACC"</f>
        <v>DCF Value at 2.0%-4.0% Perpetuity Range at 8.0% WACC</v>
      </c>
      <c r="C129" s="166">
        <f>E93</f>
        <v>797.07445568545461</v>
      </c>
      <c r="D129" s="166">
        <f>E129-C129</f>
        <v>128.95434597972542</v>
      </c>
      <c r="E129" s="167">
        <f>I93</f>
        <v>926.02880166518003</v>
      </c>
      <c r="G129" s="168" t="str">
        <f>"LTM EBITDA Purchase Multiple at "&amp;TEXT(M102,"0.0x")&amp;"-"&amp;TEXT(Q102,"0.0x")&amp;" Exit EBITDA Multiple at "&amp;TEXT(L102,"0.0%")&amp;" WACC"</f>
        <v>LTM EBITDA Purchase Multiple at 26.8x-28.1x Exit EBITDA Multiple at 8.0% WACC</v>
      </c>
      <c r="H129"/>
      <c r="I129"/>
      <c r="J129" s="173"/>
      <c r="K129"/>
      <c r="L129"/>
      <c r="M129"/>
      <c r="N129"/>
      <c r="O129" s="174">
        <f>M102</f>
        <v>26.823881009106735</v>
      </c>
      <c r="P129" s="174">
        <f>Q129-O129</f>
        <v>1.2862940129156542</v>
      </c>
      <c r="Q129" s="175">
        <f>Q102</f>
        <v>28.110175022022389</v>
      </c>
    </row>
    <row r="130" spans="2:17" x14ac:dyDescent="0.25">
      <c r="B130" s="169" t="s">
        <v>132</v>
      </c>
      <c r="C130" s="170">
        <v>504.5</v>
      </c>
      <c r="D130" s="171">
        <f>E130-C130</f>
        <v>520.5</v>
      </c>
      <c r="E130" s="172">
        <v>1025</v>
      </c>
      <c r="G130" s="169" t="str">
        <f>"LTM EBITDA Purchase Multiple at "&amp;TEXT(L104,"0.0%")&amp;"-"&amp;TEXT(L100,"0.0%")&amp;" WACC at "&amp;TEXT(O99,"0.0x")&amp;" Exit EBITDA"</f>
        <v>LTM EBITDA Purchase Multiple at 6.0%-10.0% WACC at 18.1x Exit EBITDA</v>
      </c>
      <c r="H130" s="40"/>
      <c r="I130" s="40"/>
      <c r="J130" s="176"/>
      <c r="K130" s="40"/>
      <c r="L130" s="40"/>
      <c r="M130" s="40"/>
      <c r="N130" s="40"/>
      <c r="O130" s="171">
        <f>O100</f>
        <v>24.463886842736009</v>
      </c>
      <c r="P130" s="171">
        <f>Q130-O130</f>
        <v>3.5969088986948066</v>
      </c>
      <c r="Q130" s="177">
        <f>O104</f>
        <v>28.060795741430816</v>
      </c>
    </row>
    <row r="131" spans="2:17" x14ac:dyDescent="0.25">
      <c r="J131" s="129"/>
    </row>
    <row r="132" spans="2:17" x14ac:dyDescent="0.25">
      <c r="J132" s="129"/>
    </row>
  </sheetData>
  <conditionalFormatting sqref="E91:J95 E100:J104">
    <cfRule type="cellIs" dxfId="1" priority="2" operator="lessThan">
      <formula>#REF!</formula>
    </cfRule>
  </conditionalFormatting>
  <dataValidations disablePrompts="1" count="1">
    <dataValidation type="list" allowBlank="1" showInputMessage="1" showErrorMessage="1" sqref="H9" xr:uid="{CB45C56C-AFB1-4E43-A477-1FC1C59EBD22}">
      <formula1>"0,1"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4E94-4BEA-4BEC-A3D4-AE92824096F5}">
  <dimension ref="B1:I24"/>
  <sheetViews>
    <sheetView zoomScaleNormal="100" workbookViewId="0">
      <selection activeCell="C6" sqref="C6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6384" width="9.140625" style="51"/>
  </cols>
  <sheetData>
    <row r="1" spans="2:9" ht="15.75" thickBot="1" x14ac:dyDescent="0.3"/>
    <row r="2" spans="2:9" ht="15.75" thickBot="1" x14ac:dyDescent="0.3">
      <c r="B2" s="52" t="s">
        <v>133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Saudi riyal, except per-share data, ratios, and shares outstanding</v>
      </c>
    </row>
    <row r="4" spans="2:9" ht="15" customHeight="1" x14ac:dyDescent="0.25">
      <c r="B4" s="139" t="s">
        <v>134</v>
      </c>
      <c r="C4" s="140"/>
      <c r="D4" s="140"/>
      <c r="E4" s="141"/>
      <c r="F4" s="142"/>
    </row>
    <row r="5" spans="2:9" x14ac:dyDescent="0.25">
      <c r="E5" s="94"/>
    </row>
    <row r="6" spans="2:9" ht="15" customHeight="1" x14ac:dyDescent="0.25">
      <c r="B6" s="51" t="s">
        <v>135</v>
      </c>
      <c r="C6" s="275">
        <v>6.6271608004176932E-2</v>
      </c>
    </row>
    <row r="7" spans="2:9" ht="15" customHeight="1" x14ac:dyDescent="0.25">
      <c r="B7" s="51" t="s">
        <v>26</v>
      </c>
      <c r="C7" s="275">
        <v>2.5000000000000001E-2</v>
      </c>
    </row>
    <row r="8" spans="2:9" ht="15" customHeight="1" x14ac:dyDescent="0.25">
      <c r="B8" s="51" t="s">
        <v>136</v>
      </c>
      <c r="C8" s="146">
        <f>C6*(1-C7)</f>
        <v>6.4614817804072508E-2</v>
      </c>
    </row>
    <row r="10" spans="2:9" x14ac:dyDescent="0.25">
      <c r="B10" s="51" t="s">
        <v>137</v>
      </c>
      <c r="C10" s="145">
        <v>0.05</v>
      </c>
    </row>
    <row r="11" spans="2:9" x14ac:dyDescent="0.25">
      <c r="B11" s="51" t="s">
        <v>138</v>
      </c>
      <c r="C11" s="159">
        <f>(2/3*0.43)+1/3</f>
        <v>0.61999999999999988</v>
      </c>
    </row>
    <row r="12" spans="2:9" ht="15" customHeight="1" x14ac:dyDescent="0.25">
      <c r="B12" s="51" t="s">
        <v>139</v>
      </c>
      <c r="C12" s="147">
        <v>5.0099999999999999E-2</v>
      </c>
    </row>
    <row r="13" spans="2:9" x14ac:dyDescent="0.25">
      <c r="B13" s="51" t="s">
        <v>140</v>
      </c>
      <c r="C13" s="148">
        <f>C10+C11*C12</f>
        <v>8.1061999999999995E-2</v>
      </c>
    </row>
    <row r="14" spans="2:9" x14ac:dyDescent="0.25">
      <c r="C14" s="149"/>
    </row>
    <row r="15" spans="2:9" x14ac:dyDescent="0.25">
      <c r="B15" s="143" t="s">
        <v>141</v>
      </c>
      <c r="C15" s="150"/>
      <c r="D15" s="150"/>
      <c r="E15" s="150"/>
    </row>
    <row r="16" spans="2:9" x14ac:dyDescent="0.25">
      <c r="B16" s="72"/>
      <c r="C16" s="119"/>
      <c r="D16" s="119" t="s">
        <v>142</v>
      </c>
    </row>
    <row r="17" spans="2:5" ht="17.25" x14ac:dyDescent="0.4">
      <c r="C17" s="151" t="s">
        <v>143</v>
      </c>
      <c r="D17" s="151" t="s">
        <v>144</v>
      </c>
      <c r="E17" s="151" t="s">
        <v>145</v>
      </c>
    </row>
    <row r="18" spans="2:5" x14ac:dyDescent="0.25">
      <c r="B18" s="51" t="s">
        <v>15</v>
      </c>
      <c r="C18" s="70">
        <f>DCF!H5*DCF!I61</f>
        <v>54007025128</v>
      </c>
      <c r="D18" s="152"/>
      <c r="E18" s="153">
        <f>C18/(C18+C19)</f>
        <v>0.9536163547724722</v>
      </c>
    </row>
    <row r="19" spans="2:5" x14ac:dyDescent="0.25">
      <c r="B19" s="51" t="s">
        <v>100</v>
      </c>
      <c r="C19" s="70">
        <f>DCF!C57</f>
        <v>2626887302</v>
      </c>
      <c r="D19" s="154"/>
      <c r="E19" s="153">
        <f>C19/(C19+C18)</f>
        <v>4.6383645227527859E-2</v>
      </c>
    </row>
    <row r="21" spans="2:5" x14ac:dyDescent="0.25">
      <c r="B21" s="144" t="s">
        <v>146</v>
      </c>
      <c r="C21" s="155"/>
      <c r="D21" s="136"/>
      <c r="E21" s="156">
        <f>E18*C13+E19*C8</f>
        <v>8.0299119736031585E-2</v>
      </c>
    </row>
    <row r="22" spans="2:5" x14ac:dyDescent="0.25">
      <c r="B22" s="71"/>
      <c r="C22" s="99"/>
    </row>
    <row r="23" spans="2:5" x14ac:dyDescent="0.25">
      <c r="B23" s="71"/>
      <c r="C23" s="99"/>
    </row>
    <row r="24" spans="2:5" x14ac:dyDescent="0.25">
      <c r="B24" s="71"/>
      <c r="C24" s="99"/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11" xr:uid="{BA86EDE5-7159-4B66-829E-7171B4D698DF}">
      <formula1>"0.43,=(2/3*0.43)+1/3"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FSM</vt:lpstr>
      <vt:lpstr>DCF</vt:lpstr>
      <vt:lpstr>WACC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0</cp:revision>
  <dcterms:created xsi:type="dcterms:W3CDTF">2015-06-05T18:17:20Z</dcterms:created>
  <dcterms:modified xsi:type="dcterms:W3CDTF">2026-06-28T14:40:32Z</dcterms:modified>
  <dc:language>en-US</dc:language>
</cp:coreProperties>
</file>