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Eastern Company\"/>
    </mc:Choice>
  </mc:AlternateContent>
  <xr:revisionPtr revIDLastSave="0" documentId="13_ncr:1_{E3B8742E-6CBA-4572-82BF-9598EFFFD1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perating Model" sheetId="1" r:id="rId1"/>
    <sheet name="DCF" sheetId="2" r:id="rId2"/>
    <sheet name="WACC" sheetId="3" r:id="rId3"/>
    <sheet name="Ratios" sheetId="4" r:id="rId4"/>
  </sheets>
  <definedNames>
    <definedName name="Company_Name" localSheetId="1">DCF!$D$7</definedName>
    <definedName name="Company_Name">'Operating Model'!$D$7</definedName>
    <definedName name="Hist_Yr" localSheetId="1">DCF!$D$9</definedName>
    <definedName name="Hist_Yr">'Operating Model'!$D$9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4" l="1"/>
  <c r="J14" i="4"/>
  <c r="K14" i="4"/>
  <c r="L14" i="4"/>
  <c r="H14" i="4"/>
  <c r="I13" i="4"/>
  <c r="J13" i="4"/>
  <c r="K13" i="4"/>
  <c r="L13" i="4"/>
  <c r="H13" i="4"/>
  <c r="E13" i="4"/>
  <c r="F13" i="4"/>
  <c r="G13" i="4"/>
  <c r="F43" i="4"/>
  <c r="G43" i="4"/>
  <c r="H43" i="4"/>
  <c r="I43" i="4"/>
  <c r="J43" i="4"/>
  <c r="K43" i="4"/>
  <c r="L43" i="4"/>
  <c r="E43" i="4"/>
  <c r="G38" i="4"/>
  <c r="H38" i="4"/>
  <c r="I38" i="4"/>
  <c r="J38" i="4"/>
  <c r="K38" i="4"/>
  <c r="L38" i="4"/>
  <c r="F39" i="4"/>
  <c r="G39" i="4"/>
  <c r="H39" i="4"/>
  <c r="I39" i="4"/>
  <c r="J39" i="4"/>
  <c r="K39" i="4"/>
  <c r="L39" i="4"/>
  <c r="F30" i="4"/>
  <c r="G30" i="4"/>
  <c r="H30" i="4"/>
  <c r="I30" i="4"/>
  <c r="J30" i="4"/>
  <c r="K30" i="4"/>
  <c r="L30" i="4"/>
  <c r="F31" i="4"/>
  <c r="G31" i="4"/>
  <c r="H31" i="4"/>
  <c r="I31" i="4"/>
  <c r="J31" i="4"/>
  <c r="K31" i="4"/>
  <c r="L31" i="4"/>
  <c r="F32" i="4"/>
  <c r="G32" i="4"/>
  <c r="H32" i="4"/>
  <c r="I32" i="4"/>
  <c r="J32" i="4"/>
  <c r="K32" i="4"/>
  <c r="L32" i="4"/>
  <c r="F33" i="4"/>
  <c r="G33" i="4"/>
  <c r="H33" i="4"/>
  <c r="I33" i="4"/>
  <c r="J33" i="4"/>
  <c r="K33" i="4"/>
  <c r="L33" i="4"/>
  <c r="E33" i="4"/>
  <c r="E32" i="4"/>
  <c r="E31" i="4"/>
  <c r="F38" i="4"/>
  <c r="E30" i="4"/>
  <c r="F17" i="4"/>
  <c r="G17" i="4"/>
  <c r="H17" i="4"/>
  <c r="I17" i="4"/>
  <c r="J17" i="4"/>
  <c r="K17" i="4"/>
  <c r="L17" i="4"/>
  <c r="F18" i="4"/>
  <c r="G18" i="4"/>
  <c r="H18" i="4"/>
  <c r="I18" i="4"/>
  <c r="J18" i="4"/>
  <c r="K18" i="4"/>
  <c r="L18" i="4"/>
  <c r="F19" i="4"/>
  <c r="G19" i="4"/>
  <c r="H19" i="4"/>
  <c r="I19" i="4"/>
  <c r="J19" i="4"/>
  <c r="K19" i="4"/>
  <c r="L19" i="4"/>
  <c r="F22" i="4"/>
  <c r="G22" i="4"/>
  <c r="H22" i="4"/>
  <c r="I22" i="4"/>
  <c r="J22" i="4"/>
  <c r="K22" i="4"/>
  <c r="L22" i="4"/>
  <c r="F23" i="4"/>
  <c r="G23" i="4"/>
  <c r="H23" i="4"/>
  <c r="I23" i="4"/>
  <c r="J23" i="4"/>
  <c r="K23" i="4"/>
  <c r="L23" i="4"/>
  <c r="F24" i="4"/>
  <c r="G24" i="4"/>
  <c r="H24" i="4"/>
  <c r="I24" i="4"/>
  <c r="J24" i="4"/>
  <c r="K24" i="4"/>
  <c r="L24" i="4"/>
  <c r="F25" i="4"/>
  <c r="G25" i="4"/>
  <c r="H25" i="4"/>
  <c r="I25" i="4"/>
  <c r="J25" i="4"/>
  <c r="K25" i="4"/>
  <c r="L25" i="4"/>
  <c r="F26" i="4"/>
  <c r="G26" i="4"/>
  <c r="H26" i="4"/>
  <c r="I26" i="4"/>
  <c r="J26" i="4"/>
  <c r="K26" i="4"/>
  <c r="L26" i="4"/>
  <c r="F27" i="4"/>
  <c r="G27" i="4"/>
  <c r="H27" i="4"/>
  <c r="I27" i="4"/>
  <c r="J27" i="4"/>
  <c r="K27" i="4"/>
  <c r="L27" i="4"/>
  <c r="E27" i="4"/>
  <c r="E26" i="4"/>
  <c r="E25" i="4"/>
  <c r="E24" i="4"/>
  <c r="E23" i="4"/>
  <c r="E22" i="4"/>
  <c r="E19" i="4"/>
  <c r="E18" i="4"/>
  <c r="E17" i="4"/>
  <c r="E37" i="4"/>
  <c r="E42" i="4" s="1"/>
  <c r="E44" i="4" s="1"/>
  <c r="F8" i="4"/>
  <c r="G8" i="4"/>
  <c r="H8" i="4"/>
  <c r="I8" i="4"/>
  <c r="J8" i="4"/>
  <c r="K8" i="4"/>
  <c r="L8" i="4"/>
  <c r="F9" i="4"/>
  <c r="G9" i="4"/>
  <c r="H9" i="4"/>
  <c r="I9" i="4"/>
  <c r="J9" i="4"/>
  <c r="K9" i="4"/>
  <c r="L9" i="4"/>
  <c r="F10" i="4"/>
  <c r="G10" i="4"/>
  <c r="H10" i="4"/>
  <c r="I10" i="4"/>
  <c r="J10" i="4"/>
  <c r="K10" i="4"/>
  <c r="L10" i="4"/>
  <c r="F11" i="4"/>
  <c r="G11" i="4"/>
  <c r="H11" i="4"/>
  <c r="I11" i="4"/>
  <c r="J11" i="4"/>
  <c r="K11" i="4"/>
  <c r="L11" i="4"/>
  <c r="F12" i="4"/>
  <c r="G12" i="4"/>
  <c r="H12" i="4"/>
  <c r="I12" i="4"/>
  <c r="J12" i="4"/>
  <c r="K12" i="4"/>
  <c r="L12" i="4"/>
  <c r="E12" i="4"/>
  <c r="L34" i="4" l="1"/>
  <c r="G34" i="4"/>
  <c r="F37" i="4"/>
  <c r="F40" i="4" s="1"/>
  <c r="H34" i="4"/>
  <c r="K34" i="4"/>
  <c r="J34" i="4"/>
  <c r="F34" i="4"/>
  <c r="E34" i="4"/>
  <c r="I34" i="4"/>
  <c r="E40" i="4"/>
  <c r="F42" i="4"/>
  <c r="F44" i="4" s="1"/>
  <c r="E11" i="4"/>
  <c r="E10" i="4"/>
  <c r="E9" i="4"/>
  <c r="E8" i="4"/>
  <c r="F41" i="4" l="1"/>
  <c r="G37" i="4"/>
  <c r="G42" i="4" s="1"/>
  <c r="G44" i="4" s="1"/>
  <c r="K59" i="2"/>
  <c r="L59" i="2" s="1"/>
  <c r="J59" i="2"/>
  <c r="E13" i="3"/>
  <c r="L67" i="2"/>
  <c r="L68" i="2"/>
  <c r="E6" i="3" s="1"/>
  <c r="E18" i="3" s="1"/>
  <c r="E12" i="3" s="1"/>
  <c r="F30" i="2"/>
  <c r="G30" i="2"/>
  <c r="H30" i="2"/>
  <c r="I30" i="2"/>
  <c r="I52" i="2" s="1"/>
  <c r="J30" i="2"/>
  <c r="J52" i="2" s="1"/>
  <c r="K30" i="2"/>
  <c r="K52" i="2" s="1"/>
  <c r="L30" i="2"/>
  <c r="F33" i="2"/>
  <c r="G33" i="2"/>
  <c r="H33" i="2"/>
  <c r="H55" i="2" s="1"/>
  <c r="I33" i="2"/>
  <c r="J33" i="2"/>
  <c r="J55" i="2" s="1"/>
  <c r="K33" i="2"/>
  <c r="K55" i="2" s="1"/>
  <c r="L33" i="2"/>
  <c r="L55" i="2" s="1"/>
  <c r="F36" i="2"/>
  <c r="G36" i="2"/>
  <c r="H36" i="2"/>
  <c r="I36" i="2"/>
  <c r="J36" i="2"/>
  <c r="K36" i="2"/>
  <c r="L36" i="2"/>
  <c r="E36" i="2"/>
  <c r="E33" i="2"/>
  <c r="E30" i="2"/>
  <c r="F19" i="2"/>
  <c r="F31" i="2" s="1"/>
  <c r="G19" i="2"/>
  <c r="G41" i="2" s="1"/>
  <c r="H19" i="2"/>
  <c r="H41" i="2" s="1"/>
  <c r="I19" i="2"/>
  <c r="I41" i="2" s="1"/>
  <c r="J19" i="2"/>
  <c r="J41" i="2" s="1"/>
  <c r="K19" i="2"/>
  <c r="K41" i="2" s="1"/>
  <c r="L19" i="2"/>
  <c r="L41" i="2" s="1"/>
  <c r="F20" i="2"/>
  <c r="F42" i="2" s="1"/>
  <c r="G20" i="2"/>
  <c r="G42" i="2" s="1"/>
  <c r="H20" i="2"/>
  <c r="H42" i="2" s="1"/>
  <c r="I20" i="2"/>
  <c r="I42" i="2" s="1"/>
  <c r="J20" i="2"/>
  <c r="J42" i="2" s="1"/>
  <c r="K20" i="2"/>
  <c r="K42" i="2" s="1"/>
  <c r="L20" i="2"/>
  <c r="L42" i="2" s="1"/>
  <c r="F22" i="2"/>
  <c r="F44" i="2" s="1"/>
  <c r="G22" i="2"/>
  <c r="G44" i="2" s="1"/>
  <c r="H22" i="2"/>
  <c r="H44" i="2" s="1"/>
  <c r="I22" i="2"/>
  <c r="I44" i="2" s="1"/>
  <c r="J22" i="2"/>
  <c r="J44" i="2" s="1"/>
  <c r="K22" i="2"/>
  <c r="L22" i="2"/>
  <c r="F23" i="2"/>
  <c r="F45" i="2" s="1"/>
  <c r="G23" i="2"/>
  <c r="G45" i="2" s="1"/>
  <c r="H23" i="2"/>
  <c r="H45" i="2" s="1"/>
  <c r="I23" i="2"/>
  <c r="I45" i="2" s="1"/>
  <c r="J23" i="2"/>
  <c r="J45" i="2" s="1"/>
  <c r="K23" i="2"/>
  <c r="K45" i="2" s="1"/>
  <c r="L23" i="2"/>
  <c r="L45" i="2" s="1"/>
  <c r="F25" i="2"/>
  <c r="F47" i="2" s="1"/>
  <c r="G25" i="2"/>
  <c r="H25" i="2"/>
  <c r="H47" i="2" s="1"/>
  <c r="I25" i="2"/>
  <c r="J25" i="2"/>
  <c r="J47" i="2" s="1"/>
  <c r="K25" i="2"/>
  <c r="K47" i="2" s="1"/>
  <c r="L25" i="2"/>
  <c r="L47" i="2" s="1"/>
  <c r="E25" i="2"/>
  <c r="E47" i="2" s="1"/>
  <c r="E23" i="2"/>
  <c r="E45" i="2" s="1"/>
  <c r="E22" i="2"/>
  <c r="E44" i="2" s="1"/>
  <c r="E19" i="2"/>
  <c r="E41" i="2" s="1"/>
  <c r="F15" i="1"/>
  <c r="G15" i="1"/>
  <c r="E15" i="1"/>
  <c r="E20" i="2" s="1"/>
  <c r="E42" i="2" s="1"/>
  <c r="D23" i="2"/>
  <c r="C23" i="2"/>
  <c r="C20" i="2"/>
  <c r="H37" i="4" l="1"/>
  <c r="H42" i="4" s="1"/>
  <c r="H44" i="4" s="1"/>
  <c r="J48" i="2"/>
  <c r="F48" i="2"/>
  <c r="L26" i="2"/>
  <c r="H50" i="2"/>
  <c r="L37" i="2"/>
  <c r="H37" i="2"/>
  <c r="E48" i="2"/>
  <c r="G40" i="4"/>
  <c r="G41" i="4" s="1"/>
  <c r="J26" i="2"/>
  <c r="G26" i="2"/>
  <c r="H34" i="2"/>
  <c r="H56" i="2" s="1"/>
  <c r="I34" i="2"/>
  <c r="I56" i="2" s="1"/>
  <c r="L31" i="2"/>
  <c r="L53" i="2" s="1"/>
  <c r="H31" i="2"/>
  <c r="H53" i="2" s="1"/>
  <c r="H40" i="4"/>
  <c r="H41" i="4" s="1"/>
  <c r="E7" i="3"/>
  <c r="E20" i="3" s="1"/>
  <c r="H26" i="2"/>
  <c r="G37" i="2"/>
  <c r="G31" i="2"/>
  <c r="E34" i="2"/>
  <c r="H48" i="2"/>
  <c r="J50" i="2"/>
  <c r="K37" i="2"/>
  <c r="K31" i="2"/>
  <c r="K53" i="2" s="1"/>
  <c r="G47" i="2"/>
  <c r="G48" i="2" s="1"/>
  <c r="J37" i="2"/>
  <c r="F41" i="2"/>
  <c r="E26" i="2"/>
  <c r="F26" i="2"/>
  <c r="I26" i="2"/>
  <c r="K26" i="2"/>
  <c r="K34" i="2"/>
  <c r="K56" i="2" s="1"/>
  <c r="G34" i="2"/>
  <c r="I47" i="2"/>
  <c r="I48" i="2" s="1"/>
  <c r="K44" i="2"/>
  <c r="I55" i="2"/>
  <c r="J31" i="2"/>
  <c r="J53" i="2" s="1"/>
  <c r="L44" i="2"/>
  <c r="L50" i="2" s="1"/>
  <c r="E31" i="2"/>
  <c r="E37" i="2"/>
  <c r="F37" i="2"/>
  <c r="I37" i="2"/>
  <c r="L34" i="2"/>
  <c r="L56" i="2" s="1"/>
  <c r="J34" i="2"/>
  <c r="J56" i="2" s="1"/>
  <c r="F34" i="2"/>
  <c r="I31" i="2"/>
  <c r="I53" i="2" s="1"/>
  <c r="H52" i="2"/>
  <c r="L52" i="2"/>
  <c r="I37" i="4" l="1"/>
  <c r="I42" i="4" s="1"/>
  <c r="I44" i="4" s="1"/>
  <c r="E14" i="4"/>
  <c r="F14" i="4"/>
  <c r="G14" i="4"/>
  <c r="J37" i="4"/>
  <c r="J42" i="4" s="1"/>
  <c r="J44" i="4" s="1"/>
  <c r="I40" i="4"/>
  <c r="I41" i="4" s="1"/>
  <c r="L48" i="2"/>
  <c r="K48" i="2"/>
  <c r="K50" i="2"/>
  <c r="I50" i="2"/>
  <c r="H58" i="2"/>
  <c r="H61" i="2" s="1"/>
  <c r="K37" i="4" l="1"/>
  <c r="K42" i="4" s="1"/>
  <c r="K44" i="4" s="1"/>
  <c r="J40" i="4"/>
  <c r="J41" i="4" s="1"/>
  <c r="I58" i="2"/>
  <c r="I61" i="2" s="1"/>
  <c r="L37" i="4" l="1"/>
  <c r="K40" i="4"/>
  <c r="K41" i="4" s="1"/>
  <c r="J58" i="2"/>
  <c r="J61" i="2" s="1"/>
  <c r="L40" i="4" l="1"/>
  <c r="L41" i="4" s="1"/>
  <c r="L42" i="4"/>
  <c r="L44" i="4" s="1"/>
  <c r="L58" i="2"/>
  <c r="L61" i="2" s="1"/>
  <c r="L64" i="2" s="1"/>
  <c r="K58" i="2"/>
  <c r="K61" i="2" s="1"/>
  <c r="G76" i="2" s="1"/>
  <c r="E75" i="2" l="1"/>
  <c r="G75" i="2"/>
  <c r="E77" i="2"/>
  <c r="F76" i="2"/>
  <c r="F77" i="2"/>
  <c r="F75" i="2"/>
  <c r="E76" i="2"/>
  <c r="G77" i="2"/>
  <c r="I139" i="1"/>
  <c r="J139" i="1" s="1"/>
  <c r="K139" i="1" s="1"/>
  <c r="L139" i="1" s="1"/>
  <c r="I85" i="1"/>
  <c r="J85" i="1"/>
  <c r="K85" i="1"/>
  <c r="L85" i="1"/>
  <c r="H192" i="1"/>
  <c r="H194" i="1" s="1"/>
  <c r="H195" i="1"/>
  <c r="F197" i="1"/>
  <c r="H105" i="1"/>
  <c r="I184" i="1"/>
  <c r="J184" i="1"/>
  <c r="K184" i="1"/>
  <c r="L184" i="1"/>
  <c r="H184" i="1"/>
  <c r="H139" i="1"/>
  <c r="H85" i="1"/>
  <c r="L175" i="1"/>
  <c r="K175" i="1"/>
  <c r="J175" i="1"/>
  <c r="I175" i="1"/>
  <c r="L173" i="1"/>
  <c r="K173" i="1"/>
  <c r="J173" i="1"/>
  <c r="I173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I165" i="1"/>
  <c r="I122" i="1" s="1"/>
  <c r="J165" i="1" s="1"/>
  <c r="I182" i="1"/>
  <c r="J182" i="1"/>
  <c r="K182" i="1"/>
  <c r="L182" i="1"/>
  <c r="I185" i="1"/>
  <c r="J185" i="1"/>
  <c r="K185" i="1"/>
  <c r="F194" i="1"/>
  <c r="G194" i="1"/>
  <c r="F195" i="1"/>
  <c r="G195" i="1"/>
  <c r="G197" i="1" s="1"/>
  <c r="F199" i="1"/>
  <c r="H175" i="1"/>
  <c r="H173" i="1"/>
  <c r="G172" i="1"/>
  <c r="F172" i="1"/>
  <c r="H169" i="1"/>
  <c r="H168" i="1"/>
  <c r="H166" i="1"/>
  <c r="H113" i="1"/>
  <c r="H172" i="1" s="1"/>
  <c r="I114" i="1"/>
  <c r="J114" i="1"/>
  <c r="K114" i="1"/>
  <c r="L114" i="1"/>
  <c r="I115" i="1"/>
  <c r="J115" i="1" s="1"/>
  <c r="I116" i="1"/>
  <c r="J116" i="1"/>
  <c r="K116" i="1" s="1"/>
  <c r="L116" i="1" s="1"/>
  <c r="I117" i="1"/>
  <c r="J117" i="1"/>
  <c r="K117" i="1" s="1"/>
  <c r="L117" i="1" s="1"/>
  <c r="I118" i="1"/>
  <c r="J118" i="1"/>
  <c r="K118" i="1" s="1"/>
  <c r="L118" i="1" s="1"/>
  <c r="I151" i="1"/>
  <c r="J151" i="1" s="1"/>
  <c r="I152" i="1"/>
  <c r="J152" i="1" s="1"/>
  <c r="K152" i="1" s="1"/>
  <c r="L152" i="1" s="1"/>
  <c r="I144" i="1"/>
  <c r="J144" i="1"/>
  <c r="K144" i="1" s="1"/>
  <c r="I145" i="1"/>
  <c r="J145" i="1"/>
  <c r="K145" i="1" s="1"/>
  <c r="L145" i="1" s="1"/>
  <c r="I146" i="1"/>
  <c r="J146" i="1"/>
  <c r="I133" i="1"/>
  <c r="J133" i="1" s="1"/>
  <c r="I134" i="1"/>
  <c r="J134" i="1"/>
  <c r="K134" i="1" s="1"/>
  <c r="L134" i="1" s="1"/>
  <c r="I136" i="1"/>
  <c r="J136" i="1" s="1"/>
  <c r="K136" i="1" s="1"/>
  <c r="L136" i="1" s="1"/>
  <c r="I137" i="1"/>
  <c r="J137" i="1"/>
  <c r="K137" i="1" s="1"/>
  <c r="L137" i="1" s="1"/>
  <c r="I138" i="1"/>
  <c r="J138" i="1"/>
  <c r="K138" i="1" s="1"/>
  <c r="L138" i="1" s="1"/>
  <c r="I140" i="1"/>
  <c r="J140" i="1" s="1"/>
  <c r="K140" i="1" s="1"/>
  <c r="L140" i="1" s="1"/>
  <c r="H146" i="1"/>
  <c r="H152" i="1"/>
  <c r="H151" i="1"/>
  <c r="H145" i="1"/>
  <c r="H144" i="1"/>
  <c r="H140" i="1"/>
  <c r="H138" i="1"/>
  <c r="H137" i="1"/>
  <c r="H136" i="1"/>
  <c r="H134" i="1"/>
  <c r="H135" i="1"/>
  <c r="H174" i="1" s="1"/>
  <c r="H133" i="1"/>
  <c r="I123" i="1"/>
  <c r="J123" i="1"/>
  <c r="K123" i="1" s="1"/>
  <c r="L123" i="1" s="1"/>
  <c r="I124" i="1"/>
  <c r="J124" i="1"/>
  <c r="K124" i="1" s="1"/>
  <c r="L124" i="1" s="1"/>
  <c r="I125" i="1"/>
  <c r="J125" i="1"/>
  <c r="K125" i="1" s="1"/>
  <c r="L125" i="1" s="1"/>
  <c r="H126" i="1"/>
  <c r="H125" i="1"/>
  <c r="H124" i="1"/>
  <c r="H123" i="1"/>
  <c r="H118" i="1"/>
  <c r="H117" i="1"/>
  <c r="H116" i="1"/>
  <c r="H115" i="1"/>
  <c r="H114" i="1"/>
  <c r="H122" i="1"/>
  <c r="H182" i="1"/>
  <c r="H165" i="1"/>
  <c r="I113" i="1"/>
  <c r="H84" i="1"/>
  <c r="H98" i="1" s="1"/>
  <c r="I51" i="1"/>
  <c r="J51" i="1" s="1"/>
  <c r="K51" i="1" s="1"/>
  <c r="L51" i="1" s="1"/>
  <c r="H51" i="1"/>
  <c r="I49" i="1"/>
  <c r="J49" i="1" s="1"/>
  <c r="K49" i="1" s="1"/>
  <c r="L49" i="1" s="1"/>
  <c r="H49" i="1"/>
  <c r="I47" i="1"/>
  <c r="J47" i="1" s="1"/>
  <c r="K47" i="1" s="1"/>
  <c r="L47" i="1" s="1"/>
  <c r="H47" i="1"/>
  <c r="I43" i="1"/>
  <c r="J43" i="1" s="1"/>
  <c r="K43" i="1" s="1"/>
  <c r="L43" i="1" s="1"/>
  <c r="H43" i="1"/>
  <c r="I41" i="1"/>
  <c r="J41" i="1" s="1"/>
  <c r="K41" i="1" s="1"/>
  <c r="L41" i="1" s="1"/>
  <c r="H41" i="1"/>
  <c r="I39" i="1"/>
  <c r="J39" i="1" s="1"/>
  <c r="K39" i="1" s="1"/>
  <c r="L39" i="1" s="1"/>
  <c r="H39" i="1"/>
  <c r="I35" i="1"/>
  <c r="J35" i="1" s="1"/>
  <c r="K35" i="1" s="1"/>
  <c r="L35" i="1" s="1"/>
  <c r="H35" i="1"/>
  <c r="I33" i="1"/>
  <c r="J33" i="1" s="1"/>
  <c r="K33" i="1" s="1"/>
  <c r="L33" i="1" s="1"/>
  <c r="H33" i="1"/>
  <c r="I31" i="1"/>
  <c r="J31" i="1" s="1"/>
  <c r="K31" i="1" s="1"/>
  <c r="L31" i="1" s="1"/>
  <c r="H31" i="1"/>
  <c r="H29" i="1"/>
  <c r="I29" i="1" s="1"/>
  <c r="J29" i="1" s="1"/>
  <c r="K29" i="1" s="1"/>
  <c r="L29" i="1" s="1"/>
  <c r="I27" i="1"/>
  <c r="J27" i="1" s="1"/>
  <c r="K27" i="1" s="1"/>
  <c r="L27" i="1" s="1"/>
  <c r="H27" i="1"/>
  <c r="I25" i="1"/>
  <c r="J25" i="1" s="1"/>
  <c r="K25" i="1" s="1"/>
  <c r="L25" i="1" s="1"/>
  <c r="H25" i="1"/>
  <c r="I23" i="1"/>
  <c r="J23" i="1" s="1"/>
  <c r="K23" i="1" s="1"/>
  <c r="L23" i="1" s="1"/>
  <c r="H23" i="1"/>
  <c r="I21" i="1"/>
  <c r="J21" i="1" s="1"/>
  <c r="K21" i="1" s="1"/>
  <c r="L21" i="1" s="1"/>
  <c r="H21" i="1"/>
  <c r="H19" i="1"/>
  <c r="I19" i="1" s="1"/>
  <c r="J19" i="1" s="1"/>
  <c r="K19" i="1" s="1"/>
  <c r="L19" i="1" s="1"/>
  <c r="J17" i="1"/>
  <c r="K17" i="1" s="1"/>
  <c r="L17" i="1" s="1"/>
  <c r="I17" i="1"/>
  <c r="H17" i="1"/>
  <c r="G105" i="1"/>
  <c r="F29" i="1"/>
  <c r="G29" i="1"/>
  <c r="F31" i="1"/>
  <c r="G31" i="1"/>
  <c r="F33" i="1"/>
  <c r="G33" i="1"/>
  <c r="F35" i="1"/>
  <c r="G35" i="1"/>
  <c r="E35" i="1"/>
  <c r="E33" i="1"/>
  <c r="E31" i="1"/>
  <c r="E29" i="1"/>
  <c r="F37" i="1"/>
  <c r="E37" i="1" s="1"/>
  <c r="G37" i="1"/>
  <c r="G49" i="1"/>
  <c r="F47" i="1"/>
  <c r="G47" i="1"/>
  <c r="F49" i="1"/>
  <c r="E47" i="1"/>
  <c r="F43" i="1"/>
  <c r="G43" i="1"/>
  <c r="E43" i="1"/>
  <c r="F41" i="1"/>
  <c r="G41" i="1"/>
  <c r="E41" i="1"/>
  <c r="F39" i="1"/>
  <c r="G39" i="1"/>
  <c r="E39" i="1"/>
  <c r="F23" i="1"/>
  <c r="G23" i="1"/>
  <c r="F25" i="1"/>
  <c r="G25" i="1"/>
  <c r="E25" i="1"/>
  <c r="E23" i="1"/>
  <c r="H197" i="1" l="1"/>
  <c r="I195" i="1" s="1"/>
  <c r="L185" i="1"/>
  <c r="I172" i="1"/>
  <c r="I135" i="1"/>
  <c r="G199" i="1"/>
  <c r="I126" i="1"/>
  <c r="J122" i="1"/>
  <c r="K165" i="1" s="1"/>
  <c r="K115" i="1"/>
  <c r="K151" i="1"/>
  <c r="K146" i="1"/>
  <c r="L144" i="1"/>
  <c r="L146" i="1" s="1"/>
  <c r="K133" i="1"/>
  <c r="H88" i="1"/>
  <c r="H99" i="1"/>
  <c r="H90" i="1"/>
  <c r="H100" i="1"/>
  <c r="H91" i="1"/>
  <c r="I84" i="1"/>
  <c r="H86" i="1"/>
  <c r="H92" i="1"/>
  <c r="F169" i="1"/>
  <c r="G169" i="1"/>
  <c r="E169" i="1"/>
  <c r="E177" i="1"/>
  <c r="F177" i="1"/>
  <c r="G177" i="1"/>
  <c r="G175" i="1"/>
  <c r="F175" i="1"/>
  <c r="G174" i="1"/>
  <c r="F174" i="1"/>
  <c r="G173" i="1"/>
  <c r="F173" i="1"/>
  <c r="F168" i="1"/>
  <c r="G168" i="1"/>
  <c r="E168" i="1"/>
  <c r="G166" i="1"/>
  <c r="F166" i="1"/>
  <c r="F154" i="1"/>
  <c r="G154" i="1"/>
  <c r="E154" i="1"/>
  <c r="F146" i="1"/>
  <c r="G146" i="1"/>
  <c r="E146" i="1"/>
  <c r="F141" i="1"/>
  <c r="G141" i="1"/>
  <c r="E141" i="1"/>
  <c r="F126" i="1"/>
  <c r="G126" i="1"/>
  <c r="E126" i="1"/>
  <c r="F119" i="1"/>
  <c r="G119" i="1"/>
  <c r="E119" i="1"/>
  <c r="F101" i="1"/>
  <c r="G101" i="1"/>
  <c r="E101" i="1"/>
  <c r="F93" i="1"/>
  <c r="F21" i="1" s="1"/>
  <c r="G93" i="1"/>
  <c r="G21" i="1" s="1"/>
  <c r="E93" i="1"/>
  <c r="E21" i="1" s="1"/>
  <c r="J135" i="1" l="1"/>
  <c r="J113" i="1"/>
  <c r="J172" i="1" s="1"/>
  <c r="I174" i="1"/>
  <c r="K122" i="1"/>
  <c r="L165" i="1" s="1"/>
  <c r="J126" i="1"/>
  <c r="L115" i="1"/>
  <c r="L151" i="1"/>
  <c r="L133" i="1"/>
  <c r="H101" i="1"/>
  <c r="H93" i="1"/>
  <c r="H95" i="1" s="1"/>
  <c r="H103" i="1" s="1"/>
  <c r="H164" i="1" s="1"/>
  <c r="H170" i="1" s="1"/>
  <c r="H176" i="1" s="1"/>
  <c r="I86" i="1"/>
  <c r="I88" i="1"/>
  <c r="I90" i="1"/>
  <c r="I91" i="1"/>
  <c r="I92" i="1"/>
  <c r="I98" i="1"/>
  <c r="I99" i="1"/>
  <c r="I100" i="1"/>
  <c r="J84" i="1"/>
  <c r="G148" i="1"/>
  <c r="G156" i="1" s="1"/>
  <c r="E128" i="1"/>
  <c r="F148" i="1"/>
  <c r="F156" i="1" s="1"/>
  <c r="F128" i="1"/>
  <c r="E148" i="1"/>
  <c r="E156" i="1" s="1"/>
  <c r="G128" i="1"/>
  <c r="F86" i="1"/>
  <c r="G86" i="1"/>
  <c r="E86" i="1"/>
  <c r="E17" i="1" s="1"/>
  <c r="C2" i="4"/>
  <c r="C59" i="2"/>
  <c r="C58" i="2"/>
  <c r="C56" i="2"/>
  <c r="C55" i="2"/>
  <c r="C53" i="2"/>
  <c r="C52" i="2"/>
  <c r="C48" i="2"/>
  <c r="C47" i="2"/>
  <c r="C45" i="2"/>
  <c r="C22" i="2"/>
  <c r="C44" i="2" s="1"/>
  <c r="C42" i="2"/>
  <c r="C19" i="2"/>
  <c r="C41" i="2" s="1"/>
  <c r="D14" i="2"/>
  <c r="L65" i="2" s="1"/>
  <c r="G192" i="1"/>
  <c r="F192" i="1"/>
  <c r="E192" i="1"/>
  <c r="G187" i="1"/>
  <c r="F187" i="1" s="1"/>
  <c r="E187" i="1" s="1"/>
  <c r="H185" i="1"/>
  <c r="G185" i="1"/>
  <c r="F185" i="1"/>
  <c r="E185" i="1"/>
  <c r="G180" i="1"/>
  <c r="F180" i="1" s="1"/>
  <c r="E180" i="1" s="1"/>
  <c r="D161" i="1"/>
  <c r="H160" i="1"/>
  <c r="E160" i="1"/>
  <c r="G130" i="1"/>
  <c r="F130" i="1" s="1"/>
  <c r="E130" i="1" s="1"/>
  <c r="D108" i="1"/>
  <c r="H107" i="1"/>
  <c r="E107" i="1"/>
  <c r="D82" i="1"/>
  <c r="H81" i="1"/>
  <c r="E81" i="1"/>
  <c r="G45" i="1"/>
  <c r="H45" i="1" s="1"/>
  <c r="I45" i="1" s="1"/>
  <c r="J45" i="1" s="1"/>
  <c r="K45" i="1" s="1"/>
  <c r="L45" i="1" s="1"/>
  <c r="G12" i="1"/>
  <c r="G108" i="1" s="1"/>
  <c r="B2" i="1"/>
  <c r="I62" i="2" l="1"/>
  <c r="H62" i="2"/>
  <c r="L62" i="2"/>
  <c r="J62" i="2"/>
  <c r="K62" i="2"/>
  <c r="J174" i="1"/>
  <c r="K135" i="1"/>
  <c r="K113" i="1"/>
  <c r="K172" i="1" s="1"/>
  <c r="K126" i="1"/>
  <c r="L122" i="1"/>
  <c r="L126" i="1" s="1"/>
  <c r="I101" i="1"/>
  <c r="H104" i="1"/>
  <c r="J86" i="1"/>
  <c r="J88" i="1"/>
  <c r="J90" i="1"/>
  <c r="J91" i="1"/>
  <c r="J92" i="1"/>
  <c r="J98" i="1"/>
  <c r="J99" i="1"/>
  <c r="J100" i="1"/>
  <c r="K84" i="1"/>
  <c r="I93" i="1"/>
  <c r="I95" i="1" s="1"/>
  <c r="E158" i="1"/>
  <c r="F95" i="1"/>
  <c r="F17" i="1"/>
  <c r="G95" i="1"/>
  <c r="G17" i="1"/>
  <c r="F158" i="1"/>
  <c r="G158" i="1"/>
  <c r="H12" i="1"/>
  <c r="H82" i="1" s="1"/>
  <c r="F12" i="1"/>
  <c r="F161" i="1" s="1"/>
  <c r="F45" i="1"/>
  <c r="E45" i="1" s="1"/>
  <c r="G161" i="1"/>
  <c r="G82" i="1"/>
  <c r="E95" i="1"/>
  <c r="H130" i="1"/>
  <c r="I130" i="1" s="1"/>
  <c r="J130" i="1" s="1"/>
  <c r="K130" i="1" s="1"/>
  <c r="L130" i="1" s="1"/>
  <c r="H37" i="1"/>
  <c r="I37" i="1" s="1"/>
  <c r="J37" i="1" s="1"/>
  <c r="K37" i="1" s="1"/>
  <c r="L37" i="1" s="1"/>
  <c r="H180" i="1"/>
  <c r="I180" i="1" s="1"/>
  <c r="J180" i="1" s="1"/>
  <c r="K180" i="1" s="1"/>
  <c r="L180" i="1" s="1"/>
  <c r="H187" i="1"/>
  <c r="I187" i="1" s="1"/>
  <c r="J187" i="1" s="1"/>
  <c r="K187" i="1" s="1"/>
  <c r="L187" i="1" s="1"/>
  <c r="L66" i="2" l="1"/>
  <c r="L69" i="2" s="1"/>
  <c r="L71" i="2" s="1"/>
  <c r="I7" i="2" s="1"/>
  <c r="L8" i="2" s="1"/>
  <c r="L135" i="1"/>
  <c r="L113" i="1"/>
  <c r="L172" i="1" s="1"/>
  <c r="H177" i="1"/>
  <c r="H178" i="1" s="1"/>
  <c r="H141" i="1"/>
  <c r="H148" i="1" s="1"/>
  <c r="K174" i="1"/>
  <c r="I103" i="1"/>
  <c r="J93" i="1"/>
  <c r="J101" i="1"/>
  <c r="K98" i="1"/>
  <c r="K99" i="1"/>
  <c r="K100" i="1"/>
  <c r="L84" i="1"/>
  <c r="K86" i="1"/>
  <c r="K88" i="1"/>
  <c r="K90" i="1"/>
  <c r="K91" i="1"/>
  <c r="K92" i="1"/>
  <c r="J95" i="1"/>
  <c r="J103" i="1" s="1"/>
  <c r="G103" i="1"/>
  <c r="G19" i="1"/>
  <c r="E103" i="1"/>
  <c r="E27" i="1" s="1"/>
  <c r="E19" i="1"/>
  <c r="F103" i="1"/>
  <c r="F19" i="1"/>
  <c r="H108" i="1"/>
  <c r="E105" i="1"/>
  <c r="E51" i="1" s="1"/>
  <c r="H161" i="1"/>
  <c r="I12" i="1"/>
  <c r="J12" i="1" s="1"/>
  <c r="E12" i="1"/>
  <c r="E108" i="1" s="1"/>
  <c r="F82" i="1"/>
  <c r="F108" i="1"/>
  <c r="J105" i="1" l="1"/>
  <c r="H189" i="1"/>
  <c r="J164" i="1"/>
  <c r="J170" i="1" s="1"/>
  <c r="J176" i="1" s="1"/>
  <c r="J104" i="1"/>
  <c r="I104" i="1"/>
  <c r="I105" i="1" s="1"/>
  <c r="I164" i="1"/>
  <c r="I170" i="1" s="1"/>
  <c r="I176" i="1" s="1"/>
  <c r="L174" i="1"/>
  <c r="K93" i="1"/>
  <c r="K95" i="1" s="1"/>
  <c r="K101" i="1"/>
  <c r="L86" i="1"/>
  <c r="L88" i="1"/>
  <c r="L90" i="1"/>
  <c r="L91" i="1"/>
  <c r="L92" i="1"/>
  <c r="L98" i="1"/>
  <c r="L99" i="1"/>
  <c r="L100" i="1"/>
  <c r="E164" i="1"/>
  <c r="E170" i="1" s="1"/>
  <c r="E176" i="1" s="1"/>
  <c r="E178" i="1" s="1"/>
  <c r="E194" i="1" s="1"/>
  <c r="E197" i="1" s="1"/>
  <c r="F27" i="1"/>
  <c r="F105" i="1"/>
  <c r="F51" i="1" s="1"/>
  <c r="F164" i="1"/>
  <c r="F170" i="1" s="1"/>
  <c r="F176" i="1" s="1"/>
  <c r="F178" i="1" s="1"/>
  <c r="G27" i="1"/>
  <c r="G164" i="1"/>
  <c r="G170" i="1" s="1"/>
  <c r="G176" i="1" s="1"/>
  <c r="G178" i="1" s="1"/>
  <c r="G51" i="1"/>
  <c r="I82" i="1"/>
  <c r="I161" i="1"/>
  <c r="I108" i="1"/>
  <c r="E161" i="1"/>
  <c r="E82" i="1"/>
  <c r="J161" i="1"/>
  <c r="K12" i="1"/>
  <c r="J82" i="1"/>
  <c r="J108" i="1"/>
  <c r="J189" i="1" l="1"/>
  <c r="J192" i="1" s="1"/>
  <c r="H153" i="1"/>
  <c r="H154" i="1" s="1"/>
  <c r="H156" i="1" s="1"/>
  <c r="H112" i="1" s="1"/>
  <c r="H119" i="1" s="1"/>
  <c r="H128" i="1" s="1"/>
  <c r="H158" i="1" s="1"/>
  <c r="I177" i="1"/>
  <c r="I178" i="1" s="1"/>
  <c r="I141" i="1"/>
  <c r="I148" i="1" s="1"/>
  <c r="J141" i="1"/>
  <c r="J148" i="1" s="1"/>
  <c r="J177" i="1"/>
  <c r="J178" i="1" s="1"/>
  <c r="J194" i="1" s="1"/>
  <c r="L101" i="1"/>
  <c r="L93" i="1"/>
  <c r="L95" i="1" s="1"/>
  <c r="L103" i="1" s="1"/>
  <c r="K103" i="1"/>
  <c r="E199" i="1"/>
  <c r="K108" i="1"/>
  <c r="K161" i="1"/>
  <c r="L12" i="1"/>
  <c r="K82" i="1"/>
  <c r="K105" i="1" l="1"/>
  <c r="H199" i="1"/>
  <c r="K104" i="1"/>
  <c r="K164" i="1"/>
  <c r="K170" i="1" s="1"/>
  <c r="K176" i="1" s="1"/>
  <c r="L164" i="1"/>
  <c r="L170" i="1" s="1"/>
  <c r="L176" i="1" s="1"/>
  <c r="L104" i="1"/>
  <c r="I189" i="1"/>
  <c r="I192" i="1" s="1"/>
  <c r="I194" i="1" s="1"/>
  <c r="I197" i="1" s="1"/>
  <c r="J195" i="1" s="1"/>
  <c r="L82" i="1"/>
  <c r="L161" i="1"/>
  <c r="L108" i="1"/>
  <c r="L105" i="1" l="1"/>
  <c r="L189" i="1" s="1"/>
  <c r="L192" i="1" s="1"/>
  <c r="J197" i="1"/>
  <c r="K195" i="1" s="1"/>
  <c r="K189" i="1"/>
  <c r="K192" i="1" s="1"/>
  <c r="I153" i="1"/>
  <c r="L141" i="1"/>
  <c r="L148" i="1" s="1"/>
  <c r="L177" i="1"/>
  <c r="L178" i="1" s="1"/>
  <c r="K177" i="1"/>
  <c r="K178" i="1" s="1"/>
  <c r="K141" i="1"/>
  <c r="K148" i="1" s="1"/>
  <c r="K194" i="1" l="1"/>
  <c r="L194" i="1"/>
  <c r="K197" i="1"/>
  <c r="I154" i="1"/>
  <c r="I156" i="1" s="1"/>
  <c r="I112" i="1" s="1"/>
  <c r="J153" i="1"/>
  <c r="L195" i="1" l="1"/>
  <c r="L197" i="1" s="1"/>
  <c r="J154" i="1"/>
  <c r="J156" i="1" s="1"/>
  <c r="J112" i="1" s="1"/>
  <c r="K153" i="1"/>
  <c r="I199" i="1"/>
  <c r="I119" i="1"/>
  <c r="I128" i="1" s="1"/>
  <c r="I158" i="1" s="1"/>
  <c r="J199" i="1" l="1"/>
  <c r="J119" i="1"/>
  <c r="J128" i="1" s="1"/>
  <c r="J158" i="1" s="1"/>
  <c r="L153" i="1"/>
  <c r="L154" i="1" s="1"/>
  <c r="L156" i="1" s="1"/>
  <c r="L112" i="1" s="1"/>
  <c r="K154" i="1"/>
  <c r="K156" i="1" s="1"/>
  <c r="K112" i="1" s="1"/>
  <c r="K199" i="1" l="1"/>
  <c r="K119" i="1"/>
  <c r="K128" i="1" s="1"/>
  <c r="K158" i="1" s="1"/>
  <c r="L199" i="1"/>
  <c r="L119" i="1"/>
  <c r="L128" i="1" s="1"/>
  <c r="L158" i="1" s="1"/>
  <c r="G28" i="2"/>
  <c r="F28" i="2" s="1"/>
  <c r="E28" i="2" s="1"/>
  <c r="H28" i="2"/>
  <c r="I28" i="2" s="1"/>
  <c r="J28" i="2" s="1"/>
  <c r="K28" i="2" s="1"/>
  <c r="L28" i="2" s="1"/>
  <c r="G39" i="2"/>
  <c r="F39" i="2" s="1"/>
  <c r="E39" i="2" s="1"/>
  <c r="H39" i="2"/>
  <c r="I39" i="2" s="1"/>
  <c r="J39" i="2" s="1"/>
  <c r="K39" i="2" s="1"/>
  <c r="L39" i="2" s="1"/>
  <c r="G12" i="2"/>
  <c r="H12" i="2" s="1"/>
  <c r="I12" i="2" s="1"/>
  <c r="J12" i="2" s="1"/>
  <c r="K12" i="2" s="1"/>
  <c r="L12" i="2" s="1"/>
  <c r="F12" i="2"/>
  <c r="E12" i="2" s="1"/>
  <c r="B2" i="2"/>
</calcChain>
</file>

<file path=xl/sharedStrings.xml><?xml version="1.0" encoding="utf-8"?>
<sst xmlns="http://schemas.openxmlformats.org/spreadsheetml/2006/main" count="259" uniqueCount="215">
  <si>
    <t>General Assumptions</t>
  </si>
  <si>
    <t>Company Name</t>
  </si>
  <si>
    <t>Ticker</t>
  </si>
  <si>
    <t>EAST</t>
  </si>
  <si>
    <t>Last Historical Year</t>
  </si>
  <si>
    <t>Historical</t>
  </si>
  <si>
    <t>Projected</t>
  </si>
  <si>
    <t>Financial Statement Drivers</t>
  </si>
  <si>
    <t>Units</t>
  </si>
  <si>
    <t>Income Statement</t>
  </si>
  <si>
    <t>Revenue Growth %</t>
  </si>
  <si>
    <t>%</t>
  </si>
  <si>
    <t>Gross Margin</t>
  </si>
  <si>
    <t>Distribution Cost as % of Revenue</t>
  </si>
  <si>
    <t>Administrative Expenses as % of Revenue</t>
  </si>
  <si>
    <t>Effictive Tax Rate</t>
  </si>
  <si>
    <t>Balance Sheet</t>
  </si>
  <si>
    <t># Days</t>
  </si>
  <si>
    <t>Cash Flow Statement</t>
  </si>
  <si>
    <t>Debt Schedule</t>
  </si>
  <si>
    <t>Minimum Cash Balance</t>
  </si>
  <si>
    <t>Cash Balance Before Additional Borrowing</t>
  </si>
  <si>
    <t>Additional Borrowing Required</t>
  </si>
  <si>
    <t>Beginning Face Value of Debt</t>
  </si>
  <si>
    <t>(+) Debt Issuance</t>
  </si>
  <si>
    <t>(-) Principal Repayments &amp; Maturities</t>
  </si>
  <si>
    <t>Ending Face Value of Debt</t>
  </si>
  <si>
    <t>Beginning Book Value of Debt</t>
  </si>
  <si>
    <t>(+) Amortization of Issuance Fees</t>
  </si>
  <si>
    <t>(-) Deduction for New Issuance Fees</t>
  </si>
  <si>
    <t>(-) Debt Principal Repayments &amp; Maturities</t>
  </si>
  <si>
    <t>Ending Book Value of Debt</t>
  </si>
  <si>
    <t>Debt Issuance Fee %</t>
  </si>
  <si>
    <t>Initial Unamortized Debt Issuance Fees</t>
  </si>
  <si>
    <t>Average Remaining Time to Maturity</t>
  </si>
  <si>
    <t># Years</t>
  </si>
  <si>
    <t>Weighted Average Interest Rate on Debt</t>
  </si>
  <si>
    <t>Interest Expense on Debt</t>
  </si>
  <si>
    <t>Interest and Other Income Growth Rate</t>
  </si>
  <si>
    <t>Net Sales</t>
  </si>
  <si>
    <t>Cost of goods sold</t>
  </si>
  <si>
    <t>Gross Profit</t>
  </si>
  <si>
    <t>Other revenue</t>
  </si>
  <si>
    <t>Operating Expenses</t>
  </si>
  <si>
    <t>Sales and distribution expenses</t>
  </si>
  <si>
    <t>General and administrative expenses</t>
  </si>
  <si>
    <t>Other expenses</t>
  </si>
  <si>
    <t>Total Operating Expenses</t>
  </si>
  <si>
    <t>Operating Activities (EBIT)</t>
  </si>
  <si>
    <t>Below-the-Line Items</t>
  </si>
  <si>
    <t>Net financing cost / income</t>
  </si>
  <si>
    <t>Other financial investments revenue</t>
  </si>
  <si>
    <t>Income from investments in associates</t>
  </si>
  <si>
    <t>Total Below-the-Line</t>
  </si>
  <si>
    <t>Profit Before Tax</t>
  </si>
  <si>
    <t>Income tax expenses</t>
  </si>
  <si>
    <t>Net Profit</t>
  </si>
  <si>
    <t>ASSETS</t>
  </si>
  <si>
    <t>Current Assets</t>
  </si>
  <si>
    <t>Cash and cash equivalent (Net)</t>
  </si>
  <si>
    <t>Inventory (Net)</t>
  </si>
  <si>
    <t>Accounts and notes receivables (Net)</t>
  </si>
  <si>
    <t>Accounts payables – advance payments</t>
  </si>
  <si>
    <t>Debtors and other debit balances (Net)</t>
  </si>
  <si>
    <t>Due from Related Parties (Net)</t>
  </si>
  <si>
    <t>Financial assets at FV through P&amp;L</t>
  </si>
  <si>
    <t>Total Current Assets</t>
  </si>
  <si>
    <t>Non-Current Assets</t>
  </si>
  <si>
    <t>Property, Plant &amp; Equipment (incl. CIP &amp; Inv. Prop.)</t>
  </si>
  <si>
    <t>Long-term Investments (Associates + Fin. Assets)</t>
  </si>
  <si>
    <t>Intangibles, Right of Use &amp; Other NCA</t>
  </si>
  <si>
    <t>Deferred Tax Assets</t>
  </si>
  <si>
    <t>Total Non-Current Assets</t>
  </si>
  <si>
    <t>Total Assets</t>
  </si>
  <si>
    <t>LIABILITIES AND EQUITY</t>
  </si>
  <si>
    <t>Current Liabilities</t>
  </si>
  <si>
    <t>Provisions</t>
  </si>
  <si>
    <t>Banks overdraft</t>
  </si>
  <si>
    <t>Accounts and notes payables</t>
  </si>
  <si>
    <t>Creditors and other credit balances</t>
  </si>
  <si>
    <t>Account receivables – advance payments</t>
  </si>
  <si>
    <t>Lease Liability (Current)</t>
  </si>
  <si>
    <t>Income tax payable</t>
  </si>
  <si>
    <t>Employees benefits delegation (Current)</t>
  </si>
  <si>
    <t>Total Current Liabilities</t>
  </si>
  <si>
    <t>Non-Current Liabilities</t>
  </si>
  <si>
    <t>Employees benefits delegation (LT)</t>
  </si>
  <si>
    <t>Deferred Tax Liabilities</t>
  </si>
  <si>
    <t>Total Non-Current Liabilities</t>
  </si>
  <si>
    <t>Total Liabilities</t>
  </si>
  <si>
    <t>Equity</t>
  </si>
  <si>
    <t>Issued and paid-up capital</t>
  </si>
  <si>
    <t>Reserves</t>
  </si>
  <si>
    <t>Retained earnings</t>
  </si>
  <si>
    <t>Total Equity</t>
  </si>
  <si>
    <t>Total Liabilites &amp; Equity</t>
  </si>
  <si>
    <t>Balance Check</t>
  </si>
  <si>
    <t>CASH FLOWS FROM OPERATING ACTIVITIES</t>
  </si>
  <si>
    <t>(+) Depreciation &amp; Amortization</t>
  </si>
  <si>
    <t>(+/-) Change in Provisions</t>
  </si>
  <si>
    <t>(+/-) Other non-cash adjustments</t>
  </si>
  <si>
    <t>Operating Cash Flow Before WC Changes</t>
  </si>
  <si>
    <t>(Increase) / Decrease in Inventory</t>
  </si>
  <si>
    <t>(Increase) / Decrease in Receivables</t>
  </si>
  <si>
    <t>Increase / (Decrease) in Payables</t>
  </si>
  <si>
    <t>Increase / (Decrease) in Other WC items</t>
  </si>
  <si>
    <t>Cash Generated from Operations</t>
  </si>
  <si>
    <t>(-) Income Tax Paid</t>
  </si>
  <si>
    <t>Net Cash Inflow from Operating Activities</t>
  </si>
  <si>
    <t>CASH FLOWS FROM INVESTING ACTIVITIES</t>
  </si>
  <si>
    <t>(-) CapEx (Purchase of Fixed Assets &amp; CIP)</t>
  </si>
  <si>
    <t>(+) Proceeds from sale of fixed assets</t>
  </si>
  <si>
    <t>(+/-) Net Investments (Associates, Securities, T-bills)</t>
  </si>
  <si>
    <t>Net Cash Used in Investing Activities</t>
  </si>
  <si>
    <t>CASH FLOWS FROM FINANCING ACTIVITIES</t>
  </si>
  <si>
    <t>(-) Dividends Paid</t>
  </si>
  <si>
    <t>(+/-) Change in Borrowings &amp; Overdraft</t>
  </si>
  <si>
    <t>(+/-) Lease Payments</t>
  </si>
  <si>
    <t>Net Cash Used in Financing Activities</t>
  </si>
  <si>
    <t>Change in Cash &amp; Cash Equivalents</t>
  </si>
  <si>
    <t>Cash Balance — Beginning of Year</t>
  </si>
  <si>
    <t>FX Differences on Cash</t>
  </si>
  <si>
    <t>Cash Balance — End of Year</t>
  </si>
  <si>
    <t>Reconciliation Check vs BS Cash</t>
  </si>
  <si>
    <t>Assumptions</t>
  </si>
  <si>
    <t>Implied Share Price</t>
  </si>
  <si>
    <t>Today's Share Price</t>
  </si>
  <si>
    <t>Upside (Downside)</t>
  </si>
  <si>
    <t>Valuation Assumptions</t>
  </si>
  <si>
    <t>WACC</t>
  </si>
  <si>
    <t>TGR</t>
  </si>
  <si>
    <t>Taxes</t>
  </si>
  <si>
    <t>% of EBIT</t>
  </si>
  <si>
    <t>D&amp;A</t>
  </si>
  <si>
    <t>% of revenue</t>
  </si>
  <si>
    <t>CapEx</t>
  </si>
  <si>
    <t>Change in NWC</t>
  </si>
  <si>
    <t>DCF</t>
  </si>
  <si>
    <t>EBIAT</t>
  </si>
  <si>
    <t>Unlevered FCF</t>
  </si>
  <si>
    <t>Present Value of FCF</t>
  </si>
  <si>
    <t>Terminal Value</t>
  </si>
  <si>
    <t>Present Value of Terminal Value</t>
  </si>
  <si>
    <t>Enterprise Value</t>
  </si>
  <si>
    <t>- Debt</t>
  </si>
  <si>
    <t>Equity Value</t>
  </si>
  <si>
    <t>Shares</t>
  </si>
  <si>
    <t>Share Price</t>
  </si>
  <si>
    <t>Debt</t>
  </si>
  <si>
    <t>% Debt</t>
  </si>
  <si>
    <t>Cost of Debt</t>
  </si>
  <si>
    <t>Tax Rate</t>
  </si>
  <si>
    <t>% Equity</t>
  </si>
  <si>
    <t>Cost of Equity</t>
  </si>
  <si>
    <t>Risk Free Rate</t>
  </si>
  <si>
    <t>Beta</t>
  </si>
  <si>
    <t>Market Risk Premium</t>
  </si>
  <si>
    <t>Debt + Equity</t>
  </si>
  <si>
    <t>"All ratios computed from Operating Model"</t>
  </si>
  <si>
    <t>PROFITABILITY</t>
  </si>
  <si>
    <t>EBIT Margin</t>
  </si>
  <si>
    <t>EBITDA Margin</t>
  </si>
  <si>
    <t>Net Margin</t>
  </si>
  <si>
    <t>ROE (Return on Equity)</t>
  </si>
  <si>
    <t>ROIC (Return on Invested Capital)</t>
  </si>
  <si>
    <t>ROIC − WACC Spread</t>
  </si>
  <si>
    <t>LIQUIDITY</t>
  </si>
  <si>
    <t>Current Ratio</t>
  </si>
  <si>
    <t>Quick Ratio (Acid Test)</t>
  </si>
  <si>
    <t>Cash Ratio</t>
  </si>
  <si>
    <t>LEVERAGE</t>
  </si>
  <si>
    <t>Total Debt</t>
  </si>
  <si>
    <t>Net Debt</t>
  </si>
  <si>
    <t>Debt / Equity</t>
  </si>
  <si>
    <t>Total Debt / EBITDA</t>
  </si>
  <si>
    <t>Net Debt / EBITDA</t>
  </si>
  <si>
    <t>Interest Coverage Ratio</t>
  </si>
  <si>
    <t>EFFICIENCY</t>
  </si>
  <si>
    <t>Asset Turnover</t>
  </si>
  <si>
    <t>DSO (Days Sales Outstanding)</t>
  </si>
  <si>
    <t>DIO (Days Inventory Outstanding)</t>
  </si>
  <si>
    <t>DPO (Days Payable Outstanding)</t>
  </si>
  <si>
    <t>Cash Conversion Cycle</t>
  </si>
  <si>
    <t>GROWTH &amp; PER-SHARE</t>
  </si>
  <si>
    <t>Shares Outstanding</t>
  </si>
  <si>
    <t>EBITDA Growth %</t>
  </si>
  <si>
    <t>EPS (EGP per share)</t>
  </si>
  <si>
    <t>EPS Growth %</t>
  </si>
  <si>
    <t>DPS (Dividends per share, EGP)</t>
  </si>
  <si>
    <t>Payout Ratio %</t>
  </si>
  <si>
    <t>Implied Dividend Yield %</t>
  </si>
  <si>
    <t>(+/-) Reversal of Net Financing Income/(Cost)</t>
  </si>
  <si>
    <t>(+/-) Reversal of Investing Income (Fin Inv + Associates)</t>
  </si>
  <si>
    <t>CapEx % of Revenue</t>
  </si>
  <si>
    <t>D&amp;A % of Starting Net PP&amp;E</t>
  </si>
  <si>
    <t>Dividends % of Net Income</t>
  </si>
  <si>
    <t>Days Sales Outstanding (DSO)</t>
  </si>
  <si>
    <t>Days Sales of Inventory (DIO)</t>
  </si>
  <si>
    <t>Days Payable Outstanding (DPO)</t>
  </si>
  <si>
    <t>OpEx % of Revenue</t>
  </si>
  <si>
    <t>EBIT Margin % of Revenue</t>
  </si>
  <si>
    <t>Other revenue as % of Revenue</t>
  </si>
  <si>
    <t>Net financing cost/income as % of Revenue</t>
  </si>
  <si>
    <t>Other fin investments revenue as % of Revenue</t>
  </si>
  <si>
    <t>Income from associates as % of Revenue</t>
  </si>
  <si>
    <t>EASTERN COMPANY (S.A.E)</t>
  </si>
  <si>
    <t>+ Cash &amp; Investments</t>
  </si>
  <si>
    <t>Sensitivity Analysis - Implied Share Price (EGP)</t>
  </si>
  <si>
    <t>WACC ↓  /  TGR →</t>
  </si>
  <si>
    <t>WACC = 28%</t>
  </si>
  <si>
    <t>WACC = 30.28% (base)</t>
  </si>
  <si>
    <t>WACC = 32%</t>
  </si>
  <si>
    <t>TGR = 5%</t>
  </si>
  <si>
    <t>TGR = 6%</t>
  </si>
  <si>
    <t>TGR =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</si>
</sst>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m/d/yyyy"/>
    <numFmt numFmtId="165" formatCode="&quot;FY&quot;yy"/>
    <numFmt numFmtId="166" formatCode="0.0%"/>
    <numFmt numFmtId="167" formatCode="_(* #,##0.00_);_(* \(#,##0.00\);_(* \-??_);_(@_)"/>
    <numFmt numFmtId="168" formatCode="_(* #,##0_);_(* \(#,##0\);_(* \-??_);_(@_)"/>
    <numFmt numFmtId="169" formatCode="_(* #,##0_);_(* \(#,##0\);_(* \-_);_(@_)"/>
    <numFmt numFmtId="170" formatCode="[$EGP]\ #,##0.00"/>
    <numFmt numFmtId="171" formatCode="0.0%;\(0.0%\)"/>
  </numFmts>
  <fonts count="24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2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i/>
      <sz val="12"/>
      <color theme="0"/>
      <name val="Calibri"/>
      <family val="2"/>
      <charset val="1"/>
    </font>
    <font>
      <b/>
      <i/>
      <sz val="12"/>
      <color theme="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color theme="4" tint="-0.249977111117893"/>
      <name val="Calibri"/>
      <family val="2"/>
      <charset val="1"/>
    </font>
    <font>
      <i/>
      <sz val="12"/>
      <name val="Calibri"/>
      <family val="2"/>
      <charset val="1"/>
    </font>
    <font>
      <sz val="12"/>
      <color theme="4" tint="-0.249977111117893"/>
      <name val="Calibri"/>
      <family val="2"/>
      <charset val="1"/>
    </font>
    <font>
      <sz val="12"/>
      <color rgb="FF0000CC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i/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rgb="FF333F4F"/>
      </patternFill>
    </fill>
    <fill>
      <patternFill patternType="solid">
        <fgColor theme="3" tint="-0.249977111117893"/>
        <bgColor rgb="FF222A3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7" fontId="19" fillId="0" borderId="0"/>
    <xf numFmtId="9" fontId="19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9" fontId="1" fillId="0" borderId="0" xfId="2" applyFont="1"/>
    <xf numFmtId="166" fontId="1" fillId="0" borderId="0" xfId="2" applyNumberFormat="1" applyFont="1"/>
    <xf numFmtId="9" fontId="1" fillId="0" borderId="2" xfId="2" applyFont="1" applyBorder="1"/>
    <xf numFmtId="9" fontId="1" fillId="0" borderId="1" xfId="2" applyFont="1" applyBorder="1"/>
    <xf numFmtId="10" fontId="1" fillId="0" borderId="0" xfId="2" applyNumberFormat="1" applyFont="1"/>
    <xf numFmtId="167" fontId="1" fillId="0" borderId="0" xfId="1" applyFont="1"/>
    <xf numFmtId="0" fontId="9" fillId="0" borderId="3" xfId="0" applyFont="1" applyBorder="1"/>
    <xf numFmtId="0" fontId="2" fillId="0" borderId="3" xfId="0" applyFont="1" applyBorder="1" applyAlignment="1">
      <alignment horizontal="center" vertical="center"/>
    </xf>
    <xf numFmtId="167" fontId="9" fillId="0" borderId="3" xfId="1" applyFont="1" applyBorder="1"/>
    <xf numFmtId="167" fontId="1" fillId="0" borderId="3" xfId="1" applyFont="1" applyBorder="1"/>
    <xf numFmtId="166" fontId="19" fillId="0" borderId="0" xfId="2" applyNumberFormat="1"/>
    <xf numFmtId="165" fontId="4" fillId="2" borderId="0" xfId="0" applyNumberFormat="1" applyFont="1" applyFill="1" applyAlignment="1">
      <alignment horizontal="center" vertical="center"/>
    </xf>
    <xf numFmtId="0" fontId="9" fillId="0" borderId="0" xfId="0" applyFont="1"/>
    <xf numFmtId="168" fontId="10" fillId="0" borderId="0" xfId="1" applyNumberFormat="1" applyFont="1"/>
    <xf numFmtId="168" fontId="9" fillId="0" borderId="0" xfId="1" applyNumberFormat="1" applyFont="1"/>
    <xf numFmtId="166" fontId="2" fillId="0" borderId="0" xfId="2" applyNumberFormat="1" applyFont="1"/>
    <xf numFmtId="166" fontId="2" fillId="0" borderId="0" xfId="2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9" fontId="12" fillId="0" borderId="0" xfId="1" applyNumberFormat="1" applyFont="1"/>
    <xf numFmtId="168" fontId="1" fillId="0" borderId="0" xfId="1" applyNumberFormat="1" applyFont="1"/>
    <xf numFmtId="168" fontId="13" fillId="0" borderId="0" xfId="1" applyNumberFormat="1" applyFont="1"/>
    <xf numFmtId="168" fontId="9" fillId="0" borderId="3" xfId="1" applyNumberFormat="1" applyFont="1" applyBorder="1"/>
    <xf numFmtId="166" fontId="9" fillId="0" borderId="0" xfId="2" applyNumberFormat="1" applyFont="1" applyAlignment="1">
      <alignment horizontal="left" indent="1"/>
    </xf>
    <xf numFmtId="169" fontId="15" fillId="0" borderId="3" xfId="1" applyNumberFormat="1" applyFont="1" applyBorder="1"/>
    <xf numFmtId="168" fontId="15" fillId="0" borderId="0" xfId="1" applyNumberFormat="1" applyFont="1"/>
    <xf numFmtId="0" fontId="1" fillId="0" borderId="0" xfId="0" applyFont="1" applyAlignment="1">
      <alignment horizontal="left" indent="1"/>
    </xf>
    <xf numFmtId="168" fontId="15" fillId="0" borderId="3" xfId="1" applyNumberFormat="1" applyFont="1" applyBorder="1"/>
    <xf numFmtId="0" fontId="2" fillId="0" borderId="4" xfId="0" applyFont="1" applyBorder="1" applyAlignment="1">
      <alignment horizontal="center" vertical="center"/>
    </xf>
    <xf numFmtId="168" fontId="1" fillId="0" borderId="0" xfId="0" applyNumberFormat="1" applyFont="1"/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167" fontId="1" fillId="0" borderId="0" xfId="0" applyNumberFormat="1" applyFont="1"/>
    <xf numFmtId="168" fontId="9" fillId="0" borderId="0" xfId="0" applyNumberFormat="1" applyFont="1"/>
    <xf numFmtId="0" fontId="9" fillId="0" borderId="3" xfId="0" applyFont="1" applyBorder="1" applyAlignment="1">
      <alignment horizontal="left" inden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9" fontId="9" fillId="0" borderId="0" xfId="1" applyNumberFormat="1" applyFont="1"/>
    <xf numFmtId="169" fontId="1" fillId="0" borderId="0" xfId="1" applyNumberFormat="1" applyFont="1"/>
    <xf numFmtId="169" fontId="9" fillId="0" borderId="3" xfId="1" applyNumberFormat="1" applyFont="1" applyBorder="1"/>
    <xf numFmtId="169" fontId="1" fillId="0" borderId="0" xfId="0" applyNumberFormat="1" applyFont="1"/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7" xfId="0" applyFont="1" applyBorder="1"/>
    <xf numFmtId="0" fontId="2" fillId="0" borderId="8" xfId="0" applyFont="1" applyBorder="1" applyAlignment="1">
      <alignment horizontal="center" vertical="center"/>
    </xf>
    <xf numFmtId="0" fontId="1" fillId="0" borderId="8" xfId="0" applyFont="1" applyBorder="1"/>
    <xf numFmtId="168" fontId="1" fillId="0" borderId="8" xfId="0" applyNumberFormat="1" applyFont="1" applyBorder="1"/>
    <xf numFmtId="168" fontId="9" fillId="0" borderId="8" xfId="0" applyNumberFormat="1" applyFont="1" applyBorder="1"/>
    <xf numFmtId="167" fontId="1" fillId="0" borderId="8" xfId="0" applyNumberFormat="1" applyFont="1" applyBorder="1"/>
    <xf numFmtId="0" fontId="1" fillId="0" borderId="4" xfId="0" applyFont="1" applyBorder="1"/>
    <xf numFmtId="167" fontId="1" fillId="0" borderId="4" xfId="0" applyNumberFormat="1" applyFont="1" applyBorder="1"/>
    <xf numFmtId="0" fontId="0" fillId="0" borderId="4" xfId="0" applyBorder="1"/>
    <xf numFmtId="0" fontId="17" fillId="0" borderId="4" xfId="0" applyFont="1" applyBorder="1"/>
    <xf numFmtId="3" fontId="0" fillId="0" borderId="0" xfId="0" applyNumberFormat="1"/>
    <xf numFmtId="166" fontId="0" fillId="0" borderId="0" xfId="0" applyNumberFormat="1" applyAlignment="1">
      <alignment horizontal="right"/>
    </xf>
    <xf numFmtId="10" fontId="19" fillId="0" borderId="0" xfId="2" applyNumberFormat="1"/>
    <xf numFmtId="166" fontId="0" fillId="0" borderId="5" xfId="0" applyNumberFormat="1" applyBorder="1" applyAlignment="1">
      <alignment horizontal="right"/>
    </xf>
    <xf numFmtId="9" fontId="19" fillId="0" borderId="0" xfId="2"/>
    <xf numFmtId="166" fontId="0" fillId="0" borderId="0" xfId="0" applyNumberFormat="1"/>
    <xf numFmtId="0" fontId="0" fillId="0" borderId="5" xfId="0" applyBorder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/>
    <xf numFmtId="2" fontId="0" fillId="0" borderId="0" xfId="0" applyNumberFormat="1"/>
    <xf numFmtId="1" fontId="0" fillId="0" borderId="0" xfId="0" applyNumberFormat="1"/>
    <xf numFmtId="39" fontId="0" fillId="0" borderId="0" xfId="0" applyNumberFormat="1"/>
    <xf numFmtId="166" fontId="20" fillId="0" borderId="0" xfId="2" applyNumberFormat="1" applyFont="1" applyAlignment="1">
      <alignment horizontal="left" indent="1"/>
    </xf>
    <xf numFmtId="0" fontId="20" fillId="0" borderId="0" xfId="0" applyFont="1" applyAlignment="1">
      <alignment horizontal="center" vertical="center"/>
    </xf>
    <xf numFmtId="166" fontId="20" fillId="0" borderId="0" xfId="2" applyNumberFormat="1" applyFont="1"/>
    <xf numFmtId="168" fontId="19" fillId="0" borderId="0" xfId="1" applyNumberFormat="1"/>
    <xf numFmtId="169" fontId="21" fillId="0" borderId="0" xfId="1" applyNumberFormat="1" applyFont="1"/>
    <xf numFmtId="0" fontId="20" fillId="0" borderId="0" xfId="0" applyFont="1" applyAlignment="1">
      <alignment horizontal="left" indent="1"/>
    </xf>
    <xf numFmtId="1" fontId="1" fillId="0" borderId="0" xfId="0" applyNumberFormat="1" applyFont="1"/>
    <xf numFmtId="170" fontId="2" fillId="0" borderId="0" xfId="0" applyNumberFormat="1" applyFont="1" applyAlignment="1">
      <alignment horizontal="center" vertical="center"/>
    </xf>
    <xf numFmtId="41" fontId="21" fillId="0" borderId="0" xfId="2" applyNumberFormat="1" applyFont="1" applyAlignment="1">
      <alignment horizontal="right"/>
    </xf>
    <xf numFmtId="41" fontId="11" fillId="0" borderId="0" xfId="2" applyNumberFormat="1" applyFont="1" applyAlignment="1">
      <alignment horizontal="right"/>
    </xf>
    <xf numFmtId="41" fontId="14" fillId="0" borderId="0" xfId="1" applyNumberFormat="1" applyFont="1" applyAlignment="1">
      <alignment horizontal="right"/>
    </xf>
    <xf numFmtId="41" fontId="15" fillId="0" borderId="3" xfId="1" applyNumberFormat="1" applyFont="1" applyBorder="1"/>
    <xf numFmtId="41" fontId="14" fillId="0" borderId="0" xfId="1" applyNumberFormat="1" applyFont="1"/>
    <xf numFmtId="41" fontId="15" fillId="0" borderId="0" xfId="1" applyNumberFormat="1" applyFont="1"/>
    <xf numFmtId="41" fontId="1" fillId="0" borderId="0" xfId="1" applyNumberFormat="1" applyFont="1"/>
    <xf numFmtId="170" fontId="1" fillId="0" borderId="5" xfId="0" applyNumberFormat="1" applyFont="1" applyBorder="1" applyAlignment="1">
      <alignment horizontal="center"/>
    </xf>
    <xf numFmtId="17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/>
    <xf numFmtId="169" fontId="1" fillId="0" borderId="0" xfId="0" applyNumberFormat="1" applyFont="1" applyAlignment="1">
      <alignment horizontal="left" indent="3"/>
    </xf>
    <xf numFmtId="169" fontId="1" fillId="0" borderId="4" xfId="0" applyNumberFormat="1" applyFont="1" applyBorder="1" applyAlignment="1">
      <alignment horizontal="left" indent="3"/>
    </xf>
    <xf numFmtId="0" fontId="18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0" fontId="0" fillId="4" borderId="0" xfId="0" applyNumberFormat="1" applyFill="1" applyAlignment="1">
      <alignment horizontal="right" vertical="center"/>
    </xf>
    <xf numFmtId="10" fontId="22" fillId="0" borderId="6" xfId="0" applyNumberFormat="1" applyFont="1" applyBorder="1" applyAlignment="1">
      <alignment horizontal="center" vertical="center"/>
    </xf>
    <xf numFmtId="9" fontId="22" fillId="0" borderId="6" xfId="2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1" fontId="19" fillId="0" borderId="0" xfId="2" applyNumberFormat="1"/>
    <xf numFmtId="0" fontId="22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2" fontId="1" fillId="6" borderId="10" xfId="0" applyNumberFormat="1" applyFont="1" applyFill="1" applyBorder="1" applyAlignment="1">
      <alignment horizontal="center" vertical="center"/>
    </xf>
    <xf numFmtId="2" fontId="23" fillId="7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F4F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99"/>
  <sheetViews>
    <sheetView showGridLines="0" tabSelected="1" zoomScale="90" zoomScaleNormal="90" workbookViewId="0">
      <selection activeCell="E11" sqref="E11"/>
    </sheetView>
  </sheetViews>
  <sheetFormatPr defaultColWidth="9.140625" defaultRowHeight="15.75" outlineLevelRow="1" x14ac:dyDescent="0.25"/>
  <cols>
    <col min="1" max="2" width="2.7109375" style="1" customWidth="1"/>
    <col min="3" max="3" width="98.7109375" style="1" customWidth="1"/>
    <col min="4" max="4" width="28" style="2" bestFit="1" customWidth="1"/>
    <col min="5" max="5" width="16.85546875" style="1" customWidth="1"/>
    <col min="6" max="6" width="17.7109375" style="1" customWidth="1"/>
    <col min="7" max="7" width="16.85546875" style="1" customWidth="1"/>
    <col min="8" max="12" width="19.42578125" style="1" customWidth="1"/>
    <col min="13" max="14" width="2.7109375" style="1" customWidth="1"/>
    <col min="15" max="16384" width="9.140625" style="1"/>
  </cols>
  <sheetData>
    <row r="1" spans="2:12" ht="15.75" customHeight="1" x14ac:dyDescent="0.25"/>
    <row r="2" spans="2:12" ht="15.75" customHeight="1" x14ac:dyDescent="0.3">
      <c r="B2" s="3" t="str">
        <f>Company_Name&amp;" - Operating Model"</f>
        <v>EASTERN COMPANY (S.A.E) - Operating Model</v>
      </c>
    </row>
    <row r="3" spans="2:12" ht="15.75" customHeight="1" x14ac:dyDescent="0.25"/>
    <row r="4" spans="2:12" ht="15.75" customHeight="1" x14ac:dyDescent="0.25"/>
    <row r="5" spans="2:12" ht="15.75" customHeight="1" x14ac:dyDescent="0.25">
      <c r="B5" s="4" t="s">
        <v>0</v>
      </c>
      <c r="C5" s="5"/>
      <c r="D5" s="6"/>
      <c r="E5" s="5"/>
      <c r="F5" s="5"/>
      <c r="G5" s="5"/>
      <c r="H5" s="5"/>
      <c r="I5" s="5"/>
      <c r="J5" s="5"/>
      <c r="K5" s="5"/>
      <c r="L5" s="5"/>
    </row>
    <row r="6" spans="2:12" ht="15.75" customHeight="1" x14ac:dyDescent="0.25"/>
    <row r="7" spans="2:12" ht="15.75" customHeight="1" x14ac:dyDescent="0.25">
      <c r="C7" s="1" t="s">
        <v>1</v>
      </c>
      <c r="D7" s="115" t="s">
        <v>205</v>
      </c>
      <c r="E7" s="115"/>
      <c r="F7" s="115"/>
    </row>
    <row r="8" spans="2:12" ht="15.75" customHeight="1" x14ac:dyDescent="0.25">
      <c r="C8" s="1" t="s">
        <v>2</v>
      </c>
      <c r="D8" s="7" t="s">
        <v>3</v>
      </c>
    </row>
    <row r="9" spans="2:12" ht="15.75" customHeight="1" x14ac:dyDescent="0.25">
      <c r="C9" s="1" t="s">
        <v>4</v>
      </c>
      <c r="D9" s="8">
        <v>45838</v>
      </c>
    </row>
    <row r="10" spans="2:12" ht="15.75" customHeight="1" x14ac:dyDescent="0.25"/>
    <row r="11" spans="2:12" ht="15.75" customHeight="1" x14ac:dyDescent="0.25">
      <c r="B11" s="4"/>
      <c r="C11" s="5"/>
      <c r="D11" s="6"/>
      <c r="E11" s="116" t="s">
        <v>5</v>
      </c>
      <c r="F11" s="116"/>
      <c r="G11" s="116"/>
      <c r="H11" s="115" t="s">
        <v>6</v>
      </c>
      <c r="I11" s="115"/>
      <c r="J11" s="115"/>
      <c r="K11" s="115"/>
      <c r="L11" s="115"/>
    </row>
    <row r="12" spans="2:12" ht="15.75" customHeight="1" x14ac:dyDescent="0.25">
      <c r="B12" s="4" t="s">
        <v>7</v>
      </c>
      <c r="C12" s="5"/>
      <c r="D12" s="9" t="s">
        <v>8</v>
      </c>
      <c r="E12" s="10">
        <f>EOMONTH(F12,-12)</f>
        <v>45107</v>
      </c>
      <c r="F12" s="10">
        <f>EOMONTH(G12,-12)</f>
        <v>45473</v>
      </c>
      <c r="G12" s="10">
        <f>Hist_Yr</f>
        <v>45838</v>
      </c>
      <c r="H12" s="10">
        <f>EOMONTH(G12,12)</f>
        <v>46203</v>
      </c>
      <c r="I12" s="10">
        <f>EOMONTH(H12,12)</f>
        <v>46568</v>
      </c>
      <c r="J12" s="10">
        <f>EOMONTH(I12,12)</f>
        <v>46934</v>
      </c>
      <c r="K12" s="10">
        <f>EOMONTH(J12,12)</f>
        <v>47299</v>
      </c>
      <c r="L12" s="10">
        <f>EOMONTH(K12,12)</f>
        <v>47664</v>
      </c>
    </row>
    <row r="13" spans="2:12" ht="15.75" customHeight="1" x14ac:dyDescent="0.25">
      <c r="B13" s="11" t="s">
        <v>9</v>
      </c>
      <c r="C13" s="12"/>
      <c r="D13" s="13"/>
      <c r="E13" s="12"/>
      <c r="F13" s="12"/>
      <c r="G13" s="12"/>
      <c r="H13" s="12"/>
      <c r="I13" s="12"/>
      <c r="J13" s="12"/>
      <c r="K13" s="12"/>
      <c r="L13" s="12"/>
    </row>
    <row r="14" spans="2:12" ht="15.75" customHeight="1" x14ac:dyDescent="0.25">
      <c r="B14" s="14"/>
      <c r="C14" s="15"/>
      <c r="D14" s="16"/>
      <c r="E14" s="15"/>
      <c r="F14" s="15"/>
      <c r="G14" s="15"/>
      <c r="H14" s="15"/>
      <c r="I14" s="15"/>
      <c r="J14" s="15"/>
      <c r="K14" s="15"/>
      <c r="L14" s="15"/>
    </row>
    <row r="15" spans="2:12" ht="15.75" customHeight="1" x14ac:dyDescent="0.25">
      <c r="C15" s="1" t="s">
        <v>10</v>
      </c>
      <c r="D15" s="2" t="s">
        <v>11</v>
      </c>
      <c r="E15" s="18" t="str">
        <f>IFERROR(E84/D84-1,"N/A")</f>
        <v>N/A</v>
      </c>
      <c r="F15" s="18">
        <f t="shared" ref="F15:G15" si="0">IFERROR(F84/E84-1,"N/A")</f>
        <v>0.14738973764801222</v>
      </c>
      <c r="G15" s="18">
        <f t="shared" si="0"/>
        <v>0.82827024905213897</v>
      </c>
      <c r="H15" s="18">
        <v>0.25</v>
      </c>
      <c r="I15" s="18">
        <v>0.25</v>
      </c>
      <c r="J15" s="18">
        <v>0.2</v>
      </c>
      <c r="K15" s="18">
        <v>0.2</v>
      </c>
      <c r="L15" s="18">
        <v>0.15</v>
      </c>
    </row>
    <row r="16" spans="2:12" ht="15.75" customHeight="1" x14ac:dyDescent="0.25">
      <c r="E16" s="17"/>
      <c r="F16" s="17"/>
      <c r="G16" s="17"/>
      <c r="H16" s="17"/>
      <c r="I16" s="17"/>
      <c r="J16" s="19"/>
      <c r="K16" s="17"/>
      <c r="L16" s="20"/>
    </row>
    <row r="17" spans="3:12" ht="15.75" customHeight="1" x14ac:dyDescent="0.25">
      <c r="C17" s="1" t="s">
        <v>12</v>
      </c>
      <c r="D17" s="2" t="s">
        <v>11</v>
      </c>
      <c r="E17" s="18">
        <f>E86/E84</f>
        <v>0.47896705438874049</v>
      </c>
      <c r="F17" s="18">
        <f t="shared" ref="F17:G17" si="1">F86/F84</f>
        <v>0.45057247277072793</v>
      </c>
      <c r="G17" s="18">
        <f t="shared" si="1"/>
        <v>0.32194730591251514</v>
      </c>
      <c r="H17" s="18">
        <f>AVERAGE(E17:G17)</f>
        <v>0.41716227769066117</v>
      </c>
      <c r="I17" s="18">
        <f>H17</f>
        <v>0.41716227769066117</v>
      </c>
      <c r="J17" s="18">
        <f t="shared" ref="J17:L35" si="2">I17</f>
        <v>0.41716227769066117</v>
      </c>
      <c r="K17" s="18">
        <f t="shared" si="2"/>
        <v>0.41716227769066117</v>
      </c>
      <c r="L17" s="18">
        <f t="shared" si="2"/>
        <v>0.41716227769066117</v>
      </c>
    </row>
    <row r="18" spans="3:12" ht="15.75" customHeight="1" x14ac:dyDescent="0.25">
      <c r="E18" s="18"/>
      <c r="F18" s="18"/>
      <c r="G18" s="18"/>
      <c r="H18" s="18"/>
      <c r="I18" s="18"/>
      <c r="J18" s="18"/>
      <c r="K18" s="18"/>
      <c r="L18" s="18"/>
    </row>
    <row r="19" spans="3:12" ht="15.75" customHeight="1" x14ac:dyDescent="0.25">
      <c r="C19" s="1" t="s">
        <v>200</v>
      </c>
      <c r="D19" s="2" t="s">
        <v>11</v>
      </c>
      <c r="E19" s="18">
        <f>E95/E84</f>
        <v>0.41704848808929845</v>
      </c>
      <c r="F19" s="18">
        <f t="shared" ref="F19:G19" si="3">F95/F84</f>
        <v>0.39949254060413675</v>
      </c>
      <c r="G19" s="18">
        <f t="shared" si="3"/>
        <v>0.26356591158792847</v>
      </c>
      <c r="H19" s="18">
        <f>AVERAGE(E19:G19)</f>
        <v>0.36003564676045458</v>
      </c>
      <c r="I19" s="18">
        <f>H19</f>
        <v>0.36003564676045458</v>
      </c>
      <c r="J19" s="18">
        <f t="shared" si="2"/>
        <v>0.36003564676045458</v>
      </c>
      <c r="K19" s="18">
        <f t="shared" si="2"/>
        <v>0.36003564676045458</v>
      </c>
      <c r="L19" s="18">
        <f t="shared" si="2"/>
        <v>0.36003564676045458</v>
      </c>
    </row>
    <row r="20" spans="3:12" ht="15.75" customHeight="1" x14ac:dyDescent="0.25">
      <c r="E20" s="18"/>
      <c r="F20" s="18"/>
      <c r="G20" s="18"/>
      <c r="H20" s="18"/>
      <c r="I20" s="18"/>
      <c r="J20" s="18"/>
      <c r="K20" s="18"/>
      <c r="L20" s="18"/>
    </row>
    <row r="21" spans="3:12" ht="15.75" customHeight="1" x14ac:dyDescent="0.25">
      <c r="C21" s="1" t="s">
        <v>199</v>
      </c>
      <c r="D21" s="2" t="s">
        <v>11</v>
      </c>
      <c r="E21" s="18">
        <f>-E93/E84</f>
        <v>0.1023639810108458</v>
      </c>
      <c r="F21" s="18">
        <f t="shared" ref="F21:G21" si="4">-F93/F84</f>
        <v>8.2492303596076441E-2</v>
      </c>
      <c r="G21" s="18">
        <f t="shared" si="4"/>
        <v>0.11844721612292984</v>
      </c>
      <c r="H21" s="18">
        <f>AVERAGE(E21:G21)</f>
        <v>0.10110116690995069</v>
      </c>
      <c r="I21" s="18">
        <f>H21</f>
        <v>0.10110116690995069</v>
      </c>
      <c r="J21" s="18">
        <f t="shared" si="2"/>
        <v>0.10110116690995069</v>
      </c>
      <c r="K21" s="18">
        <f t="shared" si="2"/>
        <v>0.10110116690995069</v>
      </c>
      <c r="L21" s="18">
        <f t="shared" si="2"/>
        <v>0.10110116690995069</v>
      </c>
    </row>
    <row r="22" spans="3:12" ht="15.75" customHeight="1" x14ac:dyDescent="0.25">
      <c r="E22" s="18"/>
      <c r="F22" s="18"/>
      <c r="G22" s="18"/>
      <c r="H22" s="18"/>
      <c r="I22" s="18"/>
      <c r="J22" s="18"/>
      <c r="K22" s="18"/>
      <c r="L22" s="18"/>
    </row>
    <row r="23" spans="3:12" ht="15.75" customHeight="1" x14ac:dyDescent="0.25">
      <c r="C23" s="1" t="s">
        <v>13</v>
      </c>
      <c r="D23" s="2" t="s">
        <v>11</v>
      </c>
      <c r="E23" s="18">
        <f>-E90/E84</f>
        <v>3.1866041805566722E-2</v>
      </c>
      <c r="F23" s="18">
        <f t="shared" ref="F23:G23" si="5">-F90/F84</f>
        <v>2.5405640322319224E-2</v>
      </c>
      <c r="G23" s="18">
        <f t="shared" si="5"/>
        <v>1.8263947995498669E-2</v>
      </c>
      <c r="H23" s="18">
        <f>AVERAGE(E23:G23)</f>
        <v>2.5178543374461539E-2</v>
      </c>
      <c r="I23" s="18">
        <f>H23</f>
        <v>2.5178543374461539E-2</v>
      </c>
      <c r="J23" s="18">
        <f t="shared" si="2"/>
        <v>2.5178543374461539E-2</v>
      </c>
      <c r="K23" s="18">
        <f t="shared" si="2"/>
        <v>2.5178543374461539E-2</v>
      </c>
      <c r="L23" s="18">
        <f t="shared" si="2"/>
        <v>2.5178543374461539E-2</v>
      </c>
    </row>
    <row r="24" spans="3:12" ht="15.75" customHeight="1" x14ac:dyDescent="0.25">
      <c r="E24" s="18"/>
      <c r="F24" s="18"/>
      <c r="G24" s="18"/>
      <c r="H24" s="18"/>
      <c r="I24" s="18"/>
      <c r="J24" s="18"/>
      <c r="K24" s="18"/>
      <c r="L24" s="18"/>
    </row>
    <row r="25" spans="3:12" ht="15.75" customHeight="1" x14ac:dyDescent="0.25">
      <c r="C25" s="1" t="s">
        <v>14</v>
      </c>
      <c r="D25" s="2" t="s">
        <v>11</v>
      </c>
      <c r="E25" s="21">
        <f>-E91/E84</f>
        <v>3.8560853895779401E-2</v>
      </c>
      <c r="F25" s="21">
        <f t="shared" ref="F25:G25" si="6">-F91/F84</f>
        <v>4.7940137808987156E-2</v>
      </c>
      <c r="G25" s="21">
        <f t="shared" si="6"/>
        <v>2.3323730899181772E-2</v>
      </c>
      <c r="H25" s="18">
        <f>AVERAGE(E25:G25)</f>
        <v>3.6608240867982776E-2</v>
      </c>
      <c r="I25" s="18">
        <f>H25</f>
        <v>3.6608240867982776E-2</v>
      </c>
      <c r="J25" s="18">
        <f t="shared" si="2"/>
        <v>3.6608240867982776E-2</v>
      </c>
      <c r="K25" s="18">
        <f t="shared" si="2"/>
        <v>3.6608240867982776E-2</v>
      </c>
      <c r="L25" s="18">
        <f t="shared" si="2"/>
        <v>3.6608240867982776E-2</v>
      </c>
    </row>
    <row r="26" spans="3:12" ht="15.75" customHeight="1" x14ac:dyDescent="0.25"/>
    <row r="27" spans="3:12" ht="15.75" customHeight="1" x14ac:dyDescent="0.25">
      <c r="C27" s="1" t="s">
        <v>15</v>
      </c>
      <c r="D27" s="2" t="s">
        <v>11</v>
      </c>
      <c r="E27" s="18">
        <f>-E104/E103</f>
        <v>0.21589153089732596</v>
      </c>
      <c r="F27" s="18">
        <f t="shared" ref="F27:G27" si="7">-F104/F103</f>
        <v>0.19940460308209157</v>
      </c>
      <c r="G27" s="18">
        <f t="shared" si="7"/>
        <v>0.19603553862772111</v>
      </c>
      <c r="H27" s="18">
        <f>AVERAGE(E27:G27)</f>
        <v>0.20377722420237956</v>
      </c>
      <c r="I27" s="18">
        <f>H27</f>
        <v>0.20377722420237956</v>
      </c>
      <c r="J27" s="18">
        <f t="shared" si="2"/>
        <v>0.20377722420237956</v>
      </c>
      <c r="K27" s="18">
        <f t="shared" si="2"/>
        <v>0.20377722420237956</v>
      </c>
      <c r="L27" s="18">
        <f t="shared" si="2"/>
        <v>0.20377722420237956</v>
      </c>
    </row>
    <row r="28" spans="3:12" ht="15.75" customHeight="1" x14ac:dyDescent="0.25">
      <c r="E28" s="18"/>
      <c r="F28" s="18"/>
      <c r="G28" s="18"/>
      <c r="H28" s="18"/>
      <c r="I28" s="18"/>
      <c r="J28" s="18"/>
      <c r="K28" s="18"/>
      <c r="L28" s="18"/>
    </row>
    <row r="29" spans="3:12" ht="15.75" customHeight="1" x14ac:dyDescent="0.25">
      <c r="C29" s="1" t="s">
        <v>201</v>
      </c>
      <c r="D29" s="2" t="s">
        <v>11</v>
      </c>
      <c r="E29" s="27">
        <f>E88/E84</f>
        <v>4.044541471140372E-2</v>
      </c>
      <c r="F29" s="27">
        <f t="shared" ref="F29:G29" si="8">F88/F84</f>
        <v>3.141237142948531E-2</v>
      </c>
      <c r="G29" s="27">
        <f t="shared" si="8"/>
        <v>6.0065821798343209E-2</v>
      </c>
      <c r="H29" s="18">
        <f>AVERAGE(E29:G29)</f>
        <v>4.397453597974408E-2</v>
      </c>
      <c r="I29" s="18">
        <f>H29</f>
        <v>4.397453597974408E-2</v>
      </c>
      <c r="J29" s="18">
        <f t="shared" si="2"/>
        <v>4.397453597974408E-2</v>
      </c>
      <c r="K29" s="18">
        <f t="shared" si="2"/>
        <v>4.397453597974408E-2</v>
      </c>
      <c r="L29" s="18">
        <f t="shared" si="2"/>
        <v>4.397453597974408E-2</v>
      </c>
    </row>
    <row r="30" spans="3:12" ht="15.75" customHeight="1" x14ac:dyDescent="0.25">
      <c r="E30" s="18"/>
      <c r="F30" s="18"/>
      <c r="G30" s="18"/>
      <c r="H30" s="18"/>
      <c r="I30" s="18"/>
      <c r="J30" s="18"/>
      <c r="K30" s="18"/>
      <c r="L30" s="18"/>
    </row>
    <row r="31" spans="3:12" ht="15.75" customHeight="1" x14ac:dyDescent="0.25">
      <c r="C31" s="1" t="s">
        <v>202</v>
      </c>
      <c r="D31" s="2" t="s">
        <v>11</v>
      </c>
      <c r="E31" s="18">
        <f>E98/E84</f>
        <v>4.0075101850065999E-2</v>
      </c>
      <c r="F31" s="18">
        <f t="shared" ref="F31:G31" si="9">F98/F84</f>
        <v>1.1016375271304779E-2</v>
      </c>
      <c r="G31" s="18">
        <f t="shared" si="9"/>
        <v>-2.2755808094095741E-2</v>
      </c>
      <c r="H31" s="18">
        <f>AVERAGE(E31:G31)</f>
        <v>9.4452230090916797E-3</v>
      </c>
      <c r="I31" s="18">
        <f>H31</f>
        <v>9.4452230090916797E-3</v>
      </c>
      <c r="J31" s="18">
        <f t="shared" si="2"/>
        <v>9.4452230090916797E-3</v>
      </c>
      <c r="K31" s="18">
        <f t="shared" si="2"/>
        <v>9.4452230090916797E-3</v>
      </c>
      <c r="L31" s="18">
        <f t="shared" si="2"/>
        <v>9.4452230090916797E-3</v>
      </c>
    </row>
    <row r="32" spans="3:12" ht="15.75" customHeight="1" x14ac:dyDescent="0.25">
      <c r="E32" s="18"/>
      <c r="F32" s="18"/>
      <c r="G32" s="18"/>
      <c r="H32" s="18"/>
      <c r="I32" s="18"/>
      <c r="J32" s="18"/>
      <c r="K32" s="18"/>
      <c r="L32" s="18"/>
    </row>
    <row r="33" spans="2:12" ht="15.75" customHeight="1" x14ac:dyDescent="0.25">
      <c r="C33" s="1" t="s">
        <v>203</v>
      </c>
      <c r="D33" s="2" t="s">
        <v>11</v>
      </c>
      <c r="E33" s="18">
        <f>E99/E84</f>
        <v>9.0866156676066373E-2</v>
      </c>
      <c r="F33" s="18">
        <f t="shared" ref="F33:G33" si="10">F99/F84</f>
        <v>0.11339779274383635</v>
      </c>
      <c r="G33" s="18">
        <f t="shared" si="10"/>
        <v>4.9455054928942636E-2</v>
      </c>
      <c r="H33" s="18">
        <f>AVERAGE(E33:G33)</f>
        <v>8.4573001449615118E-2</v>
      </c>
      <c r="I33" s="18">
        <f>H33</f>
        <v>8.4573001449615118E-2</v>
      </c>
      <c r="J33" s="18">
        <f t="shared" si="2"/>
        <v>8.4573001449615118E-2</v>
      </c>
      <c r="K33" s="18">
        <f t="shared" si="2"/>
        <v>8.4573001449615118E-2</v>
      </c>
      <c r="L33" s="18">
        <f t="shared" si="2"/>
        <v>8.4573001449615118E-2</v>
      </c>
    </row>
    <row r="34" spans="2:12" ht="15.75" customHeight="1" x14ac:dyDescent="0.25">
      <c r="E34" s="18"/>
      <c r="F34" s="18"/>
      <c r="G34" s="18"/>
      <c r="H34" s="18"/>
      <c r="I34" s="18"/>
      <c r="J34" s="18"/>
      <c r="K34" s="18"/>
      <c r="L34" s="18"/>
    </row>
    <row r="35" spans="2:12" ht="15.75" customHeight="1" x14ac:dyDescent="0.25">
      <c r="C35" s="1" t="s">
        <v>204</v>
      </c>
      <c r="D35" s="2" t="s">
        <v>11</v>
      </c>
      <c r="E35" s="18">
        <f>E100/E84</f>
        <v>0</v>
      </c>
      <c r="F35" s="18">
        <f t="shared" ref="F35:G35" si="11">F100/F84</f>
        <v>3.6985435497664594E-2</v>
      </c>
      <c r="G35" s="18">
        <f t="shared" si="11"/>
        <v>3.2845279075474104E-2</v>
      </c>
      <c r="H35" s="18">
        <f>AVERAGE(E35:G35)</f>
        <v>2.3276904857712898E-2</v>
      </c>
      <c r="I35" s="18">
        <f>H35</f>
        <v>2.3276904857712898E-2</v>
      </c>
      <c r="J35" s="18">
        <f t="shared" si="2"/>
        <v>2.3276904857712898E-2</v>
      </c>
      <c r="K35" s="18">
        <f t="shared" si="2"/>
        <v>2.3276904857712898E-2</v>
      </c>
      <c r="L35" s="18">
        <f t="shared" si="2"/>
        <v>2.3276904857712898E-2</v>
      </c>
    </row>
    <row r="36" spans="2:12" ht="15.75" customHeight="1" x14ac:dyDescent="0.25"/>
    <row r="37" spans="2:12" ht="15.75" customHeight="1" x14ac:dyDescent="0.25">
      <c r="B37" s="4" t="s">
        <v>16</v>
      </c>
      <c r="C37" s="4" t="s">
        <v>46</v>
      </c>
      <c r="D37" s="6"/>
      <c r="E37" s="10">
        <f>EOMONTH(F37,-12)</f>
        <v>45107</v>
      </c>
      <c r="F37" s="10">
        <f>EOMONTH(G37,-12)</f>
        <v>45473</v>
      </c>
      <c r="G37" s="10">
        <f>Hist_Yr</f>
        <v>45838</v>
      </c>
      <c r="H37" s="10">
        <f>EOMONTH(G37,12)</f>
        <v>46203</v>
      </c>
      <c r="I37" s="10">
        <f>EOMONTH(H37,12)</f>
        <v>46568</v>
      </c>
      <c r="J37" s="10">
        <f>EOMONTH(I37,12)</f>
        <v>46934</v>
      </c>
      <c r="K37" s="10">
        <f>EOMONTH(J37,12)</f>
        <v>47299</v>
      </c>
      <c r="L37" s="10">
        <f>EOMONTH(K37,12)</f>
        <v>47664</v>
      </c>
    </row>
    <row r="38" spans="2:12" ht="15.75" customHeight="1" x14ac:dyDescent="0.25">
      <c r="B38" s="14"/>
      <c r="C38" s="14"/>
      <c r="D38" s="16"/>
      <c r="E38" s="15"/>
      <c r="F38" s="15"/>
      <c r="G38" s="15"/>
      <c r="H38" s="15"/>
      <c r="I38" s="15"/>
      <c r="J38" s="15"/>
      <c r="K38" s="15"/>
      <c r="L38" s="15"/>
    </row>
    <row r="39" spans="2:12" ht="15.75" customHeight="1" x14ac:dyDescent="0.25">
      <c r="C39" s="1" t="s">
        <v>196</v>
      </c>
      <c r="D39" s="2" t="s">
        <v>17</v>
      </c>
      <c r="E39" s="88">
        <f>(E114+E116+E117)/E84*365</f>
        <v>16.344974460533734</v>
      </c>
      <c r="F39" s="88">
        <f t="shared" ref="F39:G39" si="12">(F114+F116+F117)/F84*365</f>
        <v>35.128883036668952</v>
      </c>
      <c r="G39" s="88">
        <f t="shared" si="12"/>
        <v>22.837554068029981</v>
      </c>
      <c r="H39" s="88">
        <f>AVERAGE(E39:G39)</f>
        <v>24.770470521744226</v>
      </c>
      <c r="I39" s="88">
        <f>H39</f>
        <v>24.770470521744226</v>
      </c>
      <c r="J39" s="88">
        <f t="shared" ref="J39:L43" si="13">I39</f>
        <v>24.770470521744226</v>
      </c>
      <c r="K39" s="88">
        <f t="shared" si="13"/>
        <v>24.770470521744226</v>
      </c>
      <c r="L39" s="88">
        <f t="shared" si="13"/>
        <v>24.770470521744226</v>
      </c>
    </row>
    <row r="40" spans="2:12" ht="15.75" customHeight="1" x14ac:dyDescent="0.25">
      <c r="E40" s="88"/>
      <c r="F40" s="88"/>
      <c r="G40" s="88"/>
      <c r="H40" s="88"/>
      <c r="I40" s="88"/>
      <c r="J40" s="88"/>
      <c r="K40" s="88"/>
      <c r="L40" s="88"/>
    </row>
    <row r="41" spans="2:12" ht="15.75" customHeight="1" x14ac:dyDescent="0.25">
      <c r="C41" s="1" t="s">
        <v>197</v>
      </c>
      <c r="D41" s="2" t="s">
        <v>17</v>
      </c>
      <c r="E41" s="88">
        <f>E113/-E85*365</f>
        <v>152.5158306409522</v>
      </c>
      <c r="F41" s="88">
        <f t="shared" ref="F41:G41" si="14">F113/-F85*365</f>
        <v>160.64416297308577</v>
      </c>
      <c r="G41" s="88">
        <f t="shared" si="14"/>
        <v>487.94595704919323</v>
      </c>
      <c r="H41" s="88">
        <f>AVERAGE(E41:G41)</f>
        <v>267.0353168877437</v>
      </c>
      <c r="I41" s="88">
        <f>H41</f>
        <v>267.0353168877437</v>
      </c>
      <c r="J41" s="88">
        <f t="shared" si="13"/>
        <v>267.0353168877437</v>
      </c>
      <c r="K41" s="88">
        <f t="shared" si="13"/>
        <v>267.0353168877437</v>
      </c>
      <c r="L41" s="88">
        <f t="shared" si="13"/>
        <v>267.0353168877437</v>
      </c>
    </row>
    <row r="42" spans="2:12" ht="15.75" customHeight="1" x14ac:dyDescent="0.25">
      <c r="E42" s="88"/>
      <c r="F42" s="88"/>
      <c r="G42" s="88"/>
      <c r="H42" s="88"/>
      <c r="I42" s="88"/>
      <c r="J42" s="88"/>
      <c r="K42" s="88"/>
      <c r="L42" s="88"/>
    </row>
    <row r="43" spans="2:12" ht="15.75" customHeight="1" x14ac:dyDescent="0.25">
      <c r="C43" s="1" t="s">
        <v>198</v>
      </c>
      <c r="D43" s="2" t="s">
        <v>17</v>
      </c>
      <c r="E43" s="88">
        <f>(E135+E136)/-E85*365</f>
        <v>270.54830389143945</v>
      </c>
      <c r="F43" s="88">
        <f t="shared" ref="F43:G43" si="15">(F135+F136)/-F85*365</f>
        <v>409.98999724405689</v>
      </c>
      <c r="G43" s="88">
        <f t="shared" si="15"/>
        <v>152.59025181740475</v>
      </c>
      <c r="H43" s="88">
        <f>AVERAGE(E43:G43)</f>
        <v>277.70951765096703</v>
      </c>
      <c r="I43" s="88">
        <f>H43</f>
        <v>277.70951765096703</v>
      </c>
      <c r="J43" s="88">
        <f t="shared" si="13"/>
        <v>277.70951765096703</v>
      </c>
      <c r="K43" s="88">
        <f t="shared" si="13"/>
        <v>277.70951765096703</v>
      </c>
      <c r="L43" s="88">
        <f t="shared" si="13"/>
        <v>277.70951765096703</v>
      </c>
    </row>
    <row r="44" spans="2:12" ht="15.75" customHeight="1" x14ac:dyDescent="0.25"/>
    <row r="45" spans="2:12" ht="15.75" customHeight="1" x14ac:dyDescent="0.25">
      <c r="B45" s="4" t="s">
        <v>18</v>
      </c>
      <c r="C45" s="4"/>
      <c r="D45" s="6"/>
      <c r="E45" s="10">
        <f>EOMONTH(F45,-12)</f>
        <v>45107</v>
      </c>
      <c r="F45" s="10">
        <f>EOMONTH(G45,-12)</f>
        <v>45473</v>
      </c>
      <c r="G45" s="10">
        <f>Hist_Yr</f>
        <v>45838</v>
      </c>
      <c r="H45" s="10">
        <f>EOMONTH(G45,12)</f>
        <v>46203</v>
      </c>
      <c r="I45" s="10">
        <f>EOMONTH(H45,12)</f>
        <v>46568</v>
      </c>
      <c r="J45" s="10">
        <f>EOMONTH(I45,12)</f>
        <v>46934</v>
      </c>
      <c r="K45" s="10">
        <f>EOMONTH(J45,12)</f>
        <v>47299</v>
      </c>
      <c r="L45" s="10">
        <f>EOMONTH(K45,12)</f>
        <v>47664</v>
      </c>
    </row>
    <row r="46" spans="2:12" ht="15.75" customHeight="1" x14ac:dyDescent="0.25"/>
    <row r="47" spans="2:12" ht="15.75" customHeight="1" x14ac:dyDescent="0.25">
      <c r="C47" s="1" t="s">
        <v>193</v>
      </c>
      <c r="D47" s="2" t="s">
        <v>11</v>
      </c>
      <c r="E47" s="18">
        <f>-E182/E84</f>
        <v>6.127530272473162E-3</v>
      </c>
      <c r="F47" s="18">
        <f t="shared" ref="F47:G47" si="16">-F182/F84</f>
        <v>8.8489204199708495E-3</v>
      </c>
      <c r="G47" s="18">
        <f t="shared" si="16"/>
        <v>8.4070230783978776E-4</v>
      </c>
      <c r="H47" s="18">
        <f>AVERAGE(E47:G47)</f>
        <v>5.2723843334279326E-3</v>
      </c>
      <c r="I47" s="18">
        <f>H47</f>
        <v>5.2723843334279326E-3</v>
      </c>
      <c r="J47" s="18">
        <f t="shared" ref="J47:L47" si="17">I47</f>
        <v>5.2723843334279326E-3</v>
      </c>
      <c r="K47" s="18">
        <f t="shared" si="17"/>
        <v>5.2723843334279326E-3</v>
      </c>
      <c r="L47" s="18">
        <f t="shared" si="17"/>
        <v>5.2723843334279326E-3</v>
      </c>
    </row>
    <row r="48" spans="2:12" ht="15.75" customHeight="1" x14ac:dyDescent="0.25"/>
    <row r="49" spans="2:12" ht="15.75" customHeight="1" x14ac:dyDescent="0.25">
      <c r="C49" s="1" t="s">
        <v>194</v>
      </c>
      <c r="D49" s="2" t="s">
        <v>11</v>
      </c>
      <c r="E49" s="18"/>
      <c r="F49" s="18">
        <f>F165/E122</f>
        <v>0.10967748135378362</v>
      </c>
      <c r="G49" s="18">
        <f>G165/F122</f>
        <v>0.1016281507267429</v>
      </c>
      <c r="H49" s="18">
        <f>AVERAGE(E49:G49)</f>
        <v>0.10565281604026326</v>
      </c>
      <c r="I49" s="18">
        <f>H49</f>
        <v>0.10565281604026326</v>
      </c>
      <c r="J49" s="18">
        <f t="shared" ref="J49:L49" si="18">I49</f>
        <v>0.10565281604026326</v>
      </c>
      <c r="K49" s="18">
        <f t="shared" si="18"/>
        <v>0.10565281604026326</v>
      </c>
      <c r="L49" s="18">
        <f t="shared" si="18"/>
        <v>0.10565281604026326</v>
      </c>
    </row>
    <row r="50" spans="2:12" ht="15.75" customHeight="1" x14ac:dyDescent="0.25"/>
    <row r="51" spans="2:12" ht="15.75" customHeight="1" x14ac:dyDescent="0.25">
      <c r="C51" s="1" t="s">
        <v>195</v>
      </c>
      <c r="D51" s="2" t="s">
        <v>11</v>
      </c>
      <c r="E51" s="17">
        <f>-E189/E105</f>
        <v>0.48444250982795189</v>
      </c>
      <c r="F51" s="17">
        <f t="shared" ref="F51:G51" si="19">-F189/F105</f>
        <v>0.99237072973303542</v>
      </c>
      <c r="G51" s="17">
        <f t="shared" si="19"/>
        <v>0.93006166937245738</v>
      </c>
      <c r="H51" s="18">
        <f>AVERAGE(E51:G51)</f>
        <v>0.80229163631114819</v>
      </c>
      <c r="I51" s="18">
        <f>H51</f>
        <v>0.80229163631114819</v>
      </c>
      <c r="J51" s="18">
        <f t="shared" ref="J51:L51" si="20">I51</f>
        <v>0.80229163631114819</v>
      </c>
      <c r="K51" s="18">
        <f t="shared" si="20"/>
        <v>0.80229163631114819</v>
      </c>
      <c r="L51" s="18">
        <f t="shared" si="20"/>
        <v>0.80229163631114819</v>
      </c>
    </row>
    <row r="52" spans="2:12" ht="15.75" customHeight="1" x14ac:dyDescent="0.25"/>
    <row r="53" spans="2:12" ht="15.75" hidden="1" customHeight="1" outlineLevel="1" x14ac:dyDescent="0.25">
      <c r="B53" s="4" t="s">
        <v>19</v>
      </c>
      <c r="C53" s="4"/>
      <c r="D53" s="6"/>
      <c r="E53" s="10"/>
      <c r="F53" s="10"/>
      <c r="G53" s="10"/>
      <c r="H53" s="10"/>
      <c r="I53" s="10"/>
      <c r="J53" s="10"/>
      <c r="K53" s="10"/>
      <c r="L53" s="10"/>
    </row>
    <row r="54" spans="2:12" ht="15.75" hidden="1" customHeight="1" outlineLevel="1" x14ac:dyDescent="0.25"/>
    <row r="55" spans="2:12" ht="15.75" hidden="1" customHeight="1" outlineLevel="1" x14ac:dyDescent="0.25">
      <c r="C55" s="1" t="s">
        <v>20</v>
      </c>
      <c r="E55" s="22"/>
      <c r="F55" s="22"/>
      <c r="G55" s="22"/>
      <c r="H55" s="22"/>
      <c r="I55" s="22"/>
      <c r="J55" s="22"/>
      <c r="K55" s="22"/>
      <c r="L55" s="22"/>
    </row>
    <row r="56" spans="2:12" ht="15.75" hidden="1" customHeight="1" outlineLevel="1" x14ac:dyDescent="0.25">
      <c r="E56" s="22"/>
      <c r="F56" s="22"/>
      <c r="G56" s="22"/>
      <c r="H56" s="22"/>
      <c r="I56" s="22"/>
      <c r="J56" s="22"/>
      <c r="K56" s="22"/>
      <c r="L56" s="22"/>
    </row>
    <row r="57" spans="2:12" ht="15.75" hidden="1" customHeight="1" outlineLevel="1" x14ac:dyDescent="0.25">
      <c r="C57" s="1" t="s">
        <v>21</v>
      </c>
      <c r="E57" s="22"/>
      <c r="F57" s="22"/>
      <c r="G57" s="22"/>
      <c r="H57" s="22"/>
      <c r="I57" s="22"/>
      <c r="J57" s="22"/>
      <c r="K57" s="22"/>
      <c r="L57" s="22"/>
    </row>
    <row r="58" spans="2:12" ht="15.75" hidden="1" customHeight="1" outlineLevel="1" x14ac:dyDescent="0.25">
      <c r="C58" s="1" t="s">
        <v>22</v>
      </c>
      <c r="E58" s="22"/>
      <c r="F58" s="22"/>
      <c r="G58" s="22"/>
      <c r="H58" s="22"/>
      <c r="I58" s="22"/>
      <c r="J58" s="22"/>
      <c r="K58" s="22"/>
      <c r="L58" s="22"/>
    </row>
    <row r="59" spans="2:12" ht="15.75" hidden="1" customHeight="1" outlineLevel="1" x14ac:dyDescent="0.25">
      <c r="E59" s="22"/>
      <c r="F59" s="22"/>
      <c r="G59" s="22"/>
      <c r="H59" s="22"/>
      <c r="I59" s="22"/>
      <c r="J59" s="22"/>
      <c r="K59" s="22"/>
      <c r="L59" s="22"/>
    </row>
    <row r="60" spans="2:12" ht="15.75" hidden="1" customHeight="1" outlineLevel="1" x14ac:dyDescent="0.25">
      <c r="C60" s="1" t="s">
        <v>23</v>
      </c>
      <c r="E60" s="22"/>
      <c r="F60" s="22"/>
      <c r="G60" s="22"/>
      <c r="H60" s="22"/>
      <c r="I60" s="22"/>
      <c r="J60" s="22"/>
      <c r="K60" s="22"/>
      <c r="L60" s="22"/>
    </row>
    <row r="61" spans="2:12" ht="15.75" hidden="1" customHeight="1" outlineLevel="1" x14ac:dyDescent="0.25">
      <c r="C61" s="1" t="s">
        <v>24</v>
      </c>
      <c r="E61" s="22"/>
      <c r="F61" s="22"/>
      <c r="G61" s="22"/>
      <c r="H61" s="22"/>
      <c r="I61" s="22"/>
      <c r="J61" s="22"/>
      <c r="K61" s="22"/>
      <c r="L61" s="22"/>
    </row>
    <row r="62" spans="2:12" ht="15.75" hidden="1" customHeight="1" outlineLevel="1" x14ac:dyDescent="0.25">
      <c r="C62" s="1" t="s">
        <v>25</v>
      </c>
      <c r="E62" s="22"/>
      <c r="F62" s="22"/>
      <c r="G62" s="22"/>
      <c r="H62" s="22"/>
      <c r="I62" s="22"/>
      <c r="J62" s="22"/>
      <c r="K62" s="22"/>
      <c r="L62" s="22"/>
    </row>
    <row r="63" spans="2:12" ht="15.75" hidden="1" customHeight="1" outlineLevel="1" x14ac:dyDescent="0.25">
      <c r="C63" s="23" t="s">
        <v>26</v>
      </c>
      <c r="D63" s="24"/>
      <c r="E63" s="25"/>
      <c r="F63" s="25"/>
      <c r="G63" s="25"/>
      <c r="H63" s="25"/>
      <c r="I63" s="25"/>
      <c r="J63" s="25"/>
      <c r="K63" s="25"/>
      <c r="L63" s="25"/>
    </row>
    <row r="64" spans="2:12" ht="15.75" hidden="1" customHeight="1" outlineLevel="1" x14ac:dyDescent="0.25">
      <c r="E64" s="22"/>
      <c r="F64" s="22"/>
      <c r="G64" s="22"/>
      <c r="H64" s="22"/>
      <c r="I64" s="22"/>
      <c r="J64" s="22"/>
      <c r="K64" s="22"/>
      <c r="L64" s="22"/>
    </row>
    <row r="65" spans="3:12" ht="15.75" hidden="1" customHeight="1" outlineLevel="1" x14ac:dyDescent="0.25">
      <c r="C65" s="1" t="s">
        <v>27</v>
      </c>
      <c r="E65" s="22"/>
      <c r="F65" s="22"/>
      <c r="G65" s="22"/>
      <c r="H65" s="22"/>
      <c r="I65" s="22"/>
      <c r="J65" s="22"/>
      <c r="K65" s="22"/>
      <c r="L65" s="22"/>
    </row>
    <row r="66" spans="3:12" ht="15.75" hidden="1" customHeight="1" outlineLevel="1" x14ac:dyDescent="0.25">
      <c r="C66" s="1" t="s">
        <v>28</v>
      </c>
      <c r="E66" s="22"/>
      <c r="F66" s="22"/>
      <c r="G66" s="22"/>
      <c r="H66" s="22"/>
      <c r="I66" s="22"/>
      <c r="J66" s="22"/>
      <c r="K66" s="22"/>
      <c r="L66" s="22"/>
    </row>
    <row r="67" spans="3:12" ht="15.75" hidden="1" customHeight="1" outlineLevel="1" x14ac:dyDescent="0.25">
      <c r="C67" s="1" t="s">
        <v>29</v>
      </c>
      <c r="E67" s="22"/>
      <c r="F67" s="22"/>
      <c r="G67" s="22"/>
      <c r="H67" s="22"/>
      <c r="I67" s="22"/>
      <c r="J67" s="22"/>
      <c r="K67" s="22"/>
      <c r="L67" s="22"/>
    </row>
    <row r="68" spans="3:12" ht="15.75" hidden="1" customHeight="1" outlineLevel="1" x14ac:dyDescent="0.25">
      <c r="C68" s="1" t="s">
        <v>24</v>
      </c>
      <c r="E68" s="22"/>
      <c r="F68" s="22"/>
      <c r="G68" s="22"/>
      <c r="H68" s="22"/>
      <c r="I68" s="22"/>
      <c r="J68" s="22"/>
      <c r="K68" s="22"/>
      <c r="L68" s="22"/>
    </row>
    <row r="69" spans="3:12" ht="15.75" hidden="1" customHeight="1" outlineLevel="1" x14ac:dyDescent="0.25">
      <c r="C69" s="1" t="s">
        <v>30</v>
      </c>
      <c r="E69" s="22"/>
      <c r="F69" s="22"/>
      <c r="G69" s="22"/>
      <c r="H69" s="22"/>
      <c r="I69" s="22"/>
      <c r="J69" s="22"/>
      <c r="K69" s="22"/>
      <c r="L69" s="22"/>
    </row>
    <row r="70" spans="3:12" ht="15.75" hidden="1" customHeight="1" outlineLevel="1" x14ac:dyDescent="0.25">
      <c r="C70" s="23" t="s">
        <v>31</v>
      </c>
      <c r="D70" s="24"/>
      <c r="E70" s="26"/>
      <c r="F70" s="26"/>
      <c r="G70" s="26"/>
      <c r="H70" s="26"/>
      <c r="I70" s="26"/>
      <c r="J70" s="26"/>
      <c r="K70" s="26"/>
      <c r="L70" s="26"/>
    </row>
    <row r="71" spans="3:12" ht="15.75" hidden="1" customHeight="1" outlineLevel="1" x14ac:dyDescent="0.25"/>
    <row r="72" spans="3:12" ht="15.75" hidden="1" customHeight="1" outlineLevel="1" x14ac:dyDescent="0.25">
      <c r="C72" s="1" t="s">
        <v>32</v>
      </c>
      <c r="D72" s="2" t="s">
        <v>11</v>
      </c>
      <c r="E72" s="17"/>
      <c r="F72" s="17"/>
      <c r="G72" s="17"/>
      <c r="H72" s="17"/>
      <c r="I72" s="17"/>
      <c r="J72" s="17"/>
      <c r="K72" s="17"/>
      <c r="L72" s="17"/>
    </row>
    <row r="73" spans="3:12" ht="15.75" hidden="1" customHeight="1" outlineLevel="1" x14ac:dyDescent="0.25">
      <c r="C73" s="1" t="s">
        <v>33</v>
      </c>
      <c r="E73" s="22"/>
      <c r="F73" s="22"/>
      <c r="G73" s="22"/>
      <c r="H73" s="22"/>
      <c r="I73" s="22"/>
      <c r="J73" s="22"/>
      <c r="K73" s="22"/>
      <c r="L73" s="22"/>
    </row>
    <row r="74" spans="3:12" ht="15.75" hidden="1" customHeight="1" outlineLevel="1" x14ac:dyDescent="0.25">
      <c r="C74" s="1" t="s">
        <v>34</v>
      </c>
      <c r="D74" s="2" t="s">
        <v>35</v>
      </c>
    </row>
    <row r="75" spans="3:12" ht="15.75" hidden="1" customHeight="1" outlineLevel="1" x14ac:dyDescent="0.25">
      <c r="C75" s="1" t="s">
        <v>36</v>
      </c>
      <c r="D75" s="2" t="s">
        <v>11</v>
      </c>
      <c r="E75" s="17"/>
      <c r="F75" s="27"/>
      <c r="G75" s="27"/>
      <c r="H75" s="18"/>
      <c r="I75" s="18"/>
      <c r="J75" s="18"/>
      <c r="K75" s="18"/>
      <c r="L75" s="18"/>
    </row>
    <row r="76" spans="3:12" ht="15.75" hidden="1" customHeight="1" outlineLevel="1" x14ac:dyDescent="0.25"/>
    <row r="77" spans="3:12" ht="15.75" hidden="1" customHeight="1" outlineLevel="1" x14ac:dyDescent="0.25">
      <c r="C77" s="1" t="s">
        <v>37</v>
      </c>
      <c r="E77" s="22"/>
      <c r="F77" s="22"/>
      <c r="G77" s="22"/>
      <c r="H77" s="22"/>
      <c r="I77" s="22"/>
      <c r="J77" s="22"/>
      <c r="K77" s="22"/>
      <c r="L77" s="22"/>
    </row>
    <row r="78" spans="3:12" ht="15.75" hidden="1" customHeight="1" outlineLevel="1" x14ac:dyDescent="0.25"/>
    <row r="79" spans="3:12" ht="15.75" hidden="1" customHeight="1" outlineLevel="1" x14ac:dyDescent="0.25">
      <c r="C79" s="1" t="s">
        <v>38</v>
      </c>
      <c r="D79" s="2" t="s">
        <v>11</v>
      </c>
      <c r="E79" s="17"/>
      <c r="F79" s="17"/>
      <c r="G79" s="17"/>
      <c r="H79" s="17"/>
      <c r="I79" s="17"/>
      <c r="J79" s="17"/>
      <c r="K79" s="17"/>
      <c r="L79" s="17"/>
    </row>
    <row r="80" spans="3:12" ht="15.75" hidden="1" customHeight="1" outlineLevel="1" x14ac:dyDescent="0.25"/>
    <row r="81" spans="2:12" ht="15.75" customHeight="1" collapsed="1" x14ac:dyDescent="0.25">
      <c r="B81" s="4"/>
      <c r="C81" s="5"/>
      <c r="D81" s="9"/>
      <c r="E81" s="116" t="str">
        <f>$E$11</f>
        <v>Historical</v>
      </c>
      <c r="F81" s="116"/>
      <c r="G81" s="116"/>
      <c r="H81" s="115" t="str">
        <f>$H$11</f>
        <v>Projected</v>
      </c>
      <c r="I81" s="115"/>
      <c r="J81" s="115"/>
      <c r="K81" s="115"/>
      <c r="L81" s="115"/>
    </row>
    <row r="82" spans="2:12" ht="15.75" customHeight="1" x14ac:dyDescent="0.25">
      <c r="B82" s="4" t="s">
        <v>9</v>
      </c>
      <c r="C82" s="5"/>
      <c r="D82" s="9" t="str">
        <f>$D$12</f>
        <v>Units</v>
      </c>
      <c r="E82" s="28">
        <f t="shared" ref="E82:L82" si="21">E$12</f>
        <v>45107</v>
      </c>
      <c r="F82" s="28">
        <f t="shared" si="21"/>
        <v>45473</v>
      </c>
      <c r="G82" s="28">
        <f t="shared" si="21"/>
        <v>45838</v>
      </c>
      <c r="H82" s="28">
        <f t="shared" si="21"/>
        <v>46203</v>
      </c>
      <c r="I82" s="28">
        <f t="shared" si="21"/>
        <v>46568</v>
      </c>
      <c r="J82" s="28">
        <f t="shared" si="21"/>
        <v>46934</v>
      </c>
      <c r="K82" s="28">
        <f t="shared" si="21"/>
        <v>47299</v>
      </c>
      <c r="L82" s="28">
        <f t="shared" si="21"/>
        <v>47664</v>
      </c>
    </row>
    <row r="83" spans="2:12" ht="15.75" customHeight="1" x14ac:dyDescent="0.25"/>
    <row r="84" spans="2:12" ht="15.75" customHeight="1" x14ac:dyDescent="0.25">
      <c r="C84" s="29" t="s">
        <v>39</v>
      </c>
      <c r="D84" s="89"/>
      <c r="E84" s="30">
        <v>17820067</v>
      </c>
      <c r="F84" s="30">
        <v>20446562</v>
      </c>
      <c r="G84" s="30">
        <v>37381841</v>
      </c>
      <c r="H84" s="31">
        <f>G84*(1+H15)</f>
        <v>46727301.25</v>
      </c>
      <c r="I84" s="31">
        <f t="shared" ref="I84:L84" si="22">H84*(1+I15)</f>
        <v>58409126.5625</v>
      </c>
      <c r="J84" s="31">
        <f t="shared" si="22"/>
        <v>70090951.875</v>
      </c>
      <c r="K84" s="31">
        <f t="shared" si="22"/>
        <v>84109142.25</v>
      </c>
      <c r="L84" s="31">
        <f t="shared" si="22"/>
        <v>96725513.587499991</v>
      </c>
    </row>
    <row r="85" spans="2:12" ht="15.75" customHeight="1" x14ac:dyDescent="0.25">
      <c r="C85" s="1" t="s">
        <v>40</v>
      </c>
      <c r="E85" s="35">
        <v>-9284842</v>
      </c>
      <c r="F85" s="35">
        <v>-11233904</v>
      </c>
      <c r="G85" s="35">
        <v>-25346858</v>
      </c>
      <c r="H85" s="36">
        <f>-H84*(1-H17)</f>
        <v>-27234433.830212321</v>
      </c>
      <c r="I85" s="36">
        <f t="shared" ref="I85:L85" si="23">-I84*(1-I17)</f>
        <v>-34043042.287765399</v>
      </c>
      <c r="J85" s="36">
        <f t="shared" si="23"/>
        <v>-40851650.74531848</v>
      </c>
      <c r="K85" s="36">
        <f t="shared" si="23"/>
        <v>-49021980.894382179</v>
      </c>
      <c r="L85" s="36">
        <f t="shared" si="23"/>
        <v>-56375278.028539501</v>
      </c>
    </row>
    <row r="86" spans="2:12" ht="15.75" customHeight="1" x14ac:dyDescent="0.25">
      <c r="C86" s="23" t="s">
        <v>41</v>
      </c>
      <c r="D86" s="24"/>
      <c r="E86" s="38">
        <f>E84+E85</f>
        <v>8535225</v>
      </c>
      <c r="F86" s="38">
        <f>F84+F85</f>
        <v>9212658</v>
      </c>
      <c r="G86" s="38">
        <f>G84+G85</f>
        <v>12034983</v>
      </c>
      <c r="H86" s="38">
        <f>SUM(H84:H85)</f>
        <v>19492867.419787679</v>
      </c>
      <c r="I86" s="38">
        <f t="shared" ref="I86:L86" si="24">SUM(I84:I85)</f>
        <v>24366084.274734601</v>
      </c>
      <c r="J86" s="38">
        <f t="shared" si="24"/>
        <v>29239301.12968152</v>
      </c>
      <c r="K86" s="38">
        <f t="shared" si="24"/>
        <v>35087161.355617821</v>
      </c>
      <c r="L86" s="38">
        <f t="shared" si="24"/>
        <v>40350235.55896049</v>
      </c>
    </row>
    <row r="87" spans="2:12" ht="15.75" customHeight="1" x14ac:dyDescent="0.25">
      <c r="C87" s="29"/>
      <c r="E87" s="31"/>
      <c r="F87" s="31"/>
      <c r="G87" s="31"/>
      <c r="H87" s="31"/>
      <c r="I87" s="31"/>
      <c r="J87" s="31"/>
      <c r="K87" s="31"/>
      <c r="L87" s="31"/>
    </row>
    <row r="88" spans="2:12" s="84" customFormat="1" ht="15.75" customHeight="1" x14ac:dyDescent="0.25">
      <c r="C88" s="82" t="s">
        <v>42</v>
      </c>
      <c r="D88" s="83"/>
      <c r="E88" s="35">
        <v>720740</v>
      </c>
      <c r="F88" s="35">
        <v>642275</v>
      </c>
      <c r="G88" s="35">
        <v>2245371</v>
      </c>
      <c r="H88" s="90">
        <f>H84*H29</f>
        <v>2054811.3900544655</v>
      </c>
      <c r="I88" s="90">
        <f t="shared" ref="I88:L88" si="25">I84*I29</f>
        <v>2568514.2375680818</v>
      </c>
      <c r="J88" s="90">
        <f t="shared" si="25"/>
        <v>3082217.0850816984</v>
      </c>
      <c r="K88" s="90">
        <f t="shared" si="25"/>
        <v>3698660.5020980379</v>
      </c>
      <c r="L88" s="90">
        <f t="shared" si="25"/>
        <v>4253459.5774127431</v>
      </c>
    </row>
    <row r="89" spans="2:12" s="32" customFormat="1" ht="15.75" customHeight="1" x14ac:dyDescent="0.25">
      <c r="C89" s="39" t="s">
        <v>43</v>
      </c>
      <c r="D89" s="2"/>
      <c r="H89" s="91"/>
      <c r="I89" s="91"/>
      <c r="J89" s="91"/>
      <c r="K89" s="91"/>
      <c r="L89" s="91"/>
    </row>
    <row r="90" spans="2:12" s="32" customFormat="1" ht="15.75" customHeight="1" x14ac:dyDescent="0.25">
      <c r="C90" s="82" t="s">
        <v>44</v>
      </c>
      <c r="D90" s="2"/>
      <c r="E90" s="35">
        <v>-567855</v>
      </c>
      <c r="F90" s="35">
        <v>-519458</v>
      </c>
      <c r="G90" s="35">
        <v>-682740</v>
      </c>
      <c r="H90" s="92">
        <f>-H84*H23</f>
        <v>-1176525.3812946558</v>
      </c>
      <c r="I90" s="92">
        <f t="shared" ref="I90:L90" si="26">-I84*I23</f>
        <v>-1470656.72661832</v>
      </c>
      <c r="J90" s="92">
        <f t="shared" si="26"/>
        <v>-1764788.0719419839</v>
      </c>
      <c r="K90" s="92">
        <f t="shared" si="26"/>
        <v>-2117745.6863303808</v>
      </c>
      <c r="L90" s="92">
        <f t="shared" si="26"/>
        <v>-2435407.5392799373</v>
      </c>
    </row>
    <row r="91" spans="2:12" s="32" customFormat="1" ht="15.75" customHeight="1" x14ac:dyDescent="0.25">
      <c r="C91" s="82" t="s">
        <v>45</v>
      </c>
      <c r="D91" s="2"/>
      <c r="E91" s="35">
        <v>-687157</v>
      </c>
      <c r="F91" s="35">
        <v>-980211</v>
      </c>
      <c r="G91" s="35">
        <v>-871884</v>
      </c>
      <c r="H91" s="92">
        <f>-H84*H25</f>
        <v>-1710604.2992707926</v>
      </c>
      <c r="I91" s="92">
        <f t="shared" ref="I91:L91" si="27">-I84*I25</f>
        <v>-2138255.3740884908</v>
      </c>
      <c r="J91" s="92">
        <f t="shared" si="27"/>
        <v>-2565906.4489061888</v>
      </c>
      <c r="K91" s="92">
        <f t="shared" si="27"/>
        <v>-3079087.7386874268</v>
      </c>
      <c r="L91" s="92">
        <f t="shared" si="27"/>
        <v>-3540950.8994905404</v>
      </c>
    </row>
    <row r="92" spans="2:12" s="32" customFormat="1" ht="15.75" customHeight="1" x14ac:dyDescent="0.25">
      <c r="C92" s="82" t="s">
        <v>46</v>
      </c>
      <c r="D92" s="2"/>
      <c r="E92" s="35">
        <v>-569121</v>
      </c>
      <c r="F92" s="35">
        <v>-187015</v>
      </c>
      <c r="G92" s="35">
        <v>-2873151</v>
      </c>
      <c r="H92" s="92">
        <f>-H84*(H21-H23-H25)</f>
        <v>-1837055.0023623488</v>
      </c>
      <c r="I92" s="92">
        <f t="shared" ref="I92:L92" si="28">-I84*(I21-I23-I25)</f>
        <v>-2296318.7529529361</v>
      </c>
      <c r="J92" s="92">
        <f t="shared" si="28"/>
        <v>-2755582.5035435231</v>
      </c>
      <c r="K92" s="92">
        <f t="shared" si="28"/>
        <v>-3306699.004252228</v>
      </c>
      <c r="L92" s="92">
        <f t="shared" si="28"/>
        <v>-3802703.8548900615</v>
      </c>
    </row>
    <row r="93" spans="2:12" x14ac:dyDescent="0.25">
      <c r="C93" s="23" t="s">
        <v>47</v>
      </c>
      <c r="D93" s="24"/>
      <c r="E93" s="40">
        <f>SUM(E90:E92)</f>
        <v>-1824133</v>
      </c>
      <c r="F93" s="40">
        <f t="shared" ref="F93:G93" si="29">SUM(F90:F92)</f>
        <v>-1686684</v>
      </c>
      <c r="G93" s="40">
        <f t="shared" si="29"/>
        <v>-4427775</v>
      </c>
      <c r="H93" s="93">
        <f>SUM(H90:H92)</f>
        <v>-4724184.6829277975</v>
      </c>
      <c r="I93" s="93">
        <f t="shared" ref="I93:L93" si="30">SUM(I90:I92)</f>
        <v>-5905230.8536597472</v>
      </c>
      <c r="J93" s="93">
        <f t="shared" si="30"/>
        <v>-7086277.0243916959</v>
      </c>
      <c r="K93" s="93">
        <f t="shared" si="30"/>
        <v>-8503532.4292700365</v>
      </c>
      <c r="L93" s="93">
        <f t="shared" si="30"/>
        <v>-9779062.2936605401</v>
      </c>
    </row>
    <row r="94" spans="2:12" ht="15.75" customHeight="1" x14ac:dyDescent="0.25">
      <c r="C94" s="29"/>
      <c r="E94" s="41"/>
      <c r="F94" s="41"/>
      <c r="G94" s="41"/>
      <c r="H94" s="94"/>
      <c r="I94" s="94"/>
      <c r="J94" s="94"/>
      <c r="K94" s="94"/>
      <c r="L94" s="94"/>
    </row>
    <row r="95" spans="2:12" x14ac:dyDescent="0.25">
      <c r="C95" s="29" t="s">
        <v>48</v>
      </c>
      <c r="E95" s="41">
        <f>E86+E88+E93</f>
        <v>7431832</v>
      </c>
      <c r="F95" s="41">
        <f>F86+F88+F93</f>
        <v>8168249</v>
      </c>
      <c r="G95" s="41">
        <f>G86+G88+G93</f>
        <v>9852579</v>
      </c>
      <c r="H95" s="95">
        <f>H86+H88+H93</f>
        <v>16823494.126914345</v>
      </c>
      <c r="I95" s="95">
        <f t="shared" ref="I95:L95" si="31">I86+I88+I93</f>
        <v>21029367.658642933</v>
      </c>
      <c r="J95" s="95">
        <f t="shared" si="31"/>
        <v>25235241.190371521</v>
      </c>
      <c r="K95" s="95">
        <f t="shared" si="31"/>
        <v>30282289.428445823</v>
      </c>
      <c r="L95" s="95">
        <f t="shared" si="31"/>
        <v>34824632.8427127</v>
      </c>
    </row>
    <row r="96" spans="2:12" ht="15.75" customHeight="1" x14ac:dyDescent="0.25">
      <c r="E96" s="37"/>
      <c r="F96" s="37"/>
      <c r="G96" s="37"/>
      <c r="H96" s="96"/>
      <c r="I96" s="96"/>
      <c r="J96" s="96"/>
      <c r="K96" s="96"/>
      <c r="L96" s="96"/>
    </row>
    <row r="97" spans="2:12" ht="15.75" customHeight="1" x14ac:dyDescent="0.25">
      <c r="C97" s="29" t="s">
        <v>49</v>
      </c>
      <c r="E97" s="37"/>
      <c r="F97" s="37"/>
      <c r="G97" s="37"/>
      <c r="H97" s="96"/>
      <c r="I97" s="96"/>
      <c r="J97" s="96"/>
      <c r="K97" s="96"/>
      <c r="L97" s="96"/>
    </row>
    <row r="98" spans="2:12" ht="15.75" customHeight="1" x14ac:dyDescent="0.25">
      <c r="C98" s="42" t="s">
        <v>50</v>
      </c>
      <c r="E98" s="35">
        <v>714141</v>
      </c>
      <c r="F98" s="35">
        <v>225247</v>
      </c>
      <c r="G98" s="35">
        <v>-850654</v>
      </c>
      <c r="H98" s="96">
        <f>H84*H31</f>
        <v>441349.78091925842</v>
      </c>
      <c r="I98" s="96">
        <f t="shared" ref="I98:L98" si="32">I84*I31</f>
        <v>551687.22614907299</v>
      </c>
      <c r="J98" s="96">
        <f t="shared" si="32"/>
        <v>662024.67137888761</v>
      </c>
      <c r="K98" s="96">
        <f t="shared" si="32"/>
        <v>794429.60565466515</v>
      </c>
      <c r="L98" s="96">
        <f t="shared" si="32"/>
        <v>913594.0465028648</v>
      </c>
    </row>
    <row r="99" spans="2:12" ht="15.75" customHeight="1" x14ac:dyDescent="0.25">
      <c r="C99" s="42" t="s">
        <v>51</v>
      </c>
      <c r="E99" s="35">
        <v>1619241</v>
      </c>
      <c r="F99" s="35">
        <v>2318595</v>
      </c>
      <c r="G99" s="35">
        <v>1848721</v>
      </c>
      <c r="H99" s="96">
        <f>H84*H33</f>
        <v>3951868.1163528524</v>
      </c>
      <c r="I99" s="96">
        <f t="shared" ref="I99:L99" si="33">I84*I33</f>
        <v>4939835.1454410655</v>
      </c>
      <c r="J99" s="96">
        <f t="shared" si="33"/>
        <v>5927802.1745292787</v>
      </c>
      <c r="K99" s="96">
        <f t="shared" si="33"/>
        <v>7113362.6094351346</v>
      </c>
      <c r="L99" s="96">
        <f t="shared" si="33"/>
        <v>8180367.0008504037</v>
      </c>
    </row>
    <row r="100" spans="2:12" ht="15.75" customHeight="1" x14ac:dyDescent="0.25">
      <c r="C100" s="42" t="s">
        <v>52</v>
      </c>
      <c r="E100" s="35"/>
      <c r="F100" s="35">
        <v>756225</v>
      </c>
      <c r="G100" s="35">
        <v>1227817</v>
      </c>
      <c r="H100" s="96">
        <f>H84*H35</f>
        <v>1087666.945453939</v>
      </c>
      <c r="I100" s="96">
        <f t="shared" ref="I100:L100" si="34">I84*I35</f>
        <v>1359583.6818174238</v>
      </c>
      <c r="J100" s="96">
        <f t="shared" si="34"/>
        <v>1631500.4181809085</v>
      </c>
      <c r="K100" s="96">
        <f t="shared" si="34"/>
        <v>1957800.5018170902</v>
      </c>
      <c r="L100" s="96">
        <f t="shared" si="34"/>
        <v>2251470.5770896534</v>
      </c>
    </row>
    <row r="101" spans="2:12" ht="15.75" customHeight="1" x14ac:dyDescent="0.25">
      <c r="C101" s="23" t="s">
        <v>53</v>
      </c>
      <c r="D101" s="24"/>
      <c r="E101" s="43">
        <f>SUM(E98:E100)</f>
        <v>2333382</v>
      </c>
      <c r="F101" s="43">
        <f t="shared" ref="F101:G101" si="35">SUM(F98:F100)</f>
        <v>3300067</v>
      </c>
      <c r="G101" s="43">
        <f t="shared" si="35"/>
        <v>2225884</v>
      </c>
      <c r="H101" s="93">
        <f>SUM(H98:H100)</f>
        <v>5480884.8427260499</v>
      </c>
      <c r="I101" s="93">
        <f t="shared" ref="I101:L101" si="36">SUM(I98:I100)</f>
        <v>6851106.053407562</v>
      </c>
      <c r="J101" s="93">
        <f t="shared" si="36"/>
        <v>8221327.264089074</v>
      </c>
      <c r="K101" s="93">
        <f t="shared" si="36"/>
        <v>9865592.7169068903</v>
      </c>
      <c r="L101" s="93">
        <f t="shared" si="36"/>
        <v>11345431.62444292</v>
      </c>
    </row>
    <row r="102" spans="2:12" ht="15.75" customHeight="1" x14ac:dyDescent="0.25">
      <c r="E102" s="37"/>
      <c r="F102" s="37"/>
      <c r="G102" s="37"/>
      <c r="H102" s="96"/>
      <c r="I102" s="96"/>
      <c r="J102" s="96"/>
      <c r="K102" s="96"/>
      <c r="L102" s="96"/>
    </row>
    <row r="103" spans="2:12" ht="15.75" customHeight="1" x14ac:dyDescent="0.25">
      <c r="C103" s="29" t="s">
        <v>54</v>
      </c>
      <c r="E103" s="31">
        <f>E95+E101</f>
        <v>9765214</v>
      </c>
      <c r="F103" s="31">
        <f>F95+F101</f>
        <v>11468316</v>
      </c>
      <c r="G103" s="31">
        <f>G95+G101</f>
        <v>12078463</v>
      </c>
      <c r="H103" s="31">
        <f t="shared" ref="H103:L103" si="37">H95+H101</f>
        <v>22304378.969640397</v>
      </c>
      <c r="I103" s="31">
        <f t="shared" si="37"/>
        <v>27880473.712050494</v>
      </c>
      <c r="J103" s="31">
        <f t="shared" si="37"/>
        <v>33456568.454460595</v>
      </c>
      <c r="K103" s="31">
        <f t="shared" si="37"/>
        <v>40147882.145352714</v>
      </c>
      <c r="L103" s="31">
        <f t="shared" si="37"/>
        <v>46170064.46715562</v>
      </c>
    </row>
    <row r="104" spans="2:12" ht="15.75" customHeight="1" x14ac:dyDescent="0.25">
      <c r="C104" s="42" t="s">
        <v>55</v>
      </c>
      <c r="E104" s="35">
        <v>-2108227</v>
      </c>
      <c r="F104" s="35">
        <v>-2286835</v>
      </c>
      <c r="G104" s="35">
        <v>-2367808</v>
      </c>
      <c r="H104" s="94">
        <f>-H103*H27</f>
        <v>-4545124.4339912506</v>
      </c>
      <c r="I104" s="94">
        <f t="shared" ref="I104:L104" si="38">-I103*I27</f>
        <v>-5681405.542489063</v>
      </c>
      <c r="J104" s="94">
        <f t="shared" si="38"/>
        <v>-6817686.6509868763</v>
      </c>
      <c r="K104" s="94">
        <f t="shared" si="38"/>
        <v>-8181223.9811842516</v>
      </c>
      <c r="L104" s="94">
        <f t="shared" si="38"/>
        <v>-9408407.5783618893</v>
      </c>
    </row>
    <row r="105" spans="2:12" ht="15.75" customHeight="1" x14ac:dyDescent="0.25">
      <c r="C105" s="23" t="s">
        <v>56</v>
      </c>
      <c r="D105" s="24"/>
      <c r="E105" s="38">
        <f>SUM(E103:E104)</f>
        <v>7656987</v>
      </c>
      <c r="F105" s="38">
        <f t="shared" ref="F105" si="39">SUM(F103:F104)</f>
        <v>9181481</v>
      </c>
      <c r="G105" s="38">
        <f>SUM(G103:G104)</f>
        <v>9710655</v>
      </c>
      <c r="H105" s="38">
        <f t="shared" ref="H105:L105" si="40">SUM(H103:H104)</f>
        <v>17759254.535649147</v>
      </c>
      <c r="I105" s="38">
        <f t="shared" si="40"/>
        <v>22199068.169561431</v>
      </c>
      <c r="J105" s="38">
        <f t="shared" si="40"/>
        <v>26638881.803473718</v>
      </c>
      <c r="K105" s="38">
        <f t="shared" si="40"/>
        <v>31966658.164168462</v>
      </c>
      <c r="L105" s="38">
        <f t="shared" si="40"/>
        <v>36761656.888793729</v>
      </c>
    </row>
    <row r="106" spans="2:12" ht="15.75" customHeight="1" x14ac:dyDescent="0.25"/>
    <row r="107" spans="2:12" ht="15.75" customHeight="1" x14ac:dyDescent="0.25">
      <c r="B107" s="4"/>
      <c r="C107" s="5"/>
      <c r="D107" s="9"/>
      <c r="E107" s="116" t="str">
        <f>$E$11</f>
        <v>Historical</v>
      </c>
      <c r="F107" s="116"/>
      <c r="G107" s="116"/>
      <c r="H107" s="115" t="str">
        <f>$H$11</f>
        <v>Projected</v>
      </c>
      <c r="I107" s="115"/>
      <c r="J107" s="115"/>
      <c r="K107" s="115"/>
      <c r="L107" s="115"/>
    </row>
    <row r="108" spans="2:12" ht="15.75" customHeight="1" x14ac:dyDescent="0.25">
      <c r="B108" s="4" t="s">
        <v>16</v>
      </c>
      <c r="C108" s="5"/>
      <c r="D108" s="9" t="str">
        <f>$D$12</f>
        <v>Units</v>
      </c>
      <c r="E108" s="28">
        <f t="shared" ref="E108:L108" si="41">E$12</f>
        <v>45107</v>
      </c>
      <c r="F108" s="28">
        <f t="shared" si="41"/>
        <v>45473</v>
      </c>
      <c r="G108" s="28">
        <f t="shared" si="41"/>
        <v>45838</v>
      </c>
      <c r="H108" s="28">
        <f t="shared" si="41"/>
        <v>46203</v>
      </c>
      <c r="I108" s="28">
        <f t="shared" si="41"/>
        <v>46568</v>
      </c>
      <c r="J108" s="28">
        <f t="shared" si="41"/>
        <v>46934</v>
      </c>
      <c r="K108" s="28">
        <f t="shared" si="41"/>
        <v>47299</v>
      </c>
      <c r="L108" s="28">
        <f t="shared" si="41"/>
        <v>47664</v>
      </c>
    </row>
    <row r="109" spans="2:12" ht="15.75" customHeight="1" x14ac:dyDescent="0.25">
      <c r="B109" s="11" t="s">
        <v>57</v>
      </c>
      <c r="C109" s="46"/>
      <c r="D109" s="47"/>
      <c r="E109" s="46"/>
      <c r="F109" s="46"/>
      <c r="G109" s="46"/>
      <c r="H109" s="46"/>
      <c r="I109" s="46"/>
      <c r="J109" s="46"/>
      <c r="K109" s="46"/>
      <c r="L109" s="46"/>
    </row>
    <row r="110" spans="2:12" ht="15.75" customHeight="1" x14ac:dyDescent="0.25"/>
    <row r="111" spans="2:12" ht="15.75" customHeight="1" x14ac:dyDescent="0.25">
      <c r="C111" s="29" t="s">
        <v>58</v>
      </c>
    </row>
    <row r="112" spans="2:12" ht="15.75" customHeight="1" x14ac:dyDescent="0.25">
      <c r="C112" s="42" t="s">
        <v>59</v>
      </c>
      <c r="E112" s="35">
        <v>3220564</v>
      </c>
      <c r="F112" s="35">
        <v>5902490</v>
      </c>
      <c r="G112" s="35">
        <v>181078</v>
      </c>
      <c r="H112" s="36">
        <f>H156-H126-SUM(H113:H118)</f>
        <v>32809313.398721311</v>
      </c>
      <c r="I112" s="36">
        <f t="shared" ref="I112:L112" si="42">I156-I126-SUM(I113:I118)</f>
        <v>36702033.622805491</v>
      </c>
      <c r="J112" s="36">
        <f t="shared" si="42"/>
        <v>41400655.815012112</v>
      </c>
      <c r="K112" s="36">
        <f t="shared" si="42"/>
        <v>46957281.338962175</v>
      </c>
      <c r="L112" s="36">
        <f t="shared" si="42"/>
        <v>53472033.457495347</v>
      </c>
    </row>
    <row r="113" spans="3:12" ht="15.75" customHeight="1" x14ac:dyDescent="0.25">
      <c r="C113" s="42" t="s">
        <v>60</v>
      </c>
      <c r="E113" s="35">
        <v>3879686</v>
      </c>
      <c r="F113" s="35">
        <v>4944277</v>
      </c>
      <c r="G113" s="35">
        <v>33884649</v>
      </c>
      <c r="H113" s="36">
        <f>H41/365*(-H85)</f>
        <v>19924810.049613792</v>
      </c>
      <c r="I113" s="36">
        <f t="shared" ref="I113:L113" si="43">I41/365*(-I85)</f>
        <v>24906012.56201724</v>
      </c>
      <c r="J113" s="36">
        <f t="shared" si="43"/>
        <v>29887215.074420691</v>
      </c>
      <c r="K113" s="36">
        <f t="shared" si="43"/>
        <v>35864658.089304827</v>
      </c>
      <c r="L113" s="36">
        <f t="shared" si="43"/>
        <v>41244356.802700549</v>
      </c>
    </row>
    <row r="114" spans="3:12" ht="15.75" customHeight="1" x14ac:dyDescent="0.25">
      <c r="C114" s="42" t="s">
        <v>61</v>
      </c>
      <c r="E114" s="35">
        <v>70306</v>
      </c>
      <c r="F114" s="35">
        <v>205527</v>
      </c>
      <c r="G114" s="35">
        <v>203028</v>
      </c>
      <c r="H114" s="36">
        <f>H39/365*H84</f>
        <v>3171115.7210240746</v>
      </c>
      <c r="I114" s="36">
        <f t="shared" ref="I114:L114" si="44">I39/365*I84</f>
        <v>3963894.651280093</v>
      </c>
      <c r="J114" s="36">
        <f t="shared" si="44"/>
        <v>4756673.5815361114</v>
      </c>
      <c r="K114" s="36">
        <f t="shared" si="44"/>
        <v>5708008.2978433343</v>
      </c>
      <c r="L114" s="36">
        <f t="shared" si="44"/>
        <v>6564209.5425198339</v>
      </c>
    </row>
    <row r="115" spans="3:12" ht="15.75" customHeight="1" x14ac:dyDescent="0.25">
      <c r="C115" s="42" t="s">
        <v>62</v>
      </c>
      <c r="E115" s="35">
        <v>113943</v>
      </c>
      <c r="F115" s="35">
        <v>100593</v>
      </c>
      <c r="G115" s="35">
        <v>760955</v>
      </c>
      <c r="H115" s="36">
        <f>G115</f>
        <v>760955</v>
      </c>
      <c r="I115" s="36">
        <f t="shared" ref="I115:L115" si="45">H115</f>
        <v>760955</v>
      </c>
      <c r="J115" s="36">
        <f t="shared" si="45"/>
        <v>760955</v>
      </c>
      <c r="K115" s="36">
        <f t="shared" si="45"/>
        <v>760955</v>
      </c>
      <c r="L115" s="36">
        <f t="shared" si="45"/>
        <v>760955</v>
      </c>
    </row>
    <row r="116" spans="3:12" ht="15.75" customHeight="1" x14ac:dyDescent="0.25">
      <c r="C116" s="42" t="s">
        <v>63</v>
      </c>
      <c r="E116" s="35">
        <v>727690</v>
      </c>
      <c r="F116" s="35">
        <v>1710612</v>
      </c>
      <c r="G116" s="35">
        <v>1289442</v>
      </c>
      <c r="H116" s="36">
        <f>G116</f>
        <v>1289442</v>
      </c>
      <c r="I116" s="36">
        <f t="shared" ref="I116:L116" si="46">H116</f>
        <v>1289442</v>
      </c>
      <c r="J116" s="36">
        <f t="shared" si="46"/>
        <v>1289442</v>
      </c>
      <c r="K116" s="36">
        <f t="shared" si="46"/>
        <v>1289442</v>
      </c>
      <c r="L116" s="36">
        <f t="shared" si="46"/>
        <v>1289442</v>
      </c>
    </row>
    <row r="117" spans="3:12" ht="15.75" customHeight="1" x14ac:dyDescent="0.25">
      <c r="C117" s="42" t="s">
        <v>64</v>
      </c>
      <c r="E117" s="35">
        <v>0</v>
      </c>
      <c r="F117" s="35">
        <v>51710</v>
      </c>
      <c r="G117" s="35">
        <v>846461</v>
      </c>
      <c r="H117" s="36">
        <f>G117</f>
        <v>846461</v>
      </c>
      <c r="I117" s="36">
        <f t="shared" ref="I117:L117" si="47">H117</f>
        <v>846461</v>
      </c>
      <c r="J117" s="36">
        <f t="shared" si="47"/>
        <v>846461</v>
      </c>
      <c r="K117" s="36">
        <f t="shared" si="47"/>
        <v>846461</v>
      </c>
      <c r="L117" s="36">
        <f t="shared" si="47"/>
        <v>846461</v>
      </c>
    </row>
    <row r="118" spans="3:12" ht="15.75" customHeight="1" x14ac:dyDescent="0.25">
      <c r="C118" s="42" t="s">
        <v>65</v>
      </c>
      <c r="E118" s="35">
        <v>9985269</v>
      </c>
      <c r="F118" s="35">
        <v>12710525</v>
      </c>
      <c r="G118" s="35">
        <v>9848</v>
      </c>
      <c r="H118" s="36">
        <f>G118</f>
        <v>9848</v>
      </c>
      <c r="I118" s="36">
        <f t="shared" ref="I118:L118" si="48">H118</f>
        <v>9848</v>
      </c>
      <c r="J118" s="36">
        <f t="shared" si="48"/>
        <v>9848</v>
      </c>
      <c r="K118" s="36">
        <f t="shared" si="48"/>
        <v>9848</v>
      </c>
      <c r="L118" s="36">
        <f t="shared" si="48"/>
        <v>9848</v>
      </c>
    </row>
    <row r="119" spans="3:12" ht="15.75" customHeight="1" x14ac:dyDescent="0.25">
      <c r="C119" s="23" t="s">
        <v>66</v>
      </c>
      <c r="D119" s="24"/>
      <c r="E119" s="38">
        <f>SUM(E112:E118)</f>
        <v>17997458</v>
      </c>
      <c r="F119" s="38">
        <f t="shared" ref="F119:G119" si="49">SUM(F112:F118)</f>
        <v>25625734</v>
      </c>
      <c r="G119" s="38">
        <f t="shared" si="49"/>
        <v>37175461</v>
      </c>
      <c r="H119" s="38">
        <f>SUM(H112:H118)</f>
        <v>58811945.169359177</v>
      </c>
      <c r="I119" s="38">
        <f t="shared" ref="I119:L119" si="50">SUM(I112:I118)</f>
        <v>68478646.836102813</v>
      </c>
      <c r="J119" s="38">
        <f t="shared" si="50"/>
        <v>78951250.470968917</v>
      </c>
      <c r="K119" s="38">
        <f t="shared" si="50"/>
        <v>91436653.726110339</v>
      </c>
      <c r="L119" s="38">
        <f t="shared" si="50"/>
        <v>104187305.80271573</v>
      </c>
    </row>
    <row r="120" spans="3:12" ht="15.75" customHeight="1" x14ac:dyDescent="0.25">
      <c r="E120" s="45"/>
      <c r="F120" s="45"/>
      <c r="G120" s="45"/>
      <c r="H120" s="45"/>
      <c r="I120" s="45"/>
      <c r="J120" s="45"/>
      <c r="K120" s="45"/>
      <c r="L120" s="45"/>
    </row>
    <row r="121" spans="3:12" ht="15.75" customHeight="1" x14ac:dyDescent="0.25">
      <c r="C121" s="29" t="s">
        <v>67</v>
      </c>
      <c r="E121" s="45"/>
      <c r="F121" s="45"/>
      <c r="G121" s="45"/>
      <c r="H121" s="45"/>
      <c r="I121" s="45"/>
      <c r="J121" s="45"/>
      <c r="K121" s="45"/>
      <c r="L121" s="45"/>
    </row>
    <row r="122" spans="3:12" ht="15.75" customHeight="1" x14ac:dyDescent="0.25">
      <c r="C122" s="42" t="s">
        <v>68</v>
      </c>
      <c r="E122" s="35">
        <v>4786762</v>
      </c>
      <c r="F122" s="35">
        <v>4427907</v>
      </c>
      <c r="G122" s="35">
        <v>4014914</v>
      </c>
      <c r="H122" s="36">
        <f>G122-H182-H165</f>
        <v>3837091.3207943905</v>
      </c>
      <c r="I122" s="36">
        <f t="shared" ref="I122:L122" si="51">H122-I182-I165</f>
        <v>3739647.1811661441</v>
      </c>
      <c r="J122" s="36">
        <f t="shared" si="51"/>
        <v>3714089.3620597096</v>
      </c>
      <c r="K122" s="36">
        <f t="shared" si="51"/>
        <v>3765141.0858298782</v>
      </c>
      <c r="L122" s="36">
        <f t="shared" si="51"/>
        <v>3877317.4098045626</v>
      </c>
    </row>
    <row r="123" spans="3:12" ht="15.75" customHeight="1" x14ac:dyDescent="0.25">
      <c r="C123" s="42" t="s">
        <v>69</v>
      </c>
      <c r="E123" s="35">
        <v>3256175</v>
      </c>
      <c r="F123" s="35">
        <v>2569543</v>
      </c>
      <c r="G123" s="35">
        <v>1828239</v>
      </c>
      <c r="H123" s="36">
        <f>G123</f>
        <v>1828239</v>
      </c>
      <c r="I123" s="36">
        <f t="shared" ref="I123:L123" si="52">H123</f>
        <v>1828239</v>
      </c>
      <c r="J123" s="36">
        <f t="shared" si="52"/>
        <v>1828239</v>
      </c>
      <c r="K123" s="36">
        <f t="shared" si="52"/>
        <v>1828239</v>
      </c>
      <c r="L123" s="36">
        <f t="shared" si="52"/>
        <v>1828239</v>
      </c>
    </row>
    <row r="124" spans="3:12" ht="15.75" customHeight="1" x14ac:dyDescent="0.25">
      <c r="C124" s="42" t="s">
        <v>70</v>
      </c>
      <c r="E124" s="35">
        <v>260356</v>
      </c>
      <c r="F124" s="35">
        <v>241732</v>
      </c>
      <c r="G124" s="35">
        <v>274696</v>
      </c>
      <c r="H124" s="36">
        <f>G124</f>
        <v>274696</v>
      </c>
      <c r="I124" s="36">
        <f t="shared" ref="I124:L124" si="53">H124</f>
        <v>274696</v>
      </c>
      <c r="J124" s="36">
        <f t="shared" si="53"/>
        <v>274696</v>
      </c>
      <c r="K124" s="36">
        <f t="shared" si="53"/>
        <v>274696</v>
      </c>
      <c r="L124" s="36">
        <f t="shared" si="53"/>
        <v>274696</v>
      </c>
    </row>
    <row r="125" spans="3:12" ht="15.75" customHeight="1" x14ac:dyDescent="0.25">
      <c r="C125" s="42" t="s">
        <v>71</v>
      </c>
      <c r="E125" s="35">
        <v>0</v>
      </c>
      <c r="F125" s="35">
        <v>0</v>
      </c>
      <c r="G125" s="35">
        <v>302605</v>
      </c>
      <c r="H125" s="36">
        <f>G125</f>
        <v>302605</v>
      </c>
      <c r="I125" s="36">
        <f t="shared" ref="I125:L125" si="54">H125</f>
        <v>302605</v>
      </c>
      <c r="J125" s="36">
        <f t="shared" si="54"/>
        <v>302605</v>
      </c>
      <c r="K125" s="36">
        <f t="shared" si="54"/>
        <v>302605</v>
      </c>
      <c r="L125" s="36">
        <f t="shared" si="54"/>
        <v>302605</v>
      </c>
    </row>
    <row r="126" spans="3:12" ht="15.75" customHeight="1" x14ac:dyDescent="0.25">
      <c r="C126" s="23" t="s">
        <v>72</v>
      </c>
      <c r="D126" s="24"/>
      <c r="E126" s="38">
        <f>SUM(E122:E125)</f>
        <v>8303293</v>
      </c>
      <c r="F126" s="38">
        <f t="shared" ref="F126:G126" si="55">SUM(F122:F125)</f>
        <v>7239182</v>
      </c>
      <c r="G126" s="38">
        <f t="shared" si="55"/>
        <v>6420454</v>
      </c>
      <c r="H126" s="38">
        <f>SUM(H122:H125)</f>
        <v>6242631.3207943905</v>
      </c>
      <c r="I126" s="38">
        <f t="shared" ref="I126:L126" si="56">SUM(I122:I125)</f>
        <v>6145187.1811661441</v>
      </c>
      <c r="J126" s="38">
        <f t="shared" si="56"/>
        <v>6119629.3620597096</v>
      </c>
      <c r="K126" s="38">
        <f t="shared" si="56"/>
        <v>6170681.0858298782</v>
      </c>
      <c r="L126" s="38">
        <f t="shared" si="56"/>
        <v>6282857.4098045621</v>
      </c>
    </row>
    <row r="127" spans="3:12" ht="15.75" customHeight="1" x14ac:dyDescent="0.25">
      <c r="E127" s="36"/>
      <c r="F127" s="36"/>
      <c r="G127" s="36"/>
      <c r="H127" s="36"/>
      <c r="I127" s="36"/>
      <c r="J127" s="36"/>
      <c r="K127" s="36"/>
      <c r="L127" s="36"/>
    </row>
    <row r="128" spans="3:12" ht="15.75" customHeight="1" x14ac:dyDescent="0.25">
      <c r="C128" s="29" t="s">
        <v>73</v>
      </c>
      <c r="E128" s="31">
        <f>E119+E126</f>
        <v>26300751</v>
      </c>
      <c r="F128" s="31">
        <f t="shared" ref="F128:L128" si="57">F119+F126</f>
        <v>32864916</v>
      </c>
      <c r="G128" s="31">
        <f t="shared" si="57"/>
        <v>43595915</v>
      </c>
      <c r="H128" s="31">
        <f t="shared" si="57"/>
        <v>65054576.490153566</v>
      </c>
      <c r="I128" s="31">
        <f t="shared" si="57"/>
        <v>74623834.017268956</v>
      </c>
      <c r="J128" s="31">
        <f t="shared" si="57"/>
        <v>85070879.833028629</v>
      </c>
      <c r="K128" s="31">
        <f t="shared" si="57"/>
        <v>97607334.811940223</v>
      </c>
      <c r="L128" s="31">
        <f t="shared" si="57"/>
        <v>110470163.2125203</v>
      </c>
    </row>
    <row r="129" spans="2:15" ht="15.75" customHeight="1" x14ac:dyDescent="0.25">
      <c r="E129" s="45"/>
      <c r="F129" s="45"/>
      <c r="G129" s="45"/>
      <c r="H129" s="45"/>
      <c r="I129" s="45"/>
      <c r="J129" s="45"/>
      <c r="K129" s="45"/>
      <c r="L129" s="45"/>
    </row>
    <row r="130" spans="2:15" ht="15.75" customHeight="1" x14ac:dyDescent="0.25">
      <c r="B130" s="11" t="s">
        <v>74</v>
      </c>
      <c r="C130" s="46"/>
      <c r="D130" s="47"/>
      <c r="E130" s="10">
        <f>EOMONTH(F130,-12)</f>
        <v>45107</v>
      </c>
      <c r="F130" s="10">
        <f>EOMONTH(G130,-12)</f>
        <v>45473</v>
      </c>
      <c r="G130" s="10">
        <f>Hist_Yr</f>
        <v>45838</v>
      </c>
      <c r="H130" s="10">
        <f>EOMONTH(G130,12)</f>
        <v>46203</v>
      </c>
      <c r="I130" s="10">
        <f>EOMONTH(H130,12)</f>
        <v>46568</v>
      </c>
      <c r="J130" s="10">
        <f>EOMONTH(I130,12)</f>
        <v>46934</v>
      </c>
      <c r="K130" s="10">
        <f>EOMONTH(J130,12)</f>
        <v>47299</v>
      </c>
      <c r="L130" s="10">
        <f>EOMONTH(K130,12)</f>
        <v>47664</v>
      </c>
    </row>
    <row r="131" spans="2:15" ht="15.75" customHeight="1" x14ac:dyDescent="0.25">
      <c r="E131" s="45"/>
      <c r="F131" s="45"/>
      <c r="G131" s="45"/>
      <c r="H131" s="45"/>
      <c r="I131" s="45"/>
      <c r="J131" s="45"/>
      <c r="K131" s="45"/>
      <c r="L131" s="45"/>
    </row>
    <row r="132" spans="2:15" ht="15.75" customHeight="1" x14ac:dyDescent="0.25">
      <c r="C132" s="29" t="s">
        <v>75</v>
      </c>
      <c r="E132" s="45"/>
      <c r="F132" s="45"/>
      <c r="G132" s="45"/>
      <c r="H132" s="45"/>
      <c r="I132" s="45"/>
      <c r="J132" s="45"/>
      <c r="K132" s="45"/>
      <c r="L132" s="45"/>
    </row>
    <row r="133" spans="2:15" ht="15.75" customHeight="1" x14ac:dyDescent="0.25">
      <c r="C133" s="42" t="s">
        <v>76</v>
      </c>
      <c r="E133" s="35">
        <v>1183230</v>
      </c>
      <c r="F133" s="35">
        <v>940694</v>
      </c>
      <c r="G133" s="35">
        <v>3152079</v>
      </c>
      <c r="H133" s="36">
        <f>G133</f>
        <v>3152079</v>
      </c>
      <c r="I133" s="36">
        <f t="shared" ref="I133:L133" si="58">H133</f>
        <v>3152079</v>
      </c>
      <c r="J133" s="36">
        <f t="shared" si="58"/>
        <v>3152079</v>
      </c>
      <c r="K133" s="36">
        <f t="shared" si="58"/>
        <v>3152079</v>
      </c>
      <c r="L133" s="36">
        <f t="shared" si="58"/>
        <v>3152079</v>
      </c>
    </row>
    <row r="134" spans="2:15" ht="15.75" customHeight="1" x14ac:dyDescent="0.25">
      <c r="C134" s="42" t="s">
        <v>77</v>
      </c>
      <c r="E134" s="35">
        <v>307543</v>
      </c>
      <c r="F134" s="35">
        <v>970522</v>
      </c>
      <c r="G134" s="35">
        <v>11443652</v>
      </c>
      <c r="H134" s="36">
        <f>G134</f>
        <v>11443652</v>
      </c>
      <c r="I134" s="36">
        <f t="shared" ref="I134:L134" si="59">H134</f>
        <v>11443652</v>
      </c>
      <c r="J134" s="36">
        <f t="shared" si="59"/>
        <v>11443652</v>
      </c>
      <c r="K134" s="36">
        <f t="shared" si="59"/>
        <v>11443652</v>
      </c>
      <c r="L134" s="36">
        <f t="shared" si="59"/>
        <v>11443652</v>
      </c>
    </row>
    <row r="135" spans="2:15" ht="15.75" customHeight="1" x14ac:dyDescent="0.25">
      <c r="C135" s="42" t="s">
        <v>78</v>
      </c>
      <c r="E135" s="35">
        <v>718435</v>
      </c>
      <c r="F135" s="35">
        <v>1979371</v>
      </c>
      <c r="G135" s="35">
        <v>2773756</v>
      </c>
      <c r="H135" s="36">
        <f>H43/365*(-H85)</f>
        <v>20721264.335576553</v>
      </c>
      <c r="I135" s="36">
        <f t="shared" ref="I135:L135" si="60">I43/365*(-I85)</f>
        <v>25901580.41947069</v>
      </c>
      <c r="J135" s="36">
        <f t="shared" si="60"/>
        <v>31081896.503364827</v>
      </c>
      <c r="K135" s="36">
        <f t="shared" si="60"/>
        <v>37298275.804037794</v>
      </c>
      <c r="L135" s="36">
        <f t="shared" si="60"/>
        <v>42893017.174643464</v>
      </c>
    </row>
    <row r="136" spans="2:15" ht="15.75" customHeight="1" x14ac:dyDescent="0.25">
      <c r="C136" s="42" t="s">
        <v>79</v>
      </c>
      <c r="E136" s="35">
        <v>6163752</v>
      </c>
      <c r="F136" s="35">
        <v>10639227</v>
      </c>
      <c r="G136" s="35">
        <v>7822637</v>
      </c>
      <c r="H136" s="36">
        <f>G136</f>
        <v>7822637</v>
      </c>
      <c r="I136" s="36">
        <f t="shared" ref="I136:L136" si="61">H136</f>
        <v>7822637</v>
      </c>
      <c r="J136" s="36">
        <f t="shared" si="61"/>
        <v>7822637</v>
      </c>
      <c r="K136" s="36">
        <f t="shared" si="61"/>
        <v>7822637</v>
      </c>
      <c r="L136" s="36">
        <f t="shared" si="61"/>
        <v>7822637</v>
      </c>
    </row>
    <row r="137" spans="2:15" ht="15.75" customHeight="1" x14ac:dyDescent="0.25">
      <c r="C137" s="42" t="s">
        <v>80</v>
      </c>
      <c r="E137" s="35">
        <v>175944</v>
      </c>
      <c r="F137" s="35">
        <v>54381</v>
      </c>
      <c r="G137" s="35">
        <v>78231</v>
      </c>
      <c r="H137" s="36">
        <f>G137</f>
        <v>78231</v>
      </c>
      <c r="I137" s="36">
        <f t="shared" ref="I137:L137" si="62">H137</f>
        <v>78231</v>
      </c>
      <c r="J137" s="36">
        <f t="shared" si="62"/>
        <v>78231</v>
      </c>
      <c r="K137" s="36">
        <f t="shared" si="62"/>
        <v>78231</v>
      </c>
      <c r="L137" s="36">
        <f t="shared" si="62"/>
        <v>78231</v>
      </c>
    </row>
    <row r="138" spans="2:15" ht="15.75" customHeight="1" x14ac:dyDescent="0.25">
      <c r="C138" s="42" t="s">
        <v>81</v>
      </c>
      <c r="E138" s="35">
        <v>0</v>
      </c>
      <c r="F138" s="35">
        <v>0</v>
      </c>
      <c r="G138" s="35">
        <v>36607</v>
      </c>
      <c r="H138" s="36">
        <f>G138</f>
        <v>36607</v>
      </c>
      <c r="I138" s="36">
        <f t="shared" ref="I138:L138" si="63">H138</f>
        <v>36607</v>
      </c>
      <c r="J138" s="36">
        <f t="shared" si="63"/>
        <v>36607</v>
      </c>
      <c r="K138" s="36">
        <f t="shared" si="63"/>
        <v>36607</v>
      </c>
      <c r="L138" s="36">
        <f t="shared" si="63"/>
        <v>36607</v>
      </c>
    </row>
    <row r="139" spans="2:15" ht="15.75" customHeight="1" x14ac:dyDescent="0.25">
      <c r="C139" s="42" t="s">
        <v>82</v>
      </c>
      <c r="E139" s="35">
        <v>908355</v>
      </c>
      <c r="F139" s="35">
        <v>1332829</v>
      </c>
      <c r="G139" s="35">
        <v>1179392</v>
      </c>
      <c r="H139" s="36">
        <f>G139</f>
        <v>1179392</v>
      </c>
      <c r="I139" s="36">
        <f t="shared" ref="I139:L139" si="64">H139</f>
        <v>1179392</v>
      </c>
      <c r="J139" s="36">
        <f t="shared" si="64"/>
        <v>1179392</v>
      </c>
      <c r="K139" s="36">
        <f t="shared" si="64"/>
        <v>1179392</v>
      </c>
      <c r="L139" s="36">
        <f t="shared" si="64"/>
        <v>1179392</v>
      </c>
      <c r="O139" s="48"/>
    </row>
    <row r="140" spans="2:15" ht="15.75" customHeight="1" x14ac:dyDescent="0.25">
      <c r="C140" s="42" t="s">
        <v>83</v>
      </c>
      <c r="E140" s="35">
        <v>37837</v>
      </c>
      <c r="F140" s="35">
        <v>42755</v>
      </c>
      <c r="G140" s="35">
        <v>40077</v>
      </c>
      <c r="H140" s="36">
        <f>G140</f>
        <v>40077</v>
      </c>
      <c r="I140" s="36">
        <f t="shared" ref="I140:L140" si="65">H140</f>
        <v>40077</v>
      </c>
      <c r="J140" s="36">
        <f t="shared" si="65"/>
        <v>40077</v>
      </c>
      <c r="K140" s="36">
        <f t="shared" si="65"/>
        <v>40077</v>
      </c>
      <c r="L140" s="36">
        <f t="shared" si="65"/>
        <v>40077</v>
      </c>
    </row>
    <row r="141" spans="2:15" ht="15.75" customHeight="1" x14ac:dyDescent="0.25">
      <c r="C141" s="23" t="s">
        <v>84</v>
      </c>
      <c r="D141" s="24"/>
      <c r="E141" s="38">
        <f>SUM(E133:E140)</f>
        <v>9495096</v>
      </c>
      <c r="F141" s="38">
        <f t="shared" ref="F141:G141" si="66">SUM(F133:F140)</f>
        <v>15959779</v>
      </c>
      <c r="G141" s="38">
        <f t="shared" si="66"/>
        <v>26526431</v>
      </c>
      <c r="H141" s="38">
        <f>SUM(H133:H140)</f>
        <v>44473939.335576549</v>
      </c>
      <c r="I141" s="38">
        <f t="shared" ref="I141:L141" si="67">SUM(I133:I140)</f>
        <v>49654255.41947069</v>
      </c>
      <c r="J141" s="38">
        <f t="shared" si="67"/>
        <v>54834571.503364831</v>
      </c>
      <c r="K141" s="38">
        <f t="shared" si="67"/>
        <v>61050950.804037794</v>
      </c>
      <c r="L141" s="38">
        <f t="shared" si="67"/>
        <v>66645692.174643464</v>
      </c>
    </row>
    <row r="142" spans="2:15" ht="15.75" customHeight="1" x14ac:dyDescent="0.25">
      <c r="E142" s="45"/>
      <c r="F142" s="45"/>
      <c r="G142" s="45"/>
      <c r="H142" s="45"/>
      <c r="I142" s="45"/>
      <c r="J142" s="45"/>
      <c r="K142" s="45"/>
      <c r="L142" s="45"/>
    </row>
    <row r="143" spans="2:15" ht="15.75" customHeight="1" x14ac:dyDescent="0.25">
      <c r="C143" s="29" t="s">
        <v>85</v>
      </c>
      <c r="E143" s="45"/>
      <c r="F143" s="45"/>
      <c r="G143" s="45"/>
      <c r="H143" s="45"/>
      <c r="I143" s="45"/>
      <c r="J143" s="45"/>
      <c r="K143" s="45"/>
      <c r="L143" s="45"/>
    </row>
    <row r="144" spans="2:15" ht="15.75" customHeight="1" x14ac:dyDescent="0.25">
      <c r="C144" s="42" t="s">
        <v>86</v>
      </c>
      <c r="E144" s="35">
        <v>387226</v>
      </c>
      <c r="F144" s="35">
        <v>339394</v>
      </c>
      <c r="G144" s="35">
        <v>365088</v>
      </c>
      <c r="H144" s="36">
        <f>G144</f>
        <v>365088</v>
      </c>
      <c r="I144" s="36">
        <f t="shared" ref="I144:L144" si="68">H144</f>
        <v>365088</v>
      </c>
      <c r="J144" s="36">
        <f t="shared" si="68"/>
        <v>365088</v>
      </c>
      <c r="K144" s="36">
        <f t="shared" si="68"/>
        <v>365088</v>
      </c>
      <c r="L144" s="36">
        <f t="shared" si="68"/>
        <v>365088</v>
      </c>
    </row>
    <row r="145" spans="2:12" ht="15.75" customHeight="1" x14ac:dyDescent="0.25">
      <c r="C145" s="42" t="s">
        <v>87</v>
      </c>
      <c r="E145" s="35">
        <v>302020</v>
      </c>
      <c r="F145" s="35">
        <v>396627</v>
      </c>
      <c r="G145" s="35">
        <v>0</v>
      </c>
      <c r="H145" s="36">
        <f>G145</f>
        <v>0</v>
      </c>
      <c r="I145" s="36">
        <f t="shared" ref="I145:L145" si="69">H145</f>
        <v>0</v>
      </c>
      <c r="J145" s="36">
        <f t="shared" si="69"/>
        <v>0</v>
      </c>
      <c r="K145" s="36">
        <f t="shared" si="69"/>
        <v>0</v>
      </c>
      <c r="L145" s="36">
        <f t="shared" si="69"/>
        <v>0</v>
      </c>
    </row>
    <row r="146" spans="2:12" ht="15.75" customHeight="1" x14ac:dyDescent="0.25">
      <c r="C146" s="23" t="s">
        <v>88</v>
      </c>
      <c r="D146" s="24"/>
      <c r="E146" s="38">
        <f>SUM(E144:E145)</f>
        <v>689246</v>
      </c>
      <c r="F146" s="38">
        <f t="shared" ref="F146:G146" si="70">SUM(F144:F145)</f>
        <v>736021</v>
      </c>
      <c r="G146" s="38">
        <f t="shared" si="70"/>
        <v>365088</v>
      </c>
      <c r="H146" s="38">
        <f>SUM(H144:H145)</f>
        <v>365088</v>
      </c>
      <c r="I146" s="38">
        <f t="shared" ref="I146:L146" si="71">SUM(I144:I145)</f>
        <v>365088</v>
      </c>
      <c r="J146" s="38">
        <f t="shared" si="71"/>
        <v>365088</v>
      </c>
      <c r="K146" s="38">
        <f t="shared" si="71"/>
        <v>365088</v>
      </c>
      <c r="L146" s="38">
        <f t="shared" si="71"/>
        <v>365088</v>
      </c>
    </row>
    <row r="147" spans="2:12" ht="15.75" customHeight="1" x14ac:dyDescent="0.25">
      <c r="E147" s="45"/>
      <c r="F147" s="45"/>
      <c r="G147" s="45"/>
      <c r="H147" s="45"/>
      <c r="I147" s="45"/>
      <c r="J147" s="45"/>
      <c r="K147" s="45"/>
      <c r="L147" s="45"/>
    </row>
    <row r="148" spans="2:12" ht="15.75" customHeight="1" x14ac:dyDescent="0.25">
      <c r="C148" s="29" t="s">
        <v>89</v>
      </c>
      <c r="E148" s="49">
        <f>E141+E146</f>
        <v>10184342</v>
      </c>
      <c r="F148" s="49">
        <f t="shared" ref="F148:L148" si="72">F141+F146</f>
        <v>16695800</v>
      </c>
      <c r="G148" s="49">
        <f t="shared" si="72"/>
        <v>26891519</v>
      </c>
      <c r="H148" s="49">
        <f t="shared" si="72"/>
        <v>44839027.335576549</v>
      </c>
      <c r="I148" s="49">
        <f t="shared" si="72"/>
        <v>50019343.41947069</v>
      </c>
      <c r="J148" s="49">
        <f t="shared" si="72"/>
        <v>55199659.503364831</v>
      </c>
      <c r="K148" s="49">
        <f t="shared" si="72"/>
        <v>61416038.804037794</v>
      </c>
      <c r="L148" s="49">
        <f t="shared" si="72"/>
        <v>67010780.174643464</v>
      </c>
    </row>
    <row r="149" spans="2:12" ht="15.75" customHeight="1" x14ac:dyDescent="0.25">
      <c r="E149" s="45"/>
      <c r="F149" s="45"/>
      <c r="G149" s="45"/>
      <c r="H149" s="45"/>
      <c r="I149" s="45"/>
      <c r="J149" s="45"/>
      <c r="K149" s="45"/>
      <c r="L149" s="45"/>
    </row>
    <row r="150" spans="2:12" ht="15.75" customHeight="1" x14ac:dyDescent="0.25">
      <c r="C150" s="29" t="s">
        <v>90</v>
      </c>
      <c r="E150" s="45"/>
      <c r="F150" s="45"/>
      <c r="G150" s="45"/>
      <c r="H150" s="45"/>
      <c r="I150" s="45"/>
      <c r="J150" s="45"/>
      <c r="K150" s="45"/>
      <c r="L150" s="45"/>
    </row>
    <row r="151" spans="2:12" ht="15.75" customHeight="1" x14ac:dyDescent="0.25">
      <c r="C151" s="42" t="s">
        <v>91</v>
      </c>
      <c r="E151" s="35">
        <v>2230000</v>
      </c>
      <c r="F151" s="35">
        <v>3000000</v>
      </c>
      <c r="G151" s="35">
        <v>3000000</v>
      </c>
      <c r="H151" s="36">
        <f>G151</f>
        <v>3000000</v>
      </c>
      <c r="I151" s="36">
        <f t="shared" ref="I151:L151" si="73">H151</f>
        <v>3000000</v>
      </c>
      <c r="J151" s="36">
        <f t="shared" si="73"/>
        <v>3000000</v>
      </c>
      <c r="K151" s="36">
        <f t="shared" si="73"/>
        <v>3000000</v>
      </c>
      <c r="L151" s="36">
        <f t="shared" si="73"/>
        <v>3000000</v>
      </c>
    </row>
    <row r="152" spans="2:12" ht="15.75" customHeight="1" x14ac:dyDescent="0.25">
      <c r="C152" s="42" t="s">
        <v>92</v>
      </c>
      <c r="E152" s="35">
        <v>4183074</v>
      </c>
      <c r="F152" s="35">
        <v>3614149</v>
      </c>
      <c r="G152" s="35">
        <v>3952986</v>
      </c>
      <c r="H152" s="36">
        <f>G152</f>
        <v>3952986</v>
      </c>
      <c r="I152" s="36">
        <f t="shared" ref="I152:L152" si="74">H152</f>
        <v>3952986</v>
      </c>
      <c r="J152" s="36">
        <f t="shared" si="74"/>
        <v>3952986</v>
      </c>
      <c r="K152" s="36">
        <f t="shared" si="74"/>
        <v>3952986</v>
      </c>
      <c r="L152" s="36">
        <f t="shared" si="74"/>
        <v>3952986</v>
      </c>
    </row>
    <row r="153" spans="2:12" ht="15.75" customHeight="1" x14ac:dyDescent="0.25">
      <c r="C153" s="42" t="s">
        <v>93</v>
      </c>
      <c r="E153" s="35">
        <v>9703325</v>
      </c>
      <c r="F153" s="35">
        <v>9554967</v>
      </c>
      <c r="G153" s="35">
        <v>9751410</v>
      </c>
      <c r="H153" s="36">
        <f>G153+H105+H189</f>
        <v>13262563.154577013</v>
      </c>
      <c r="I153" s="36">
        <f t="shared" ref="I153:L153" si="75">H153+I105+I189</f>
        <v>17651504.59779828</v>
      </c>
      <c r="J153" s="36">
        <f t="shared" si="75"/>
        <v>22918234.329663798</v>
      </c>
      <c r="K153" s="36">
        <f t="shared" si="75"/>
        <v>29238310.007902421</v>
      </c>
      <c r="L153" s="36">
        <f t="shared" si="75"/>
        <v>36506397.037876837</v>
      </c>
    </row>
    <row r="154" spans="2:12" ht="15.75" customHeight="1" x14ac:dyDescent="0.25">
      <c r="C154" s="50" t="s">
        <v>94</v>
      </c>
      <c r="D154" s="51"/>
      <c r="E154" s="38">
        <f>SUM(E151:E153)</f>
        <v>16116399</v>
      </c>
      <c r="F154" s="38">
        <f>SUM(F151:F153)</f>
        <v>16169116</v>
      </c>
      <c r="G154" s="38">
        <f>SUM(G151:G153)</f>
        <v>16704396</v>
      </c>
      <c r="H154" s="38">
        <f>SUM(H151:H153)</f>
        <v>20215549.154577013</v>
      </c>
      <c r="I154" s="38">
        <f t="shared" ref="I154:L154" si="76">SUM(I151:I153)</f>
        <v>24604490.59779828</v>
      </c>
      <c r="J154" s="38">
        <f t="shared" si="76"/>
        <v>29871220.329663798</v>
      </c>
      <c r="K154" s="38">
        <f t="shared" si="76"/>
        <v>36191296.007902421</v>
      </c>
      <c r="L154" s="38">
        <f t="shared" si="76"/>
        <v>43459383.037876837</v>
      </c>
    </row>
    <row r="155" spans="2:12" ht="15.75" customHeight="1" x14ac:dyDescent="0.25">
      <c r="E155" s="36"/>
      <c r="F155" s="36"/>
      <c r="G155" s="36"/>
      <c r="H155" s="36"/>
      <c r="I155" s="36"/>
      <c r="J155" s="36"/>
      <c r="K155" s="36"/>
      <c r="L155" s="36"/>
    </row>
    <row r="156" spans="2:12" ht="15.75" customHeight="1" x14ac:dyDescent="0.25">
      <c r="C156" s="29" t="s">
        <v>95</v>
      </c>
      <c r="E156" s="31">
        <f>E148+E154</f>
        <v>26300741</v>
      </c>
      <c r="F156" s="31">
        <f>F148+F154</f>
        <v>32864916</v>
      </c>
      <c r="G156" s="31">
        <f>G148+G154</f>
        <v>43595915</v>
      </c>
      <c r="H156" s="31">
        <f t="shared" ref="H156:L156" si="77">H148+H154</f>
        <v>65054576.490153566</v>
      </c>
      <c r="I156" s="31">
        <f t="shared" si="77"/>
        <v>74623834.017268971</v>
      </c>
      <c r="J156" s="31">
        <f t="shared" si="77"/>
        <v>85070879.833028629</v>
      </c>
      <c r="K156" s="31">
        <f t="shared" si="77"/>
        <v>97607334.811940223</v>
      </c>
      <c r="L156" s="31">
        <f t="shared" si="77"/>
        <v>110470163.2125203</v>
      </c>
    </row>
    <row r="157" spans="2:12" ht="15.75" customHeight="1" x14ac:dyDescent="0.25">
      <c r="E157" s="45"/>
      <c r="F157" s="45"/>
      <c r="G157" s="45"/>
      <c r="H157" s="45"/>
      <c r="I157" s="45"/>
      <c r="J157" s="45"/>
      <c r="K157" s="45"/>
      <c r="L157" s="45"/>
    </row>
    <row r="158" spans="2:12" ht="15.75" customHeight="1" x14ac:dyDescent="0.25">
      <c r="C158" s="1" t="s">
        <v>96</v>
      </c>
      <c r="E158" s="45">
        <f>E128-E156</f>
        <v>10</v>
      </c>
      <c r="F158" s="45">
        <f>F128-F156</f>
        <v>0</v>
      </c>
      <c r="G158" s="45">
        <f>G128-G156</f>
        <v>0</v>
      </c>
      <c r="H158" s="45">
        <f t="shared" ref="H158:L158" si="78">H128-H156</f>
        <v>0</v>
      </c>
      <c r="I158" s="45">
        <f t="shared" si="78"/>
        <v>0</v>
      </c>
      <c r="J158" s="45">
        <f t="shared" si="78"/>
        <v>0</v>
      </c>
      <c r="K158" s="45">
        <f t="shared" si="78"/>
        <v>0</v>
      </c>
      <c r="L158" s="45">
        <f t="shared" si="78"/>
        <v>0</v>
      </c>
    </row>
    <row r="159" spans="2:12" ht="15.75" customHeight="1" x14ac:dyDescent="0.25"/>
    <row r="160" spans="2:12" ht="15.75" customHeight="1" x14ac:dyDescent="0.25">
      <c r="B160" s="4"/>
      <c r="C160" s="5"/>
      <c r="D160" s="9"/>
      <c r="E160" s="116" t="str">
        <f>$E$11</f>
        <v>Historical</v>
      </c>
      <c r="F160" s="116"/>
      <c r="G160" s="116"/>
      <c r="H160" s="115" t="str">
        <f>$H$11</f>
        <v>Projected</v>
      </c>
      <c r="I160" s="115"/>
      <c r="J160" s="115"/>
      <c r="K160" s="115"/>
      <c r="L160" s="115"/>
    </row>
    <row r="161" spans="2:12" ht="15.75" customHeight="1" x14ac:dyDescent="0.25">
      <c r="B161" s="4" t="s">
        <v>18</v>
      </c>
      <c r="C161" s="5"/>
      <c r="D161" s="9" t="str">
        <f>$D$12</f>
        <v>Units</v>
      </c>
      <c r="E161" s="28">
        <f t="shared" ref="E161:L161" si="79">E$12</f>
        <v>45107</v>
      </c>
      <c r="F161" s="28">
        <f t="shared" si="79"/>
        <v>45473</v>
      </c>
      <c r="G161" s="28">
        <f t="shared" si="79"/>
        <v>45838</v>
      </c>
      <c r="H161" s="28">
        <f t="shared" si="79"/>
        <v>46203</v>
      </c>
      <c r="I161" s="28">
        <f t="shared" si="79"/>
        <v>46568</v>
      </c>
      <c r="J161" s="28">
        <f t="shared" si="79"/>
        <v>46934</v>
      </c>
      <c r="K161" s="28">
        <f t="shared" si="79"/>
        <v>47299</v>
      </c>
      <c r="L161" s="28">
        <f t="shared" si="79"/>
        <v>47664</v>
      </c>
    </row>
    <row r="162" spans="2:12" ht="15.75" customHeight="1" x14ac:dyDescent="0.25">
      <c r="B162" s="11" t="s">
        <v>97</v>
      </c>
      <c r="C162" s="46"/>
      <c r="D162" s="47"/>
      <c r="E162" s="46"/>
      <c r="F162" s="46"/>
      <c r="G162" s="46"/>
      <c r="H162" s="46"/>
      <c r="I162" s="46"/>
      <c r="J162" s="46"/>
      <c r="K162" s="46"/>
      <c r="L162" s="46"/>
    </row>
    <row r="163" spans="2:12" ht="15.75" customHeight="1" x14ac:dyDescent="0.25"/>
    <row r="164" spans="2:12" s="29" customFormat="1" ht="15.75" customHeight="1" x14ac:dyDescent="0.25">
      <c r="C164" s="87" t="s">
        <v>54</v>
      </c>
      <c r="D164" s="52"/>
      <c r="E164" s="86">
        <f>E103</f>
        <v>9765214</v>
      </c>
      <c r="F164" s="86">
        <f t="shared" ref="F164:H164" si="80">F103</f>
        <v>11468316</v>
      </c>
      <c r="G164" s="86">
        <f t="shared" si="80"/>
        <v>12078463</v>
      </c>
      <c r="H164" s="86">
        <f t="shared" si="80"/>
        <v>22304378.969640397</v>
      </c>
      <c r="I164" s="86">
        <f t="shared" ref="I164:L164" si="81">I103</f>
        <v>27880473.712050494</v>
      </c>
      <c r="J164" s="86">
        <f t="shared" si="81"/>
        <v>33456568.454460595</v>
      </c>
      <c r="K164" s="86">
        <f t="shared" si="81"/>
        <v>40147882.145352714</v>
      </c>
      <c r="L164" s="86">
        <f t="shared" si="81"/>
        <v>46170064.46715562</v>
      </c>
    </row>
    <row r="165" spans="2:12" ht="15.75" customHeight="1" x14ac:dyDescent="0.25">
      <c r="C165" s="42" t="s">
        <v>98</v>
      </c>
      <c r="E165" s="35">
        <v>400000</v>
      </c>
      <c r="F165" s="35">
        <v>525000</v>
      </c>
      <c r="G165" s="35">
        <v>450000</v>
      </c>
      <c r="H165" s="54">
        <f>H49*G122</f>
        <v>424186.97025947756</v>
      </c>
      <c r="I165" s="54">
        <f t="shared" ref="I165:L165" si="82">I49*H122</f>
        <v>405399.50344558054</v>
      </c>
      <c r="J165" s="54">
        <f t="shared" si="82"/>
        <v>395104.25568723568</v>
      </c>
      <c r="K165" s="54">
        <f t="shared" si="82"/>
        <v>392404.00012679322</v>
      </c>
      <c r="L165" s="54">
        <f t="shared" si="82"/>
        <v>397797.75850682118</v>
      </c>
    </row>
    <row r="166" spans="2:12" ht="15.75" customHeight="1" x14ac:dyDescent="0.25">
      <c r="C166" s="42" t="s">
        <v>99</v>
      </c>
      <c r="E166" s="35">
        <v>0</v>
      </c>
      <c r="F166" s="35">
        <f>F133-E133</f>
        <v>-242536</v>
      </c>
      <c r="G166" s="35">
        <f>G133-F133</f>
        <v>2211385</v>
      </c>
      <c r="H166" s="54">
        <f>H133-G133</f>
        <v>0</v>
      </c>
      <c r="I166" s="54">
        <f t="shared" ref="I166:L166" si="83">I133-H133</f>
        <v>0</v>
      </c>
      <c r="J166" s="54">
        <f t="shared" si="83"/>
        <v>0</v>
      </c>
      <c r="K166" s="54">
        <f t="shared" si="83"/>
        <v>0</v>
      </c>
      <c r="L166" s="54">
        <f t="shared" si="83"/>
        <v>0</v>
      </c>
    </row>
    <row r="167" spans="2:12" ht="15.75" customHeight="1" x14ac:dyDescent="0.25">
      <c r="C167" s="42" t="s">
        <v>100</v>
      </c>
      <c r="E167" s="35">
        <v>-1915823</v>
      </c>
      <c r="F167" s="35">
        <v>1331778</v>
      </c>
      <c r="G167" s="35">
        <v>-2515638</v>
      </c>
      <c r="H167" s="54">
        <v>0</v>
      </c>
      <c r="I167" s="54">
        <v>0</v>
      </c>
      <c r="J167" s="54">
        <v>0</v>
      </c>
      <c r="K167" s="54">
        <v>0</v>
      </c>
      <c r="L167" s="54">
        <v>0</v>
      </c>
    </row>
    <row r="168" spans="2:12" ht="15.75" customHeight="1" x14ac:dyDescent="0.25">
      <c r="C168" s="42" t="s">
        <v>191</v>
      </c>
      <c r="E168" s="35">
        <f>-E98</f>
        <v>-714141</v>
      </c>
      <c r="F168" s="35">
        <f t="shared" ref="F168:G168" si="84">-F98</f>
        <v>-225247</v>
      </c>
      <c r="G168" s="35">
        <f t="shared" si="84"/>
        <v>850654</v>
      </c>
      <c r="H168" s="54">
        <f>-H98</f>
        <v>-441349.78091925842</v>
      </c>
      <c r="I168" s="54">
        <f t="shared" ref="I168:L168" si="85">-I98</f>
        <v>-551687.22614907299</v>
      </c>
      <c r="J168" s="54">
        <f t="shared" si="85"/>
        <v>-662024.67137888761</v>
      </c>
      <c r="K168" s="54">
        <f t="shared" si="85"/>
        <v>-794429.60565466515</v>
      </c>
      <c r="L168" s="54">
        <f t="shared" si="85"/>
        <v>-913594.0465028648</v>
      </c>
    </row>
    <row r="169" spans="2:12" ht="15.75" customHeight="1" x14ac:dyDescent="0.25">
      <c r="C169" s="42" t="s">
        <v>192</v>
      </c>
      <c r="E169" s="35">
        <f>-E99-E100</f>
        <v>-1619241</v>
      </c>
      <c r="F169" s="35">
        <f>-F99-F100</f>
        <v>-3074820</v>
      </c>
      <c r="G169" s="35">
        <f>-G99-G100</f>
        <v>-3076538</v>
      </c>
      <c r="H169" s="54">
        <f>-H99-H100</f>
        <v>-5039535.0618067915</v>
      </c>
      <c r="I169" s="54">
        <f t="shared" ref="I169:L169" si="86">-I99-I100</f>
        <v>-6299418.8272584891</v>
      </c>
      <c r="J169" s="54">
        <f t="shared" si="86"/>
        <v>-7559302.5927101877</v>
      </c>
      <c r="K169" s="54">
        <f t="shared" si="86"/>
        <v>-9071163.1112522241</v>
      </c>
      <c r="L169" s="54">
        <f t="shared" si="86"/>
        <v>-10431837.577940058</v>
      </c>
    </row>
    <row r="170" spans="2:12" s="29" customFormat="1" ht="15.75" customHeight="1" x14ac:dyDescent="0.25">
      <c r="C170" s="29" t="s">
        <v>101</v>
      </c>
      <c r="D170" s="52"/>
      <c r="E170" s="53">
        <f>SUM(E164:E169)</f>
        <v>5916009</v>
      </c>
      <c r="F170" s="53">
        <f t="shared" ref="F170:G170" si="87">SUM(F164:F169)</f>
        <v>9782491</v>
      </c>
      <c r="G170" s="53">
        <f t="shared" si="87"/>
        <v>9998326</v>
      </c>
      <c r="H170" s="53">
        <f t="shared" ref="H170" si="88">SUM(H164:H169)</f>
        <v>17247681.097173825</v>
      </c>
      <c r="I170" s="53">
        <f t="shared" ref="I170" si="89">SUM(I164:I169)</f>
        <v>21434767.16208851</v>
      </c>
      <c r="J170" s="53">
        <f t="shared" ref="J170" si="90">SUM(J164:J169)</f>
        <v>25630345.44605875</v>
      </c>
      <c r="K170" s="53">
        <f t="shared" ref="K170" si="91">SUM(K164:K169)</f>
        <v>30674693.428572617</v>
      </c>
      <c r="L170" s="53">
        <f t="shared" ref="L170" si="92">SUM(L164:L169)</f>
        <v>35222430.60121952</v>
      </c>
    </row>
    <row r="171" spans="2:12" s="29" customFormat="1" ht="15.75" customHeight="1" x14ac:dyDescent="0.25">
      <c r="D171" s="52"/>
      <c r="E171" s="53"/>
      <c r="F171" s="53"/>
      <c r="G171" s="53"/>
      <c r="H171" s="53"/>
      <c r="I171" s="53"/>
      <c r="J171" s="53"/>
      <c r="K171" s="53"/>
      <c r="L171" s="53"/>
    </row>
    <row r="172" spans="2:12" ht="15.75" customHeight="1" x14ac:dyDescent="0.25">
      <c r="C172" s="42" t="s">
        <v>102</v>
      </c>
      <c r="E172" s="35">
        <v>0</v>
      </c>
      <c r="F172" s="35">
        <f>-(F113-E113)</f>
        <v>-1064591</v>
      </c>
      <c r="G172" s="35">
        <f>-(G113-F113)</f>
        <v>-28940372</v>
      </c>
      <c r="H172" s="54">
        <f>-(H113-G113)</f>
        <v>13959838.950386208</v>
      </c>
      <c r="I172" s="54">
        <f t="shared" ref="I172:L172" si="93">-(I113-H113)</f>
        <v>-4981202.5124034472</v>
      </c>
      <c r="J172" s="54">
        <f t="shared" si="93"/>
        <v>-4981202.5124034509</v>
      </c>
      <c r="K172" s="54">
        <f t="shared" si="93"/>
        <v>-5977443.0148841366</v>
      </c>
      <c r="L172" s="54">
        <f t="shared" si="93"/>
        <v>-5379698.7133957222</v>
      </c>
    </row>
    <row r="173" spans="2:12" ht="15.75" customHeight="1" x14ac:dyDescent="0.25">
      <c r="C173" s="42" t="s">
        <v>103</v>
      </c>
      <c r="E173" s="35">
        <v>0</v>
      </c>
      <c r="F173" s="35">
        <f>-((F114+F116+F117)-(E114+E116+E117))</f>
        <v>-1169853</v>
      </c>
      <c r="G173" s="35">
        <f>-((G114+G116+G117)-(F114+F116+F117))</f>
        <v>-371082</v>
      </c>
      <c r="H173" s="54">
        <f>-((H114+H116+H117)-(G114+G116+G117))</f>
        <v>-2968087.7210240746</v>
      </c>
      <c r="I173" s="54">
        <f t="shared" ref="I173:L173" si="94">-((I114+I116+I117)-(H114+H116+H117))</f>
        <v>-792778.93025601842</v>
      </c>
      <c r="J173" s="54">
        <f t="shared" si="94"/>
        <v>-792778.93025601842</v>
      </c>
      <c r="K173" s="54">
        <f t="shared" si="94"/>
        <v>-951334.71630722284</v>
      </c>
      <c r="L173" s="54">
        <f t="shared" si="94"/>
        <v>-856201.24467649963</v>
      </c>
    </row>
    <row r="174" spans="2:12" ht="15.75" customHeight="1" x14ac:dyDescent="0.25">
      <c r="C174" s="42" t="s">
        <v>104</v>
      </c>
      <c r="E174" s="35"/>
      <c r="F174" s="35">
        <f>(F135+F136)-(E135+E136)</f>
        <v>5736411</v>
      </c>
      <c r="G174" s="35">
        <f>(G135+G136)-(F135+F136)</f>
        <v>-2022205</v>
      </c>
      <c r="H174" s="54">
        <f>(H135+H136)-(G135+G136)</f>
        <v>17947508.335576553</v>
      </c>
      <c r="I174" s="54">
        <f t="shared" ref="I174:L174" si="95">(I135+I136)-(H135+H136)</f>
        <v>5180316.0838941373</v>
      </c>
      <c r="J174" s="54">
        <f t="shared" si="95"/>
        <v>5180316.083894141</v>
      </c>
      <c r="K174" s="54">
        <f t="shared" si="95"/>
        <v>6216379.3006729633</v>
      </c>
      <c r="L174" s="54">
        <f t="shared" si="95"/>
        <v>5594741.3706056699</v>
      </c>
    </row>
    <row r="175" spans="2:12" ht="15.75" customHeight="1" x14ac:dyDescent="0.25">
      <c r="C175" s="42" t="s">
        <v>105</v>
      </c>
      <c r="E175" s="35">
        <v>0</v>
      </c>
      <c r="F175" s="35">
        <f>(F137+F138+F140)-(E137+E138+E140)</f>
        <v>-116645</v>
      </c>
      <c r="G175" s="35">
        <f>(G137+G138+G140)-(F137+F138+F140)</f>
        <v>57779</v>
      </c>
      <c r="H175" s="54">
        <f>(H137+H138+H140)-(G137+G138+G140)</f>
        <v>0</v>
      </c>
      <c r="I175" s="54">
        <f t="shared" ref="I175:L175" si="96">(I137+I138+I140)-(H137+H138+H140)</f>
        <v>0</v>
      </c>
      <c r="J175" s="54">
        <f t="shared" si="96"/>
        <v>0</v>
      </c>
      <c r="K175" s="54">
        <f t="shared" si="96"/>
        <v>0</v>
      </c>
      <c r="L175" s="54">
        <f t="shared" si="96"/>
        <v>0</v>
      </c>
    </row>
    <row r="176" spans="2:12" s="29" customFormat="1" ht="15.75" customHeight="1" x14ac:dyDescent="0.25">
      <c r="C176" s="29" t="s">
        <v>106</v>
      </c>
      <c r="D176" s="52"/>
      <c r="E176" s="53">
        <f>SUM(E170:E175)</f>
        <v>5916009</v>
      </c>
      <c r="F176" s="53">
        <f>SUM(F170:F175)</f>
        <v>13167813</v>
      </c>
      <c r="G176" s="53">
        <f>SUM(G170:G175)</f>
        <v>-21277554</v>
      </c>
      <c r="H176" s="53">
        <f>SUM(H170:H175)</f>
        <v>46186940.662112512</v>
      </c>
      <c r="I176" s="53">
        <f t="shared" ref="I176:L176" si="97">SUM(I170:I175)</f>
        <v>20841101.803323179</v>
      </c>
      <c r="J176" s="53">
        <f t="shared" si="97"/>
        <v>25036680.087293424</v>
      </c>
      <c r="K176" s="53">
        <f t="shared" si="97"/>
        <v>29962294.998054221</v>
      </c>
      <c r="L176" s="53">
        <f t="shared" si="97"/>
        <v>34581272.013752967</v>
      </c>
    </row>
    <row r="177" spans="2:12" ht="15.75" customHeight="1" x14ac:dyDescent="0.25">
      <c r="C177" s="42" t="s">
        <v>107</v>
      </c>
      <c r="E177" s="35">
        <f>E104</f>
        <v>-2108227</v>
      </c>
      <c r="F177" s="35">
        <f t="shared" ref="F177:G177" si="98">F104</f>
        <v>-2286835</v>
      </c>
      <c r="G177" s="35">
        <f t="shared" si="98"/>
        <v>-2367808</v>
      </c>
      <c r="H177" s="54">
        <f>H104</f>
        <v>-4545124.4339912506</v>
      </c>
      <c r="I177" s="54">
        <f t="shared" ref="I177:L177" si="99">I104</f>
        <v>-5681405.542489063</v>
      </c>
      <c r="J177" s="54">
        <f t="shared" si="99"/>
        <v>-6817686.6509868763</v>
      </c>
      <c r="K177" s="54">
        <f t="shared" si="99"/>
        <v>-8181223.9811842516</v>
      </c>
      <c r="L177" s="54">
        <f t="shared" si="99"/>
        <v>-9408407.5783618893</v>
      </c>
    </row>
    <row r="178" spans="2:12" s="29" customFormat="1" ht="15.75" customHeight="1" x14ac:dyDescent="0.25">
      <c r="C178" s="23" t="s">
        <v>108</v>
      </c>
      <c r="D178" s="51"/>
      <c r="E178" s="55">
        <f>SUM(E176:E177)</f>
        <v>3807782</v>
      </c>
      <c r="F178" s="55">
        <f>SUM(F176:F177)</f>
        <v>10880978</v>
      </c>
      <c r="G178" s="55">
        <f>SUM(G176:G177)</f>
        <v>-23645362</v>
      </c>
      <c r="H178" s="55">
        <f>SUM(H176:H177)</f>
        <v>41641816.228121258</v>
      </c>
      <c r="I178" s="55">
        <f t="shared" ref="I178:L178" si="100">SUM(I176:I177)</f>
        <v>15159696.260834116</v>
      </c>
      <c r="J178" s="55">
        <f t="shared" si="100"/>
        <v>18218993.436306547</v>
      </c>
      <c r="K178" s="55">
        <f t="shared" si="100"/>
        <v>21781071.01686997</v>
      </c>
      <c r="L178" s="55">
        <f t="shared" si="100"/>
        <v>25172864.435391076</v>
      </c>
    </row>
    <row r="179" spans="2:12" ht="15.75" customHeight="1" x14ac:dyDescent="0.25"/>
    <row r="180" spans="2:12" ht="15.75" customHeight="1" x14ac:dyDescent="0.25">
      <c r="B180" s="11" t="s">
        <v>109</v>
      </c>
      <c r="C180" s="46"/>
      <c r="D180" s="47"/>
      <c r="E180" s="10">
        <f>EOMONTH(F180,-12)</f>
        <v>45107</v>
      </c>
      <c r="F180" s="10">
        <f>EOMONTH(G180,-12)</f>
        <v>45473</v>
      </c>
      <c r="G180" s="10">
        <f>Hist_Yr</f>
        <v>45838</v>
      </c>
      <c r="H180" s="10">
        <f>EOMONTH(G180,12)</f>
        <v>46203</v>
      </c>
      <c r="I180" s="10">
        <f>EOMONTH(H180,12)</f>
        <v>46568</v>
      </c>
      <c r="J180" s="10">
        <f>EOMONTH(I180,12)</f>
        <v>46934</v>
      </c>
      <c r="K180" s="10">
        <f>EOMONTH(J180,12)</f>
        <v>47299</v>
      </c>
      <c r="L180" s="10">
        <f>EOMONTH(K180,12)</f>
        <v>47664</v>
      </c>
    </row>
    <row r="181" spans="2:12" ht="15.75" customHeight="1" x14ac:dyDescent="0.25">
      <c r="E181" s="56"/>
    </row>
    <row r="182" spans="2:12" ht="15.75" customHeight="1" x14ac:dyDescent="0.25">
      <c r="C182" s="42" t="s">
        <v>110</v>
      </c>
      <c r="E182" s="35">
        <v>-109193</v>
      </c>
      <c r="F182" s="35">
        <v>-180930</v>
      </c>
      <c r="G182" s="35">
        <v>-31427</v>
      </c>
      <c r="H182" s="22">
        <f>-H47*H84</f>
        <v>-246364.29105386746</v>
      </c>
      <c r="I182" s="22">
        <f t="shared" ref="I182:L182" si="101">-I47*I84</f>
        <v>-307955.36381733429</v>
      </c>
      <c r="J182" s="22">
        <f t="shared" si="101"/>
        <v>-369546.43658080115</v>
      </c>
      <c r="K182" s="22">
        <f t="shared" si="101"/>
        <v>-443455.72389696143</v>
      </c>
      <c r="L182" s="22">
        <f t="shared" si="101"/>
        <v>-509974.08248150558</v>
      </c>
    </row>
    <row r="183" spans="2:12" ht="15.75" customHeight="1" x14ac:dyDescent="0.25">
      <c r="C183" s="42" t="s">
        <v>111</v>
      </c>
      <c r="E183" s="35">
        <v>0</v>
      </c>
      <c r="F183" s="35">
        <v>14919</v>
      </c>
      <c r="G183" s="35">
        <v>796757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5.75" customHeight="1" x14ac:dyDescent="0.25">
      <c r="C184" s="42" t="s">
        <v>112</v>
      </c>
      <c r="E184" s="35">
        <v>2726375</v>
      </c>
      <c r="F184" s="35">
        <v>346526</v>
      </c>
      <c r="G184" s="35">
        <v>15761862</v>
      </c>
      <c r="H184" s="22">
        <f>H98+H99+H100</f>
        <v>5480884.8427260499</v>
      </c>
      <c r="I184" s="22">
        <f t="shared" ref="I184:L184" si="102">I98+I99+I100</f>
        <v>6851106.053407562</v>
      </c>
      <c r="J184" s="22">
        <f t="shared" si="102"/>
        <v>8221327.264089074</v>
      </c>
      <c r="K184" s="22">
        <f t="shared" si="102"/>
        <v>9865592.7169068903</v>
      </c>
      <c r="L184" s="22">
        <f t="shared" si="102"/>
        <v>11345431.62444292</v>
      </c>
    </row>
    <row r="185" spans="2:12" ht="15.75" customHeight="1" x14ac:dyDescent="0.25">
      <c r="C185" s="23" t="s">
        <v>113</v>
      </c>
      <c r="D185" s="24"/>
      <c r="E185" s="55">
        <f>SUM(E182:E184)</f>
        <v>2617182</v>
      </c>
      <c r="F185" s="55">
        <f>SUM(F182:F184)</f>
        <v>180515</v>
      </c>
      <c r="G185" s="55">
        <f>SUM(G182:G184)</f>
        <v>16527192</v>
      </c>
      <c r="H185" s="55">
        <f>SUM(H182:H184)</f>
        <v>5234520.551672182</v>
      </c>
      <c r="I185" s="55">
        <f t="shared" ref="I185:L185" si="103">SUM(I182:I184)</f>
        <v>6543150.6895902278</v>
      </c>
      <c r="J185" s="55">
        <f t="shared" si="103"/>
        <v>7851780.8275082726</v>
      </c>
      <c r="K185" s="55">
        <f t="shared" si="103"/>
        <v>9422136.9930099286</v>
      </c>
      <c r="L185" s="55">
        <f t="shared" si="103"/>
        <v>10835457.541961415</v>
      </c>
    </row>
    <row r="186" spans="2:12" ht="15.75" customHeight="1" x14ac:dyDescent="0.25"/>
    <row r="187" spans="2:12" ht="15.75" customHeight="1" x14ac:dyDescent="0.25">
      <c r="B187" s="11" t="s">
        <v>114</v>
      </c>
      <c r="C187" s="46"/>
      <c r="D187" s="47"/>
      <c r="E187" s="10">
        <f>EOMONTH(F187,-12)</f>
        <v>45107</v>
      </c>
      <c r="F187" s="10">
        <f>EOMONTH(G187,-12)</f>
        <v>45473</v>
      </c>
      <c r="G187" s="10">
        <f>Hist_Yr</f>
        <v>45838</v>
      </c>
      <c r="H187" s="10">
        <f>EOMONTH(G187,12)</f>
        <v>46203</v>
      </c>
      <c r="I187" s="10">
        <f>EOMONTH(H187,12)</f>
        <v>46568</v>
      </c>
      <c r="J187" s="10">
        <f>EOMONTH(I187,12)</f>
        <v>46934</v>
      </c>
      <c r="K187" s="10">
        <f>EOMONTH(J187,12)</f>
        <v>47299</v>
      </c>
      <c r="L187" s="10">
        <f>EOMONTH(K187,12)</f>
        <v>47664</v>
      </c>
    </row>
    <row r="188" spans="2:12" ht="15.75" customHeight="1" x14ac:dyDescent="0.25"/>
    <row r="189" spans="2:12" ht="15.75" customHeight="1" x14ac:dyDescent="0.25">
      <c r="C189" s="42" t="s">
        <v>115</v>
      </c>
      <c r="E189" s="35">
        <v>-3709370</v>
      </c>
      <c r="F189" s="35">
        <v>-9111433</v>
      </c>
      <c r="G189" s="35">
        <v>-9031508</v>
      </c>
      <c r="H189" s="22">
        <f>-H51*H105</f>
        <v>-14248101.381072134</v>
      </c>
      <c r="I189" s="22">
        <f t="shared" ref="I189:L189" si="104">-I51*I105</f>
        <v>-17810126.726340167</v>
      </c>
      <c r="J189" s="22">
        <f t="shared" si="104"/>
        <v>-21372152.071608201</v>
      </c>
      <c r="K189" s="22">
        <f t="shared" si="104"/>
        <v>-25646582.485929839</v>
      </c>
      <c r="L189" s="22">
        <f t="shared" si="104"/>
        <v>-29493569.858819313</v>
      </c>
    </row>
    <row r="190" spans="2:12" ht="15.75" customHeight="1" x14ac:dyDescent="0.25">
      <c r="C190" s="42" t="s">
        <v>116</v>
      </c>
      <c r="E190" s="35">
        <v>0</v>
      </c>
      <c r="F190" s="35"/>
      <c r="G190" s="35"/>
      <c r="H190" s="22"/>
      <c r="I190" s="22"/>
      <c r="J190" s="22"/>
      <c r="K190" s="22"/>
      <c r="L190" s="22"/>
    </row>
    <row r="191" spans="2:12" ht="15.75" customHeight="1" x14ac:dyDescent="0.25">
      <c r="C191" s="42" t="s">
        <v>117</v>
      </c>
      <c r="E191" s="35">
        <v>0</v>
      </c>
      <c r="F191" s="35">
        <v>0</v>
      </c>
      <c r="G191" s="35">
        <v>0</v>
      </c>
      <c r="H191" s="22"/>
      <c r="I191" s="22"/>
      <c r="J191" s="22"/>
      <c r="K191" s="22"/>
      <c r="L191" s="22"/>
    </row>
    <row r="192" spans="2:12" ht="15.75" customHeight="1" x14ac:dyDescent="0.25">
      <c r="C192" s="23" t="s">
        <v>118</v>
      </c>
      <c r="D192" s="51"/>
      <c r="E192" s="55">
        <f>SUM(E189:E191)</f>
        <v>-3709370</v>
      </c>
      <c r="F192" s="25">
        <f>SUM(F189:F191)</f>
        <v>-9111433</v>
      </c>
      <c r="G192" s="25">
        <f>SUM(G189:G191)</f>
        <v>-9031508</v>
      </c>
      <c r="H192" s="25">
        <f t="shared" ref="H192:L192" si="105">SUM(H189:H191)</f>
        <v>-14248101.381072134</v>
      </c>
      <c r="I192" s="25">
        <f t="shared" si="105"/>
        <v>-17810126.726340167</v>
      </c>
      <c r="J192" s="25">
        <f t="shared" si="105"/>
        <v>-21372152.071608201</v>
      </c>
      <c r="K192" s="25">
        <f t="shared" si="105"/>
        <v>-25646582.485929839</v>
      </c>
      <c r="L192" s="25">
        <f t="shared" si="105"/>
        <v>-29493569.858819313</v>
      </c>
    </row>
    <row r="193" spans="3:12" ht="15.75" customHeight="1" x14ac:dyDescent="0.25">
      <c r="E193" s="56"/>
    </row>
    <row r="194" spans="3:12" x14ac:dyDescent="0.25">
      <c r="C194" s="42" t="s">
        <v>119</v>
      </c>
      <c r="E194" s="56">
        <f>E178+E185+E192</f>
        <v>2715594</v>
      </c>
      <c r="F194" s="56">
        <f>F178+F185+F192</f>
        <v>1950060</v>
      </c>
      <c r="G194" s="56">
        <f>G178+G185+G192</f>
        <v>-16149678</v>
      </c>
      <c r="H194" s="56">
        <f t="shared" ref="H194:L194" si="106">H178+H185+H192</f>
        <v>32628235.398721308</v>
      </c>
      <c r="I194" s="56">
        <f t="shared" si="106"/>
        <v>3892720.2240841761</v>
      </c>
      <c r="J194" s="56">
        <f t="shared" si="106"/>
        <v>4698622.1922066212</v>
      </c>
      <c r="K194" s="56">
        <f t="shared" si="106"/>
        <v>5556625.523950059</v>
      </c>
      <c r="L194" s="56">
        <f t="shared" si="106"/>
        <v>6514752.1185331792</v>
      </c>
    </row>
    <row r="195" spans="3:12" x14ac:dyDescent="0.25">
      <c r="C195" s="42" t="s">
        <v>120</v>
      </c>
      <c r="E195" s="56">
        <v>4300</v>
      </c>
      <c r="F195" s="56">
        <f>E197</f>
        <v>2932452</v>
      </c>
      <c r="G195" s="56">
        <f>F197</f>
        <v>4937868</v>
      </c>
      <c r="H195" s="56">
        <f t="shared" ref="H195:L195" si="107">G197</f>
        <v>-11262394</v>
      </c>
      <c r="I195" s="56">
        <f t="shared" si="107"/>
        <v>21365841.398721308</v>
      </c>
      <c r="J195" s="56">
        <f t="shared" si="107"/>
        <v>25258561.622805484</v>
      </c>
      <c r="K195" s="56">
        <f t="shared" si="107"/>
        <v>29957183.815012105</v>
      </c>
      <c r="L195" s="56">
        <f t="shared" si="107"/>
        <v>35513809.338962168</v>
      </c>
    </row>
    <row r="196" spans="3:12" ht="15.75" customHeight="1" x14ac:dyDescent="0.25">
      <c r="C196" s="42" t="s">
        <v>121</v>
      </c>
      <c r="E196" s="56">
        <v>212558</v>
      </c>
      <c r="F196" s="56">
        <v>55356</v>
      </c>
      <c r="G196" s="56">
        <v>-50584</v>
      </c>
      <c r="H196" s="56">
        <v>0</v>
      </c>
      <c r="I196" s="56">
        <v>0</v>
      </c>
      <c r="J196" s="56">
        <v>0</v>
      </c>
      <c r="K196" s="56">
        <v>0</v>
      </c>
      <c r="L196" s="56">
        <v>0</v>
      </c>
    </row>
    <row r="197" spans="3:12" ht="15.75" customHeight="1" x14ac:dyDescent="0.25">
      <c r="C197" s="23" t="s">
        <v>122</v>
      </c>
      <c r="D197" s="24"/>
      <c r="E197" s="55">
        <f t="shared" ref="E197:L197" si="108">E194+E195+E196</f>
        <v>2932452</v>
      </c>
      <c r="F197" s="55">
        <f t="shared" si="108"/>
        <v>4937868</v>
      </c>
      <c r="G197" s="55">
        <f t="shared" si="108"/>
        <v>-11262394</v>
      </c>
      <c r="H197" s="55">
        <f t="shared" si="108"/>
        <v>21365841.398721308</v>
      </c>
      <c r="I197" s="55">
        <f t="shared" si="108"/>
        <v>25258561.622805484</v>
      </c>
      <c r="J197" s="55">
        <f t="shared" si="108"/>
        <v>29957183.815012105</v>
      </c>
      <c r="K197" s="55">
        <f t="shared" si="108"/>
        <v>35513809.338962168</v>
      </c>
      <c r="L197" s="55">
        <f t="shared" si="108"/>
        <v>42028561.457495347</v>
      </c>
    </row>
    <row r="198" spans="3:12" ht="15.75" customHeight="1" x14ac:dyDescent="0.25">
      <c r="C198" s="29"/>
      <c r="E198" s="53"/>
      <c r="F198" s="53"/>
      <c r="G198" s="53"/>
      <c r="H198" s="53"/>
      <c r="I198" s="53"/>
      <c r="J198" s="53"/>
      <c r="K198" s="53"/>
      <c r="L198" s="53"/>
    </row>
    <row r="199" spans="3:12" ht="15.75" customHeight="1" x14ac:dyDescent="0.25">
      <c r="C199" s="29" t="s">
        <v>123</v>
      </c>
      <c r="E199" s="56">
        <f t="shared" ref="E199:L199" si="109">E197-(E112-E134)</f>
        <v>19431</v>
      </c>
      <c r="F199" s="36">
        <f t="shared" si="109"/>
        <v>5900</v>
      </c>
      <c r="G199" s="36">
        <f t="shared" si="109"/>
        <v>180</v>
      </c>
      <c r="H199" s="36">
        <f t="shared" si="109"/>
        <v>179.99999999627471</v>
      </c>
      <c r="I199" s="36">
        <f t="shared" si="109"/>
        <v>179.99999999254942</v>
      </c>
      <c r="J199" s="36">
        <f t="shared" si="109"/>
        <v>179.99999999254942</v>
      </c>
      <c r="K199" s="36">
        <f t="shared" si="109"/>
        <v>179.99999999254942</v>
      </c>
      <c r="L199" s="36">
        <f t="shared" si="109"/>
        <v>180</v>
      </c>
    </row>
  </sheetData>
  <pageMargins left="0.7" right="0.7" top="0.75" bottom="0.75" header="0.511811023622047" footer="0.511811023622047"/>
  <pageSetup orientation="portrait" horizontalDpi="300" verticalDpi="300"/>
  <ignoredErrors>
    <ignoredError sqref="E133:L138 E140:L141 E139:G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7"/>
  <sheetViews>
    <sheetView showGridLines="0" topLeftCell="A55" zoomScale="85" zoomScaleNormal="85" workbookViewId="0">
      <selection activeCell="F76" sqref="F76"/>
    </sheetView>
  </sheetViews>
  <sheetFormatPr defaultColWidth="9.140625" defaultRowHeight="15.75" x14ac:dyDescent="0.25"/>
  <cols>
    <col min="1" max="2" width="2.7109375" style="1" customWidth="1"/>
    <col min="3" max="3" width="31.5703125" style="1" customWidth="1"/>
    <col min="4" max="4" width="47.7109375" style="2" bestFit="1" customWidth="1"/>
    <col min="5" max="6" width="13.42578125" style="1" bestFit="1" customWidth="1"/>
    <col min="7" max="7" width="14.140625" style="1" bestFit="1" customWidth="1"/>
    <col min="8" max="11" width="19.42578125" style="1" customWidth="1"/>
    <col min="12" max="12" width="19.85546875" style="1" customWidth="1"/>
    <col min="13" max="14" width="2.7109375" style="1" customWidth="1"/>
    <col min="15" max="16384" width="9.140625" style="1"/>
  </cols>
  <sheetData>
    <row r="1" spans="2:12" ht="15.75" customHeight="1" x14ac:dyDescent="0.25"/>
    <row r="2" spans="2:12" ht="15.75" customHeight="1" x14ac:dyDescent="0.3">
      <c r="B2" s="3" t="str">
        <f>Company_Name&amp;" - DCF"</f>
        <v>EASTERN COMPANY (S.A.E) - DCF</v>
      </c>
    </row>
    <row r="3" spans="2:12" ht="15.75" customHeight="1" x14ac:dyDescent="0.25"/>
    <row r="4" spans="2:12" ht="15.75" customHeight="1" x14ac:dyDescent="0.25"/>
    <row r="5" spans="2:12" ht="15.75" customHeight="1" x14ac:dyDescent="0.25">
      <c r="B5" s="4" t="s">
        <v>124</v>
      </c>
      <c r="C5" s="5"/>
      <c r="D5" s="6"/>
      <c r="E5" s="5"/>
      <c r="F5" s="5"/>
      <c r="G5" s="5"/>
      <c r="H5" s="5"/>
      <c r="I5" s="5"/>
      <c r="J5" s="5"/>
      <c r="K5" s="5"/>
      <c r="L5" s="5"/>
    </row>
    <row r="6" spans="2:12" ht="15.75" customHeight="1" x14ac:dyDescent="0.25"/>
    <row r="7" spans="2:12" ht="15.75" customHeight="1" x14ac:dyDescent="0.25">
      <c r="C7" s="1" t="s">
        <v>1</v>
      </c>
      <c r="D7" s="115" t="s">
        <v>205</v>
      </c>
      <c r="E7" s="115"/>
      <c r="F7" s="115"/>
      <c r="H7" s="1" t="s">
        <v>125</v>
      </c>
      <c r="I7" s="97">
        <f>L71</f>
        <v>24.867898226850926</v>
      </c>
    </row>
    <row r="8" spans="2:12" ht="15.75" customHeight="1" x14ac:dyDescent="0.25">
      <c r="C8" s="1" t="s">
        <v>2</v>
      </c>
      <c r="D8" s="7" t="s">
        <v>3</v>
      </c>
      <c r="H8" s="1" t="s">
        <v>126</v>
      </c>
      <c r="I8" s="97">
        <v>39.53</v>
      </c>
      <c r="K8" s="1" t="s">
        <v>127</v>
      </c>
      <c r="L8" s="98">
        <f>I7/I8-1</f>
        <v>-0.3709107455894024</v>
      </c>
    </row>
    <row r="9" spans="2:12" ht="15.75" customHeight="1" x14ac:dyDescent="0.25">
      <c r="C9" s="1" t="s">
        <v>4</v>
      </c>
      <c r="D9" s="8">
        <v>45838</v>
      </c>
    </row>
    <row r="10" spans="2:12" ht="15.75" customHeight="1" x14ac:dyDescent="0.25">
      <c r="H10" s="1">
        <v>1</v>
      </c>
      <c r="I10" s="1">
        <v>2</v>
      </c>
      <c r="J10" s="1">
        <v>3</v>
      </c>
      <c r="K10" s="1">
        <v>4</v>
      </c>
      <c r="L10" s="1">
        <v>5</v>
      </c>
    </row>
    <row r="11" spans="2:12" ht="15.75" customHeight="1" x14ac:dyDescent="0.25">
      <c r="B11" s="4"/>
      <c r="C11" s="5"/>
      <c r="D11" s="6"/>
      <c r="E11" s="116" t="s">
        <v>5</v>
      </c>
      <c r="F11" s="116"/>
      <c r="G11" s="116"/>
      <c r="H11" s="115" t="s">
        <v>6</v>
      </c>
      <c r="I11" s="115"/>
      <c r="J11" s="115"/>
      <c r="K11" s="115"/>
      <c r="L11" s="115"/>
    </row>
    <row r="12" spans="2:12" ht="15.75" customHeight="1" x14ac:dyDescent="0.25">
      <c r="B12" s="4" t="s">
        <v>128</v>
      </c>
      <c r="C12" s="5"/>
      <c r="D12" s="9"/>
      <c r="E12" s="10">
        <f>EOMONTH(F12,-12)</f>
        <v>45107</v>
      </c>
      <c r="F12" s="10">
        <f>EOMONTH(G12,-12)</f>
        <v>45473</v>
      </c>
      <c r="G12" s="10">
        <f>Hist_Yr</f>
        <v>45838</v>
      </c>
      <c r="H12" s="10">
        <f>EOMONTH(G12,12)</f>
        <v>46203</v>
      </c>
      <c r="I12" s="10">
        <f>EOMONTH(H12,12)</f>
        <v>46568</v>
      </c>
      <c r="J12" s="10">
        <f>EOMONTH(I12,12)</f>
        <v>46934</v>
      </c>
      <c r="K12" s="10">
        <f>EOMONTH(J12,12)</f>
        <v>47299</v>
      </c>
      <c r="L12" s="10">
        <f>EOMONTH(K12,12)</f>
        <v>47664</v>
      </c>
    </row>
    <row r="13" spans="2:12" ht="15.75" customHeight="1" x14ac:dyDescent="0.25">
      <c r="B13" s="14"/>
      <c r="C13" s="15"/>
      <c r="D13" s="57"/>
      <c r="E13" s="58"/>
      <c r="F13" s="58"/>
      <c r="G13" s="58"/>
      <c r="H13" s="58"/>
      <c r="I13" s="58"/>
      <c r="J13" s="58"/>
      <c r="K13" s="58"/>
      <c r="L13" s="58"/>
    </row>
    <row r="14" spans="2:12" ht="15.75" customHeight="1" x14ac:dyDescent="0.25">
      <c r="B14" s="29"/>
      <c r="C14" s="29" t="s">
        <v>129</v>
      </c>
      <c r="D14" s="105">
        <f>WACC!E20</f>
        <v>0.30277495149371536</v>
      </c>
      <c r="E14" s="59"/>
      <c r="F14" s="59"/>
      <c r="G14" s="59"/>
      <c r="H14" s="59"/>
      <c r="I14" s="59"/>
      <c r="J14" s="59"/>
      <c r="K14" s="59"/>
      <c r="L14" s="59"/>
    </row>
    <row r="15" spans="2:12" ht="15.75" customHeight="1" x14ac:dyDescent="0.25">
      <c r="B15" s="29"/>
      <c r="C15" s="29" t="s">
        <v>130</v>
      </c>
      <c r="D15" s="106">
        <v>0.06</v>
      </c>
      <c r="E15" s="59"/>
      <c r="F15" s="59"/>
      <c r="G15" s="59"/>
      <c r="H15" s="59"/>
      <c r="I15" s="59"/>
      <c r="J15" s="59"/>
      <c r="K15" s="59"/>
      <c r="L15" s="59"/>
    </row>
    <row r="16" spans="2:12" ht="15.75" customHeight="1" x14ac:dyDescent="0.25">
      <c r="B16" s="14"/>
      <c r="C16" s="15"/>
      <c r="D16" s="57"/>
      <c r="E16" s="58"/>
      <c r="F16" s="58"/>
      <c r="G16" s="58"/>
      <c r="H16" s="58"/>
      <c r="I16" s="58"/>
      <c r="J16" s="58"/>
      <c r="K16" s="58"/>
      <c r="L16" s="58"/>
    </row>
    <row r="17" spans="2:12" ht="15.75" customHeight="1" x14ac:dyDescent="0.25">
      <c r="B17" s="11" t="s">
        <v>9</v>
      </c>
      <c r="C17" s="12"/>
      <c r="D17" s="13"/>
      <c r="E17" s="10"/>
      <c r="F17" s="10"/>
      <c r="G17" s="10"/>
      <c r="H17" s="10"/>
      <c r="I17" s="10"/>
      <c r="J17" s="10"/>
      <c r="K17" s="10"/>
      <c r="L17" s="10"/>
    </row>
    <row r="18" spans="2:12" ht="15.75" customHeight="1" x14ac:dyDescent="0.25">
      <c r="B18" s="14"/>
      <c r="C18" s="15"/>
      <c r="D18" s="16"/>
      <c r="E18" s="15"/>
      <c r="F18" s="15"/>
      <c r="G18" s="15"/>
      <c r="H18" s="15"/>
      <c r="I18" s="15"/>
      <c r="J18" s="15"/>
      <c r="K18" s="15"/>
      <c r="L18" s="15"/>
    </row>
    <row r="19" spans="2:12" ht="15.75" customHeight="1" x14ac:dyDescent="0.25">
      <c r="C19" s="29" t="str">
        <f>'Operating Model'!C84</f>
        <v>Net Sales</v>
      </c>
      <c r="E19" s="31">
        <f>'Operating Model'!E84</f>
        <v>17820067</v>
      </c>
      <c r="F19" s="31">
        <f>'Operating Model'!F84</f>
        <v>20446562</v>
      </c>
      <c r="G19" s="31">
        <f>'Operating Model'!G84</f>
        <v>37381841</v>
      </c>
      <c r="H19" s="31">
        <f>'Operating Model'!H84</f>
        <v>46727301.25</v>
      </c>
      <c r="I19" s="31">
        <f>'Operating Model'!I84</f>
        <v>58409126.5625</v>
      </c>
      <c r="J19" s="31">
        <f>'Operating Model'!J84</f>
        <v>70090951.875</v>
      </c>
      <c r="K19" s="31">
        <f>'Operating Model'!K84</f>
        <v>84109142.25</v>
      </c>
      <c r="L19" s="31">
        <f>'Operating Model'!L84</f>
        <v>96725513.587499991</v>
      </c>
    </row>
    <row r="20" spans="2:12" s="32" customFormat="1" ht="15.75" customHeight="1" x14ac:dyDescent="0.25">
      <c r="C20" s="33" t="str">
        <f>'Operating Model'!C15</f>
        <v>Revenue Growth %</v>
      </c>
      <c r="D20" s="2" t="s">
        <v>11</v>
      </c>
      <c r="E20" s="34" t="str">
        <f>'Operating Model'!E15</f>
        <v>N/A</v>
      </c>
      <c r="F20" s="34">
        <f>'Operating Model'!F15</f>
        <v>0.14738973764801222</v>
      </c>
      <c r="G20" s="34">
        <f>'Operating Model'!G15</f>
        <v>0.82827024905213897</v>
      </c>
      <c r="H20" s="34">
        <f>'Operating Model'!H15</f>
        <v>0.25</v>
      </c>
      <c r="I20" s="34">
        <f>'Operating Model'!I15</f>
        <v>0.25</v>
      </c>
      <c r="J20" s="34">
        <f>'Operating Model'!J15</f>
        <v>0.2</v>
      </c>
      <c r="K20" s="34">
        <f>'Operating Model'!K15</f>
        <v>0.2</v>
      </c>
      <c r="L20" s="34">
        <f>'Operating Model'!L15</f>
        <v>0.15</v>
      </c>
    </row>
    <row r="21" spans="2:12" ht="15.75" customHeight="1" x14ac:dyDescent="0.25">
      <c r="E21" s="18"/>
      <c r="F21" s="18"/>
      <c r="G21" s="18"/>
      <c r="H21" s="18"/>
      <c r="I21" s="18"/>
      <c r="J21" s="18"/>
      <c r="K21" s="18"/>
      <c r="L21" s="18"/>
    </row>
    <row r="22" spans="2:12" x14ac:dyDescent="0.25">
      <c r="C22" s="29" t="str">
        <f>'Operating Model'!C95</f>
        <v>Operating Activities (EBIT)</v>
      </c>
      <c r="E22" s="41">
        <f>'Operating Model'!E95</f>
        <v>7431832</v>
      </c>
      <c r="F22" s="41">
        <f>'Operating Model'!F95</f>
        <v>8168249</v>
      </c>
      <c r="G22" s="41">
        <f>'Operating Model'!G95</f>
        <v>9852579</v>
      </c>
      <c r="H22" s="41">
        <f>'Operating Model'!H95</f>
        <v>16823494.126914345</v>
      </c>
      <c r="I22" s="41">
        <f>'Operating Model'!I95</f>
        <v>21029367.658642933</v>
      </c>
      <c r="J22" s="41">
        <f>'Operating Model'!J95</f>
        <v>25235241.190371521</v>
      </c>
      <c r="K22" s="41">
        <f>'Operating Model'!K95</f>
        <v>30282289.428445823</v>
      </c>
      <c r="L22" s="41">
        <f>'Operating Model'!L95</f>
        <v>34824632.8427127</v>
      </c>
    </row>
    <row r="23" spans="2:12" s="32" customFormat="1" ht="15.75" customHeight="1" x14ac:dyDescent="0.25">
      <c r="C23" s="33" t="str">
        <f>'Operating Model'!C19</f>
        <v>EBIT Margin % of Revenue</v>
      </c>
      <c r="D23" s="2" t="str">
        <f>'Operating Model'!D19</f>
        <v>%</v>
      </c>
      <c r="E23" s="34">
        <f>'Operating Model'!E19</f>
        <v>0.41704848808929845</v>
      </c>
      <c r="F23" s="34">
        <f>'Operating Model'!F19</f>
        <v>0.39949254060413675</v>
      </c>
      <c r="G23" s="34">
        <f>'Operating Model'!G19</f>
        <v>0.26356591158792847</v>
      </c>
      <c r="H23" s="34">
        <f>'Operating Model'!H19</f>
        <v>0.36003564676045458</v>
      </c>
      <c r="I23" s="34">
        <f>'Operating Model'!I19</f>
        <v>0.36003564676045458</v>
      </c>
      <c r="J23" s="34">
        <f>'Operating Model'!J19</f>
        <v>0.36003564676045458</v>
      </c>
      <c r="K23" s="34">
        <f>'Operating Model'!K19</f>
        <v>0.36003564676045458</v>
      </c>
      <c r="L23" s="34">
        <f>'Operating Model'!L19</f>
        <v>0.36003564676045458</v>
      </c>
    </row>
    <row r="24" spans="2:12" ht="15.75" customHeight="1" x14ac:dyDescent="0.25">
      <c r="E24" s="18"/>
      <c r="F24" s="18"/>
      <c r="G24" s="18"/>
      <c r="H24" s="18"/>
      <c r="I24" s="18"/>
      <c r="J24" s="18"/>
      <c r="K24" s="18"/>
      <c r="L24" s="18"/>
    </row>
    <row r="25" spans="2:12" x14ac:dyDescent="0.25">
      <c r="C25" s="29" t="s">
        <v>131</v>
      </c>
      <c r="D25" s="1"/>
      <c r="E25" s="41">
        <f>'Operating Model'!E104</f>
        <v>-2108227</v>
      </c>
      <c r="F25" s="41">
        <f>'Operating Model'!F104</f>
        <v>-2286835</v>
      </c>
      <c r="G25" s="41">
        <f>'Operating Model'!G104</f>
        <v>-2367808</v>
      </c>
      <c r="H25" s="41">
        <f>'Operating Model'!H104</f>
        <v>-4545124.4339912506</v>
      </c>
      <c r="I25" s="41">
        <f>'Operating Model'!I104</f>
        <v>-5681405.542489063</v>
      </c>
      <c r="J25" s="41">
        <f>'Operating Model'!J104</f>
        <v>-6817686.6509868763</v>
      </c>
      <c r="K25" s="41">
        <f>'Operating Model'!K104</f>
        <v>-8181223.9811842516</v>
      </c>
      <c r="L25" s="41">
        <f>'Operating Model'!L104</f>
        <v>-9408407.5783618893</v>
      </c>
    </row>
    <row r="26" spans="2:12" ht="15.75" customHeight="1" x14ac:dyDescent="0.25">
      <c r="C26" s="33" t="s">
        <v>132</v>
      </c>
      <c r="D26" s="1"/>
      <c r="E26" s="18">
        <f>-E25/E22</f>
        <v>0.28367527683618254</v>
      </c>
      <c r="F26" s="18">
        <f t="shared" ref="F26:L26" si="0">-F25/F22</f>
        <v>0.27996636733282737</v>
      </c>
      <c r="G26" s="18">
        <f t="shared" si="0"/>
        <v>0.24032367565893153</v>
      </c>
      <c r="H26" s="18">
        <f t="shared" si="0"/>
        <v>0.27016530571493635</v>
      </c>
      <c r="I26" s="18">
        <f t="shared" si="0"/>
        <v>0.27016530571493635</v>
      </c>
      <c r="J26" s="18">
        <f t="shared" si="0"/>
        <v>0.27016530571493635</v>
      </c>
      <c r="K26" s="18">
        <f t="shared" si="0"/>
        <v>0.27016530571493635</v>
      </c>
      <c r="L26" s="18">
        <f t="shared" si="0"/>
        <v>0.27016530571493635</v>
      </c>
    </row>
    <row r="27" spans="2:12" ht="15.75" customHeight="1" x14ac:dyDescent="0.25"/>
    <row r="28" spans="2:12" ht="15.75" customHeight="1" x14ac:dyDescent="0.25">
      <c r="B28" s="4" t="s">
        <v>18</v>
      </c>
      <c r="C28" s="4"/>
      <c r="D28" s="6"/>
      <c r="E28" s="10">
        <f>EOMONTH(F28,-12)</f>
        <v>45107</v>
      </c>
      <c r="F28" s="10">
        <f>EOMONTH(G28,-12)</f>
        <v>45473</v>
      </c>
      <c r="G28" s="10">
        <f>Hist_Yr</f>
        <v>45838</v>
      </c>
      <c r="H28" s="10">
        <f>EOMONTH(G28,12)</f>
        <v>46203</v>
      </c>
      <c r="I28" s="10">
        <f>EOMONTH(H28,12)</f>
        <v>46568</v>
      </c>
      <c r="J28" s="10">
        <f>EOMONTH(I28,12)</f>
        <v>46934</v>
      </c>
      <c r="K28" s="10">
        <f>EOMONTH(J28,12)</f>
        <v>47299</v>
      </c>
      <c r="L28" s="10">
        <f>EOMONTH(K28,12)</f>
        <v>47664</v>
      </c>
    </row>
    <row r="29" spans="2:12" ht="15.75" customHeight="1" x14ac:dyDescent="0.25"/>
    <row r="30" spans="2:12" ht="15.75" customHeight="1" x14ac:dyDescent="0.25">
      <c r="C30" s="1" t="s">
        <v>133</v>
      </c>
      <c r="E30" s="56">
        <f>'Operating Model'!E165</f>
        <v>400000</v>
      </c>
      <c r="F30" s="56">
        <f>'Operating Model'!F165</f>
        <v>525000</v>
      </c>
      <c r="G30" s="56">
        <f>'Operating Model'!G165</f>
        <v>450000</v>
      </c>
      <c r="H30" s="56">
        <f>'Operating Model'!H165</f>
        <v>424186.97025947756</v>
      </c>
      <c r="I30" s="56">
        <f>'Operating Model'!I165</f>
        <v>405399.50344558054</v>
      </c>
      <c r="J30" s="56">
        <f>'Operating Model'!J165</f>
        <v>395104.25568723568</v>
      </c>
      <c r="K30" s="56">
        <f>'Operating Model'!K165</f>
        <v>392404.00012679322</v>
      </c>
      <c r="L30" s="56">
        <f>'Operating Model'!L165</f>
        <v>397797.75850682118</v>
      </c>
    </row>
    <row r="31" spans="2:12" ht="15.75" customHeight="1" x14ac:dyDescent="0.25">
      <c r="C31" s="33" t="s">
        <v>134</v>
      </c>
      <c r="E31" s="18">
        <f>E30/E19</f>
        <v>2.2446604718152855E-2</v>
      </c>
      <c r="F31" s="18">
        <f t="shared" ref="F31:L31" si="1">F30/F19</f>
        <v>2.5676688335183197E-2</v>
      </c>
      <c r="G31" s="18">
        <f t="shared" si="1"/>
        <v>1.2037930395134899E-2</v>
      </c>
      <c r="H31" s="18">
        <f t="shared" si="1"/>
        <v>9.0779257289008864E-3</v>
      </c>
      <c r="I31" s="18">
        <f t="shared" si="1"/>
        <v>6.9406876511291012E-3</v>
      </c>
      <c r="J31" s="18">
        <f t="shared" si="1"/>
        <v>5.6370222563372156E-3</v>
      </c>
      <c r="K31" s="18">
        <f t="shared" si="1"/>
        <v>4.6654143607889808E-3</v>
      </c>
      <c r="L31" s="18">
        <f t="shared" si="1"/>
        <v>4.1126456066523202E-3</v>
      </c>
    </row>
    <row r="32" spans="2:12" ht="15.75" customHeight="1" x14ac:dyDescent="0.25"/>
    <row r="33" spans="2:12" x14ac:dyDescent="0.25">
      <c r="C33" s="1" t="s">
        <v>135</v>
      </c>
      <c r="E33" s="56">
        <f>'Operating Model'!E182</f>
        <v>-109193</v>
      </c>
      <c r="F33" s="56">
        <f>'Operating Model'!F182</f>
        <v>-180930</v>
      </c>
      <c r="G33" s="56">
        <f>'Operating Model'!G182</f>
        <v>-31427</v>
      </c>
      <c r="H33" s="56">
        <f>'Operating Model'!H182</f>
        <v>-246364.29105386746</v>
      </c>
      <c r="I33" s="56">
        <f>'Operating Model'!I182</f>
        <v>-307955.36381733429</v>
      </c>
      <c r="J33" s="56">
        <f>'Operating Model'!J182</f>
        <v>-369546.43658080115</v>
      </c>
      <c r="K33" s="56">
        <f>'Operating Model'!K182</f>
        <v>-443455.72389696143</v>
      </c>
      <c r="L33" s="56">
        <f>'Operating Model'!L182</f>
        <v>-509974.08248150558</v>
      </c>
    </row>
    <row r="34" spans="2:12" x14ac:dyDescent="0.25">
      <c r="C34" s="33" t="s">
        <v>134</v>
      </c>
      <c r="E34" s="18">
        <f>-E33/E19</f>
        <v>6.127530272473162E-3</v>
      </c>
      <c r="F34" s="18">
        <f t="shared" ref="F34:L34" si="2">-F33/F19</f>
        <v>8.8489204199708495E-3</v>
      </c>
      <c r="G34" s="18">
        <f t="shared" si="2"/>
        <v>8.4070230783978776E-4</v>
      </c>
      <c r="H34" s="18">
        <f t="shared" si="2"/>
        <v>5.2723843334279326E-3</v>
      </c>
      <c r="I34" s="18">
        <f t="shared" si="2"/>
        <v>5.2723843334279326E-3</v>
      </c>
      <c r="J34" s="18">
        <f t="shared" si="2"/>
        <v>5.2723843334279326E-3</v>
      </c>
      <c r="K34" s="18">
        <f t="shared" si="2"/>
        <v>5.2723843334279326E-3</v>
      </c>
      <c r="L34" s="18">
        <f t="shared" si="2"/>
        <v>5.2723843334279326E-3</v>
      </c>
    </row>
    <row r="36" spans="2:12" x14ac:dyDescent="0.25">
      <c r="C36" s="1" t="s">
        <v>136</v>
      </c>
      <c r="E36" s="56">
        <f>'Operating Model'!E172+'Operating Model'!E173+'Operating Model'!E174</f>
        <v>0</v>
      </c>
      <c r="F36" s="56">
        <f>'Operating Model'!F172+'Operating Model'!F173+'Operating Model'!F174</f>
        <v>3501967</v>
      </c>
      <c r="G36" s="56">
        <f>'Operating Model'!G172+'Operating Model'!G173+'Operating Model'!G174</f>
        <v>-31333659</v>
      </c>
      <c r="H36" s="56">
        <f>'Operating Model'!H172+'Operating Model'!H173+'Operating Model'!H174</f>
        <v>28939259.564938687</v>
      </c>
      <c r="I36" s="56">
        <f>'Operating Model'!I172+'Operating Model'!I173+'Operating Model'!I174</f>
        <v>-593665.3587653283</v>
      </c>
      <c r="J36" s="56">
        <f>'Operating Model'!J172+'Operating Model'!J173+'Operating Model'!J174</f>
        <v>-593665.3587653283</v>
      </c>
      <c r="K36" s="56">
        <f>'Operating Model'!K172+'Operating Model'!K173+'Operating Model'!K174</f>
        <v>-712398.4305183962</v>
      </c>
      <c r="L36" s="56">
        <f>'Operating Model'!L172+'Operating Model'!L173+'Operating Model'!L174</f>
        <v>-641158.58746655192</v>
      </c>
    </row>
    <row r="37" spans="2:12" x14ac:dyDescent="0.25">
      <c r="C37" s="33" t="s">
        <v>134</v>
      </c>
      <c r="E37" s="18">
        <f>E36/E19</f>
        <v>0</v>
      </c>
      <c r="F37" s="18">
        <f t="shared" ref="F37:L37" si="3">F36/F19</f>
        <v>0.17127412422685045</v>
      </c>
      <c r="G37" s="18">
        <f t="shared" si="3"/>
        <v>-0.838205346815316</v>
      </c>
      <c r="H37" s="18">
        <f t="shared" si="3"/>
        <v>0.61932229747462009</v>
      </c>
      <c r="I37" s="18">
        <f t="shared" si="3"/>
        <v>-1.0163914335032619E-2</v>
      </c>
      <c r="J37" s="18">
        <f t="shared" si="3"/>
        <v>-8.4699286125271833E-3</v>
      </c>
      <c r="K37" s="18">
        <f t="shared" si="3"/>
        <v>-8.4699286125272093E-3</v>
      </c>
      <c r="L37" s="18">
        <f t="shared" si="3"/>
        <v>-6.6286397837168991E-3</v>
      </c>
    </row>
    <row r="39" spans="2:12" x14ac:dyDescent="0.25">
      <c r="B39" s="4" t="s">
        <v>137</v>
      </c>
      <c r="C39" s="4"/>
      <c r="D39" s="6"/>
      <c r="E39" s="10">
        <f>EOMONTH(F39,-12)</f>
        <v>45107</v>
      </c>
      <c r="F39" s="10">
        <f>EOMONTH(G39,-12)</f>
        <v>45473</v>
      </c>
      <c r="G39" s="10">
        <f>Hist_Yr</f>
        <v>45838</v>
      </c>
      <c r="H39" s="10">
        <f>EOMONTH(G39,12)</f>
        <v>46203</v>
      </c>
      <c r="I39" s="10">
        <f>EOMONTH(H39,12)</f>
        <v>46568</v>
      </c>
      <c r="J39" s="10">
        <f>EOMONTH(I39,12)</f>
        <v>46934</v>
      </c>
      <c r="K39" s="10">
        <f>EOMONTH(J39,12)</f>
        <v>47299</v>
      </c>
      <c r="L39" s="10">
        <f>EOMONTH(K39,12)</f>
        <v>47664</v>
      </c>
    </row>
    <row r="41" spans="2:12" x14ac:dyDescent="0.25">
      <c r="C41" s="1" t="str">
        <f>C19</f>
        <v>Net Sales</v>
      </c>
      <c r="E41" s="45">
        <f>E19</f>
        <v>17820067</v>
      </c>
      <c r="F41" s="45">
        <f t="shared" ref="F41:L41" si="4">F19</f>
        <v>20446562</v>
      </c>
      <c r="G41" s="45">
        <f t="shared" si="4"/>
        <v>37381841</v>
      </c>
      <c r="H41" s="45">
        <f t="shared" si="4"/>
        <v>46727301.25</v>
      </c>
      <c r="I41" s="45">
        <f t="shared" si="4"/>
        <v>58409126.5625</v>
      </c>
      <c r="J41" s="45">
        <f t="shared" si="4"/>
        <v>70090951.875</v>
      </c>
      <c r="K41" s="45">
        <f t="shared" si="4"/>
        <v>84109142.25</v>
      </c>
      <c r="L41" s="45">
        <f t="shared" si="4"/>
        <v>96725513.587499991</v>
      </c>
    </row>
    <row r="42" spans="2:12" x14ac:dyDescent="0.25">
      <c r="C42" s="1" t="str">
        <f>C20</f>
        <v>Revenue Growth %</v>
      </c>
      <c r="E42" s="34" t="str">
        <f>E20</f>
        <v>N/A</v>
      </c>
      <c r="F42" s="34">
        <f t="shared" ref="F42:L42" si="5">F20</f>
        <v>0.14738973764801222</v>
      </c>
      <c r="G42" s="34">
        <f t="shared" si="5"/>
        <v>0.82827024905213897</v>
      </c>
      <c r="H42" s="34">
        <f t="shared" si="5"/>
        <v>0.25</v>
      </c>
      <c r="I42" s="34">
        <f t="shared" si="5"/>
        <v>0.25</v>
      </c>
      <c r="J42" s="34">
        <f t="shared" si="5"/>
        <v>0.2</v>
      </c>
      <c r="K42" s="34">
        <f t="shared" si="5"/>
        <v>0.2</v>
      </c>
      <c r="L42" s="34">
        <f t="shared" si="5"/>
        <v>0.15</v>
      </c>
    </row>
    <row r="44" spans="2:12" x14ac:dyDescent="0.25">
      <c r="C44" s="1" t="str">
        <f>C22</f>
        <v>Operating Activities (EBIT)</v>
      </c>
      <c r="E44" s="45">
        <f>E22</f>
        <v>7431832</v>
      </c>
      <c r="F44" s="45">
        <f t="shared" ref="F44:L44" si="6">F22</f>
        <v>8168249</v>
      </c>
      <c r="G44" s="45">
        <f t="shared" si="6"/>
        <v>9852579</v>
      </c>
      <c r="H44" s="45">
        <f t="shared" si="6"/>
        <v>16823494.126914345</v>
      </c>
      <c r="I44" s="45">
        <f t="shared" si="6"/>
        <v>21029367.658642933</v>
      </c>
      <c r="J44" s="45">
        <f t="shared" si="6"/>
        <v>25235241.190371521</v>
      </c>
      <c r="K44" s="45">
        <f t="shared" si="6"/>
        <v>30282289.428445823</v>
      </c>
      <c r="L44" s="45">
        <f t="shared" si="6"/>
        <v>34824632.8427127</v>
      </c>
    </row>
    <row r="45" spans="2:12" x14ac:dyDescent="0.25">
      <c r="C45" s="1" t="str">
        <f>C23</f>
        <v>EBIT Margin % of Revenue</v>
      </c>
      <c r="E45" s="27">
        <f>E23</f>
        <v>0.41704848808929845</v>
      </c>
      <c r="F45" s="27">
        <f t="shared" ref="F45:L45" si="7">F23</f>
        <v>0.39949254060413675</v>
      </c>
      <c r="G45" s="27">
        <f t="shared" si="7"/>
        <v>0.26356591158792847</v>
      </c>
      <c r="H45" s="27">
        <f t="shared" si="7"/>
        <v>0.36003564676045458</v>
      </c>
      <c r="I45" s="27">
        <f t="shared" si="7"/>
        <v>0.36003564676045458</v>
      </c>
      <c r="J45" s="27">
        <f t="shared" si="7"/>
        <v>0.36003564676045458</v>
      </c>
      <c r="K45" s="27">
        <f t="shared" si="7"/>
        <v>0.36003564676045458</v>
      </c>
      <c r="L45" s="27">
        <f t="shared" si="7"/>
        <v>0.36003564676045458</v>
      </c>
    </row>
    <row r="47" spans="2:12" x14ac:dyDescent="0.25">
      <c r="C47" s="1" t="str">
        <f>C25</f>
        <v>Taxes</v>
      </c>
      <c r="E47" s="45">
        <f>-E25</f>
        <v>2108227</v>
      </c>
      <c r="F47" s="45">
        <f t="shared" ref="F47:L47" si="8">-F25</f>
        <v>2286835</v>
      </c>
      <c r="G47" s="45">
        <f t="shared" si="8"/>
        <v>2367808</v>
      </c>
      <c r="H47" s="45">
        <f t="shared" si="8"/>
        <v>4545124.4339912506</v>
      </c>
      <c r="I47" s="45">
        <f t="shared" si="8"/>
        <v>5681405.542489063</v>
      </c>
      <c r="J47" s="45">
        <f t="shared" si="8"/>
        <v>6817686.6509868763</v>
      </c>
      <c r="K47" s="45">
        <f t="shared" si="8"/>
        <v>8181223.9811842516</v>
      </c>
      <c r="L47" s="45">
        <f t="shared" si="8"/>
        <v>9408407.5783618893</v>
      </c>
    </row>
    <row r="48" spans="2:12" x14ac:dyDescent="0.25">
      <c r="C48" s="1" t="str">
        <f>C26</f>
        <v>% of EBIT</v>
      </c>
      <c r="E48" s="18">
        <f>E47/E44</f>
        <v>0.28367527683618254</v>
      </c>
      <c r="F48" s="18">
        <f t="shared" ref="F48:L48" si="9">F47/F44</f>
        <v>0.27996636733282737</v>
      </c>
      <c r="G48" s="18">
        <f t="shared" si="9"/>
        <v>0.24032367565893153</v>
      </c>
      <c r="H48" s="18">
        <f t="shared" si="9"/>
        <v>0.27016530571493635</v>
      </c>
      <c r="I48" s="18">
        <f t="shared" si="9"/>
        <v>0.27016530571493635</v>
      </c>
      <c r="J48" s="18">
        <f t="shared" si="9"/>
        <v>0.27016530571493635</v>
      </c>
      <c r="K48" s="18">
        <f t="shared" si="9"/>
        <v>0.27016530571493635</v>
      </c>
      <c r="L48" s="18">
        <f t="shared" si="9"/>
        <v>0.27016530571493635</v>
      </c>
    </row>
    <row r="49" spans="3:12" ht="16.5" customHeight="1" x14ac:dyDescent="0.25"/>
    <row r="50" spans="3:12" ht="16.5" customHeight="1" x14ac:dyDescent="0.25">
      <c r="C50" s="60" t="s">
        <v>138</v>
      </c>
      <c r="D50" s="61"/>
      <c r="E50" s="62"/>
      <c r="F50" s="62"/>
      <c r="G50" s="62"/>
      <c r="H50" s="63">
        <f>H44-H47</f>
        <v>12278369.692923095</v>
      </c>
      <c r="I50" s="63">
        <f t="shared" ref="I50:L50" si="10">I44-I47</f>
        <v>15347962.11615387</v>
      </c>
      <c r="J50" s="63">
        <f t="shared" si="10"/>
        <v>18417554.539384644</v>
      </c>
      <c r="K50" s="63">
        <f t="shared" si="10"/>
        <v>22101065.447261572</v>
      </c>
      <c r="L50" s="63">
        <f t="shared" si="10"/>
        <v>25416225.264350809</v>
      </c>
    </row>
    <row r="52" spans="3:12" x14ac:dyDescent="0.25">
      <c r="C52" s="1" t="str">
        <f>C30</f>
        <v>D&amp;A</v>
      </c>
      <c r="H52" s="56">
        <f>H30</f>
        <v>424186.97025947756</v>
      </c>
      <c r="I52" s="56">
        <f t="shared" ref="I52:L52" si="11">I30</f>
        <v>405399.50344558054</v>
      </c>
      <c r="J52" s="56">
        <f t="shared" si="11"/>
        <v>395104.25568723568</v>
      </c>
      <c r="K52" s="56">
        <f t="shared" si="11"/>
        <v>392404.00012679322</v>
      </c>
      <c r="L52" s="56">
        <f t="shared" si="11"/>
        <v>397797.75850682118</v>
      </c>
    </row>
    <row r="53" spans="3:12" x14ac:dyDescent="0.25">
      <c r="C53" s="1" t="str">
        <f>C31</f>
        <v>% of revenue</v>
      </c>
      <c r="E53" s="27"/>
      <c r="F53" s="27"/>
      <c r="G53" s="27"/>
      <c r="H53" s="27">
        <f>H31</f>
        <v>9.0779257289008864E-3</v>
      </c>
      <c r="I53" s="27">
        <f t="shared" ref="I53:L53" si="12">I31</f>
        <v>6.9406876511291012E-3</v>
      </c>
      <c r="J53" s="27">
        <f t="shared" si="12"/>
        <v>5.6370222563372156E-3</v>
      </c>
      <c r="K53" s="27">
        <f t="shared" si="12"/>
        <v>4.6654143607889808E-3</v>
      </c>
      <c r="L53" s="27">
        <f t="shared" si="12"/>
        <v>4.1126456066523202E-3</v>
      </c>
    </row>
    <row r="55" spans="3:12" x14ac:dyDescent="0.25">
      <c r="C55" s="1" t="str">
        <f>C33</f>
        <v>CapEx</v>
      </c>
      <c r="H55" s="56">
        <f>H33</f>
        <v>-246364.29105386746</v>
      </c>
      <c r="I55" s="56">
        <f t="shared" ref="I55:L55" si="13">I33</f>
        <v>-307955.36381733429</v>
      </c>
      <c r="J55" s="56">
        <f t="shared" si="13"/>
        <v>-369546.43658080115</v>
      </c>
      <c r="K55" s="56">
        <f t="shared" si="13"/>
        <v>-443455.72389696143</v>
      </c>
      <c r="L55" s="56">
        <f t="shared" si="13"/>
        <v>-509974.08248150558</v>
      </c>
    </row>
    <row r="56" spans="3:12" x14ac:dyDescent="0.25">
      <c r="C56" s="1" t="str">
        <f>C34</f>
        <v>% of revenue</v>
      </c>
      <c r="E56" s="27"/>
      <c r="F56" s="27"/>
      <c r="G56" s="27"/>
      <c r="H56" s="27">
        <f>H34</f>
        <v>5.2723843334279326E-3</v>
      </c>
      <c r="I56" s="27">
        <f t="shared" ref="I56:L56" si="14">I34</f>
        <v>5.2723843334279326E-3</v>
      </c>
      <c r="J56" s="27">
        <f t="shared" si="14"/>
        <v>5.2723843334279326E-3</v>
      </c>
      <c r="K56" s="27">
        <f t="shared" si="14"/>
        <v>5.2723843334279326E-3</v>
      </c>
      <c r="L56" s="27">
        <f t="shared" si="14"/>
        <v>5.2723843334279326E-3</v>
      </c>
    </row>
    <row r="58" spans="3:12" x14ac:dyDescent="0.25">
      <c r="C58" s="1" t="str">
        <f>C36</f>
        <v>Change in NWC</v>
      </c>
      <c r="H58" s="56">
        <f>-H59*H41</f>
        <v>-25700015.687500004</v>
      </c>
      <c r="I58" s="56">
        <f t="shared" ref="I58:L58" si="15">-I59*I41</f>
        <v>2336365.0625</v>
      </c>
      <c r="J58" s="56">
        <f t="shared" si="15"/>
        <v>2803638.0750000002</v>
      </c>
      <c r="K58" s="56">
        <f t="shared" si="15"/>
        <v>3364365.69</v>
      </c>
      <c r="L58" s="56">
        <f t="shared" si="15"/>
        <v>3869020.5434999997</v>
      </c>
    </row>
    <row r="59" spans="3:12" x14ac:dyDescent="0.25">
      <c r="C59" s="1" t="str">
        <f>C37</f>
        <v>% of revenue</v>
      </c>
      <c r="E59" s="27"/>
      <c r="F59" s="27"/>
      <c r="G59" s="27"/>
      <c r="H59" s="27">
        <v>0.55000000000000004</v>
      </c>
      <c r="I59" s="27">
        <v>-0.04</v>
      </c>
      <c r="J59" s="27">
        <f>I59</f>
        <v>-0.04</v>
      </c>
      <c r="K59" s="27">
        <f t="shared" ref="K59:L59" si="16">J59</f>
        <v>-0.04</v>
      </c>
      <c r="L59" s="27">
        <f t="shared" si="16"/>
        <v>-0.04</v>
      </c>
    </row>
    <row r="60" spans="3:12" ht="16.5" customHeight="1" thickBot="1" x14ac:dyDescent="0.3"/>
    <row r="61" spans="3:12" ht="16.5" customHeight="1" x14ac:dyDescent="0.25">
      <c r="C61" s="60" t="s">
        <v>139</v>
      </c>
      <c r="D61" s="61"/>
      <c r="E61" s="62"/>
      <c r="F61" s="62"/>
      <c r="G61" s="62"/>
      <c r="H61" s="64">
        <f>H50+H52-H55-H58</f>
        <v>38648936.641736448</v>
      </c>
      <c r="I61" s="64">
        <f t="shared" ref="I61:L61" si="17">I50+I52-I55-I58</f>
        <v>13724951.920916785</v>
      </c>
      <c r="J61" s="64">
        <f t="shared" si="17"/>
        <v>16378567.156652682</v>
      </c>
      <c r="K61" s="64">
        <f t="shared" si="17"/>
        <v>19572559.481285326</v>
      </c>
      <c r="L61" s="64">
        <f t="shared" si="17"/>
        <v>22454976.561839137</v>
      </c>
    </row>
    <row r="62" spans="3:12" ht="16.5" customHeight="1" x14ac:dyDescent="0.25">
      <c r="C62" s="60" t="s">
        <v>140</v>
      </c>
      <c r="D62" s="61"/>
      <c r="E62" s="62"/>
      <c r="F62" s="62"/>
      <c r="G62" s="62"/>
      <c r="H62" s="65">
        <f>H61/(1+$D$14)^H10</f>
        <v>29666625.534535307</v>
      </c>
      <c r="I62" s="65">
        <f t="shared" ref="I62:L62" si="18">I61/(1+$D$14)^I10</f>
        <v>8086713.0388405984</v>
      </c>
      <c r="J62" s="65">
        <f t="shared" si="18"/>
        <v>7407432.5643930342</v>
      </c>
      <c r="K62" s="65">
        <f t="shared" si="18"/>
        <v>6794695.8691094499</v>
      </c>
      <c r="L62" s="65">
        <f t="shared" si="18"/>
        <v>5983642.0733178379</v>
      </c>
    </row>
    <row r="64" spans="3:12" x14ac:dyDescent="0.25">
      <c r="C64" s="1" t="s">
        <v>141</v>
      </c>
      <c r="L64" s="48">
        <f>(L61*(1+D15))/(WACC!E20-DCF!D15)</f>
        <v>98042549.320273042</v>
      </c>
    </row>
    <row r="65" spans="3:12" x14ac:dyDescent="0.25">
      <c r="C65" s="66" t="s">
        <v>142</v>
      </c>
      <c r="D65" s="44"/>
      <c r="E65" s="66"/>
      <c r="F65" s="66"/>
      <c r="G65" s="66"/>
      <c r="H65" s="66"/>
      <c r="I65" s="66"/>
      <c r="J65" s="66"/>
      <c r="K65" s="66"/>
      <c r="L65" s="67">
        <f>L64/(1+D14)^L10</f>
        <v>26125679.600356542</v>
      </c>
    </row>
    <row r="66" spans="3:12" x14ac:dyDescent="0.25">
      <c r="C66" s="29" t="s">
        <v>143</v>
      </c>
      <c r="L66" s="48">
        <f>SUM(H62:L62,L65)</f>
        <v>84064788.680552781</v>
      </c>
    </row>
    <row r="67" spans="3:12" x14ac:dyDescent="0.25">
      <c r="C67" s="1" t="s">
        <v>206</v>
      </c>
      <c r="L67" s="100">
        <f>'Operating Model'!G112 + 'Operating Model'!G118+'Operating Model'!G123</f>
        <v>2019165</v>
      </c>
    </row>
    <row r="68" spans="3:12" x14ac:dyDescent="0.25">
      <c r="C68" s="66" t="s">
        <v>144</v>
      </c>
      <c r="D68" s="44"/>
      <c r="E68" s="66"/>
      <c r="F68" s="66"/>
      <c r="G68" s="66"/>
      <c r="H68" s="66"/>
      <c r="I68" s="66"/>
      <c r="J68" s="66"/>
      <c r="K68" s="66"/>
      <c r="L68" s="101">
        <f>'Operating Model'!G134+'Operating Model'!G138</f>
        <v>11480259</v>
      </c>
    </row>
    <row r="69" spans="3:12" x14ac:dyDescent="0.25">
      <c r="C69" s="29" t="s">
        <v>145</v>
      </c>
      <c r="L69" s="56">
        <f>L66+L67-L68</f>
        <v>74603694.680552781</v>
      </c>
    </row>
    <row r="70" spans="3:12" x14ac:dyDescent="0.25">
      <c r="C70" s="66" t="s">
        <v>146</v>
      </c>
      <c r="D70" s="44"/>
      <c r="E70" s="66"/>
      <c r="F70" s="66"/>
      <c r="G70" s="66"/>
      <c r="H70" s="66"/>
      <c r="I70" s="66"/>
      <c r="J70" s="66"/>
      <c r="K70" s="66"/>
      <c r="L70" s="99">
        <v>3000000</v>
      </c>
    </row>
    <row r="71" spans="3:12" x14ac:dyDescent="0.25">
      <c r="C71" s="29" t="s">
        <v>147</v>
      </c>
      <c r="L71" s="48">
        <f>L69/L70</f>
        <v>24.867898226850926</v>
      </c>
    </row>
    <row r="73" spans="3:12" x14ac:dyDescent="0.25">
      <c r="D73" s="110" t="s">
        <v>207</v>
      </c>
    </row>
    <row r="74" spans="3:12" x14ac:dyDescent="0.25">
      <c r="D74" s="111" t="s">
        <v>208</v>
      </c>
      <c r="E74" s="111" t="s">
        <v>212</v>
      </c>
      <c r="F74" s="111" t="s">
        <v>213</v>
      </c>
      <c r="G74" s="111" t="s">
        <v>214</v>
      </c>
    </row>
    <row r="75" spans="3:12" x14ac:dyDescent="0.25">
      <c r="D75" s="112" t="s">
        <v>209</v>
      </c>
      <c r="E75" s="113">
        <f>($H$61/(1+0.28)^1+$I$61/(1+0.28)^2+$J$61/(1+0.28)^3+$K$61/(1+0.28)^4+$L$61/(1+0.28)^5+$L$61*(1+0.05)/(0.28-0.05)/(1+0.28)^5+$L$67-$L$68)/$L$70</f>
        <v>26.860607601850539</v>
      </c>
      <c r="F75" s="113">
        <f>($H$61/(1+0.28)^1+$I$61/(1+0.28)^2+$J$61/(1+0.28)^3+$K$61/(1+0.28)^4+$L$61/(1+0.28)^5+$L$61*(1+0.06)/(0.28-0.06)/(1+0.28)^5+$L$67-$L$68)/$L$70</f>
        <v>27.411670225948097</v>
      </c>
      <c r="G75" s="113">
        <f>($H$61/(1+0.28)^1+$I$61/(1+0.28)^2+$J$61/(1+0.28)^3+$K$61/(1+0.28)^4+$L$61/(1+0.28)^5+$L$61*(1+0.07)/(0.28-0.07)/(1+0.28)^5+$L$67-$L$68)/$L$70</f>
        <v>28.015215004721611</v>
      </c>
    </row>
    <row r="76" spans="3:12" x14ac:dyDescent="0.25">
      <c r="D76" s="112" t="s">
        <v>210</v>
      </c>
      <c r="E76" s="113">
        <f>($H$61/(1+WACC!E20)^1+$I$61/(1+WACC!E20)^2+$J$61/(1+WACC!E20)^3+$K$61/(1+WACC!E20)^4+$L$61/(1+WACC!E20)^5+$L$61*(1+0.05)/(WACC!E20-0.05)/(1+WACC!E20)^5+$L$67-$L$68)/$L$70</f>
        <v>24.444473866117765</v>
      </c>
      <c r="F76" s="114">
        <f>($H$61/(1+WACC!E20)^1+$I$61/(1+WACC!E20)^2+$J$61/(1+WACC!E20)^3+$K$61/(1+WACC!E20)^4+$L$61/(1+WACC!E20)^5+$L$61*(1+0.06)/(WACC!E20-0.06)/(1+WACC!E20)^5+$L$67-$L$68)/$L$70</f>
        <v>24.867898226850926</v>
      </c>
      <c r="G76" s="113">
        <f>($H$61/(1+WACC!E20)^1+$I$61/(1+WACC!E20)^2+$J$61/(1+WACC!E20)^3+$K$61/(1+WACC!E20)^4+$L$61/(1+WACC!E20)^5+$L$61*(1+0.07)/(WACC!E20-0.07)/(1+WACC!E20)^5+$L$67-$L$68)/$L$70</f>
        <v>25.327703165306559</v>
      </c>
    </row>
    <row r="77" spans="3:12" x14ac:dyDescent="0.25">
      <c r="D77" s="112" t="s">
        <v>211</v>
      </c>
      <c r="E77" s="113">
        <f>($H$61/(1+0.32)^1+$I$61/(1+0.32)^2+$J$61/(1+0.32)^3+$K$61/(1+0.32)^4+$L$61/(1+0.32)^5+$L$61*(1+0.05)/(0.32-0.05)/(1+0.32)^5+$L$67-$L$68)/$L$70</f>
        <v>22.885808088050997</v>
      </c>
      <c r="F77" s="113">
        <f>($H$61/(1+0.32)^1+$I$61/(1+0.32)^2+$J$61/(1+0.32)^3+$K$61/(1+0.32)^4+$L$61/(1+0.32)^5+$L$61*(1+0.06)/(0.32-0.06)/(1+0.32)^5+$L$67-$L$68)/$L$70</f>
        <v>23.237011328545421</v>
      </c>
      <c r="G77" s="113">
        <f>($H$61/(1+0.32)^1+$I$61/(1+0.32)^2+$J$61/(1+0.32)^3+$K$61/(1+0.32)^4+$L$61/(1+0.32)^5+$L$61*(1+0.07)/(0.32-0.07)/(1+0.32)^5+$L$67-$L$68)/$L$70</f>
        <v>23.616310828279399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L20"/>
  <sheetViews>
    <sheetView showGridLines="0" zoomScaleNormal="100" workbookViewId="0">
      <selection activeCell="F37" sqref="F37"/>
    </sheetView>
  </sheetViews>
  <sheetFormatPr defaultColWidth="8.7109375" defaultRowHeight="15" x14ac:dyDescent="0.25"/>
  <cols>
    <col min="1" max="2" width="2.7109375" customWidth="1"/>
    <col min="3" max="3" width="20.140625" customWidth="1"/>
    <col min="5" max="5" width="13.85546875" customWidth="1"/>
    <col min="13" max="14" width="2.7109375" customWidth="1"/>
  </cols>
  <sheetData>
    <row r="2" spans="3:12" s="68" customFormat="1" ht="21" customHeight="1" x14ac:dyDescent="0.35">
      <c r="C2" s="69" t="s">
        <v>129</v>
      </c>
    </row>
    <row r="4" spans="3:12" ht="15.75" customHeight="1" x14ac:dyDescent="0.25">
      <c r="C4" s="4" t="s">
        <v>129</v>
      </c>
      <c r="D4" s="5"/>
      <c r="E4" s="6"/>
      <c r="F4" s="5"/>
      <c r="G4" s="5"/>
      <c r="H4" s="5"/>
      <c r="I4" s="5"/>
      <c r="J4" s="5"/>
      <c r="K4" s="5"/>
      <c r="L4" s="5"/>
    </row>
    <row r="6" spans="3:12" x14ac:dyDescent="0.25">
      <c r="C6" t="s">
        <v>148</v>
      </c>
      <c r="E6" s="70">
        <f>DCF!L68</f>
        <v>11480259</v>
      </c>
    </row>
    <row r="7" spans="3:12" x14ac:dyDescent="0.25">
      <c r="C7" t="s">
        <v>149</v>
      </c>
      <c r="E7" s="71">
        <f>E6/E18</f>
        <v>8.8261983087155993E-2</v>
      </c>
    </row>
    <row r="8" spans="3:12" x14ac:dyDescent="0.25">
      <c r="C8" t="s">
        <v>150</v>
      </c>
      <c r="E8" s="72">
        <v>0.22</v>
      </c>
    </row>
    <row r="9" spans="3:12" x14ac:dyDescent="0.25">
      <c r="C9" t="s">
        <v>151</v>
      </c>
      <c r="E9" s="73">
        <v>0.22500000000000001</v>
      </c>
    </row>
    <row r="11" spans="3:12" x14ac:dyDescent="0.25">
      <c r="C11" t="s">
        <v>145</v>
      </c>
      <c r="E11" s="70">
        <v>118590000</v>
      </c>
    </row>
    <row r="12" spans="3:12" x14ac:dyDescent="0.25">
      <c r="C12" t="s">
        <v>152</v>
      </c>
      <c r="E12" s="74">
        <f>E11/E18</f>
        <v>0.91173801691284395</v>
      </c>
    </row>
    <row r="13" spans="3:12" x14ac:dyDescent="0.25">
      <c r="C13" t="s">
        <v>153</v>
      </c>
      <c r="E13" s="75">
        <f>E14+(E15*(E16))</f>
        <v>0.31557999999999997</v>
      </c>
    </row>
    <row r="14" spans="3:12" x14ac:dyDescent="0.25">
      <c r="C14" t="s">
        <v>154</v>
      </c>
      <c r="E14" s="73">
        <v>0.218</v>
      </c>
    </row>
    <row r="15" spans="3:12" x14ac:dyDescent="0.25">
      <c r="C15" t="s">
        <v>155</v>
      </c>
      <c r="E15" s="76">
        <v>0.7</v>
      </c>
    </row>
    <row r="16" spans="3:12" x14ac:dyDescent="0.25">
      <c r="C16" t="s">
        <v>156</v>
      </c>
      <c r="E16" s="73">
        <v>0.1394</v>
      </c>
    </row>
    <row r="18" spans="3:5" x14ac:dyDescent="0.25">
      <c r="C18" t="s">
        <v>157</v>
      </c>
      <c r="E18" s="70">
        <f>E6+E11</f>
        <v>130070259</v>
      </c>
    </row>
    <row r="19" spans="3:5" ht="15.75" customHeight="1" x14ac:dyDescent="0.25"/>
    <row r="20" spans="3:5" ht="15.75" customHeight="1" x14ac:dyDescent="0.25">
      <c r="C20" s="102" t="s">
        <v>129</v>
      </c>
      <c r="D20" s="103"/>
      <c r="E20" s="104">
        <f>(E12*E13)+(E7*E8*(1-E9))</f>
        <v>0.30277495149371536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L46"/>
  <sheetViews>
    <sheetView showGridLines="0" zoomScaleNormal="100" workbookViewId="0">
      <selection activeCell="J14" sqref="J14"/>
    </sheetView>
  </sheetViews>
  <sheetFormatPr defaultColWidth="8.7109375" defaultRowHeight="15" x14ac:dyDescent="0.25"/>
  <cols>
    <col min="1" max="2" width="2.85546875" customWidth="1"/>
    <col min="3" max="3" width="56.140625" customWidth="1"/>
    <col min="4" max="4" width="12.7109375" customWidth="1"/>
    <col min="5" max="6" width="11.28515625" bestFit="1" customWidth="1"/>
    <col min="7" max="7" width="11.5703125" bestFit="1" customWidth="1"/>
    <col min="8" max="12" width="12.28515625" bestFit="1" customWidth="1"/>
    <col min="13" max="14" width="2.85546875" customWidth="1"/>
  </cols>
  <sheetData>
    <row r="2" spans="3:12" ht="18.75" customHeight="1" x14ac:dyDescent="0.3">
      <c r="C2" s="3" t="str">
        <f>Company_Name&amp;" - Financial Ratios"</f>
        <v>EASTERN COMPANY (S.A.E) - Financial Ratios</v>
      </c>
    </row>
    <row r="3" spans="3:12" x14ac:dyDescent="0.25">
      <c r="C3" s="77" t="s">
        <v>158</v>
      </c>
    </row>
    <row r="5" spans="3:12" ht="15.75" customHeight="1" x14ac:dyDescent="0.25">
      <c r="E5" s="116" t="s">
        <v>5</v>
      </c>
      <c r="F5" s="116"/>
      <c r="G5" s="116"/>
      <c r="H5" s="115" t="s">
        <v>6</v>
      </c>
      <c r="I5" s="115"/>
      <c r="J5" s="115"/>
      <c r="K5" s="115"/>
      <c r="L5" s="115"/>
    </row>
    <row r="6" spans="3:12" ht="15.75" customHeight="1" x14ac:dyDescent="0.25">
      <c r="E6" s="10">
        <v>45291</v>
      </c>
      <c r="F6" s="10">
        <v>45657</v>
      </c>
      <c r="G6" s="10">
        <v>46022</v>
      </c>
      <c r="H6" s="10">
        <v>46387</v>
      </c>
      <c r="I6" s="10">
        <v>46752</v>
      </c>
      <c r="J6" s="10">
        <v>47118</v>
      </c>
      <c r="K6" s="10">
        <v>47483</v>
      </c>
      <c r="L6" s="10">
        <v>47848</v>
      </c>
    </row>
    <row r="7" spans="3:12" x14ac:dyDescent="0.25">
      <c r="C7" s="78" t="s">
        <v>159</v>
      </c>
      <c r="E7" s="74"/>
      <c r="F7" s="74"/>
      <c r="G7" s="74"/>
      <c r="H7" s="74"/>
      <c r="I7" s="74"/>
      <c r="J7" s="74"/>
      <c r="K7" s="74"/>
      <c r="L7" s="74"/>
    </row>
    <row r="8" spans="3:12" x14ac:dyDescent="0.25">
      <c r="C8" s="77" t="s">
        <v>12</v>
      </c>
      <c r="E8" s="27">
        <f>'Operating Model'!E86/'Operating Model'!E84</f>
        <v>0.47896705438874049</v>
      </c>
      <c r="F8" s="27">
        <f>'Operating Model'!F86/'Operating Model'!F84</f>
        <v>0.45057247277072793</v>
      </c>
      <c r="G8" s="27">
        <f>'Operating Model'!G86/'Operating Model'!G84</f>
        <v>0.32194730591251514</v>
      </c>
      <c r="H8" s="27">
        <f>'Operating Model'!H86/'Operating Model'!H84</f>
        <v>0.41716227769066117</v>
      </c>
      <c r="I8" s="27">
        <f>'Operating Model'!I86/'Operating Model'!I84</f>
        <v>0.41716227769066122</v>
      </c>
      <c r="J8" s="27">
        <f>'Operating Model'!J86/'Operating Model'!J84</f>
        <v>0.41716227769066122</v>
      </c>
      <c r="K8" s="27">
        <f>'Operating Model'!K86/'Operating Model'!K84</f>
        <v>0.41716227769066117</v>
      </c>
      <c r="L8" s="27">
        <f>'Operating Model'!L86/'Operating Model'!L84</f>
        <v>0.41716227769066117</v>
      </c>
    </row>
    <row r="9" spans="3:12" x14ac:dyDescent="0.25">
      <c r="C9" s="77" t="s">
        <v>160</v>
      </c>
      <c r="E9" s="27">
        <f>'Operating Model'!E95/'Operating Model'!E84</f>
        <v>0.41704848808929845</v>
      </c>
      <c r="F9" s="27">
        <f>'Operating Model'!F95/'Operating Model'!F84</f>
        <v>0.39949254060413675</v>
      </c>
      <c r="G9" s="27">
        <f>'Operating Model'!G95/'Operating Model'!G84</f>
        <v>0.26356591158792847</v>
      </c>
      <c r="H9" s="27">
        <f>'Operating Model'!H95/'Operating Model'!H84</f>
        <v>0.36003564676045452</v>
      </c>
      <c r="I9" s="27">
        <f>'Operating Model'!I95/'Operating Model'!I84</f>
        <v>0.36003564676045452</v>
      </c>
      <c r="J9" s="27">
        <f>'Operating Model'!J95/'Operating Model'!J84</f>
        <v>0.36003564676045458</v>
      </c>
      <c r="K9" s="27">
        <f>'Operating Model'!K95/'Operating Model'!K84</f>
        <v>0.36003564676045458</v>
      </c>
      <c r="L9" s="27">
        <f>'Operating Model'!L95/'Operating Model'!L84</f>
        <v>0.36003564676045463</v>
      </c>
    </row>
    <row r="10" spans="3:12" x14ac:dyDescent="0.25">
      <c r="C10" s="77" t="s">
        <v>161</v>
      </c>
      <c r="E10" s="27">
        <f>('Operating Model'!E95+'Operating Model'!E165)/'Operating Model'!E84</f>
        <v>0.4394950928074513</v>
      </c>
      <c r="F10" s="27">
        <f>('Operating Model'!F95+'Operating Model'!F165)/'Operating Model'!F84</f>
        <v>0.42516922893931997</v>
      </c>
      <c r="G10" s="27">
        <f>('Operating Model'!G95+'Operating Model'!G165)/'Operating Model'!G84</f>
        <v>0.27560384198306337</v>
      </c>
      <c r="H10" s="27">
        <f>('Operating Model'!H95+'Operating Model'!H165)/'Operating Model'!H84</f>
        <v>0.36911357248935539</v>
      </c>
      <c r="I10" s="27">
        <f>('Operating Model'!I95+'Operating Model'!I165)/'Operating Model'!I84</f>
        <v>0.36697633441158367</v>
      </c>
      <c r="J10" s="27">
        <f>('Operating Model'!J95+'Operating Model'!J165)/'Operating Model'!J84</f>
        <v>0.3656726690167918</v>
      </c>
      <c r="K10" s="27">
        <f>('Operating Model'!K95+'Operating Model'!K165)/'Operating Model'!K84</f>
        <v>0.36470106112124356</v>
      </c>
      <c r="L10" s="27">
        <f>('Operating Model'!L95+'Operating Model'!L165)/'Operating Model'!L84</f>
        <v>0.36414829236710694</v>
      </c>
    </row>
    <row r="11" spans="3:12" x14ac:dyDescent="0.25">
      <c r="C11" s="77" t="s">
        <v>162</v>
      </c>
      <c r="E11" s="27">
        <f>'Operating Model'!E105/'Operating Model'!E84</f>
        <v>0.4296834013025877</v>
      </c>
      <c r="F11" s="27">
        <f>'Operating Model'!F105/'Operating Model'!F84</f>
        <v>0.44904766874744029</v>
      </c>
      <c r="G11" s="27">
        <f>'Operating Model'!G105/'Operating Model'!G84</f>
        <v>0.25976930884704152</v>
      </c>
      <c r="H11" s="27">
        <f>'Operating Model'!H105/'Operating Model'!H84</f>
        <v>0.38006163550156125</v>
      </c>
      <c r="I11" s="27">
        <f>'Operating Model'!I105/'Operating Model'!I84</f>
        <v>0.38006163550156119</v>
      </c>
      <c r="J11" s="27">
        <f>'Operating Model'!J105/'Operating Model'!J84</f>
        <v>0.38006163550156119</v>
      </c>
      <c r="K11" s="27">
        <f>'Operating Model'!K105/'Operating Model'!K84</f>
        <v>0.38006163550156119</v>
      </c>
      <c r="L11" s="27">
        <f>'Operating Model'!L105/'Operating Model'!L84</f>
        <v>0.38006163550156125</v>
      </c>
    </row>
    <row r="12" spans="3:12" x14ac:dyDescent="0.25">
      <c r="C12" s="77" t="s">
        <v>163</v>
      </c>
      <c r="E12" s="27">
        <f>'Operating Model'!E105/'Operating Model'!E154</f>
        <v>0.47510532594781252</v>
      </c>
      <c r="F12" s="27">
        <f>'Operating Model'!F105/'Operating Model'!F154</f>
        <v>0.56784062901150567</v>
      </c>
      <c r="G12" s="27">
        <f>'Operating Model'!G105/'Operating Model'!G154</f>
        <v>0.58132332351316385</v>
      </c>
      <c r="H12" s="27">
        <f>'Operating Model'!H105/'Operating Model'!H154</f>
        <v>0.87849478635747402</v>
      </c>
      <c r="I12" s="27">
        <f>'Operating Model'!I105/'Operating Model'!I154</f>
        <v>0.90223644668944714</v>
      </c>
      <c r="J12" s="27">
        <f>'Operating Model'!J105/'Operating Model'!J154</f>
        <v>0.89179087795820022</v>
      </c>
      <c r="K12" s="27">
        <f>'Operating Model'!K105/'Operating Model'!K154</f>
        <v>0.88326923018143633</v>
      </c>
      <c r="L12" s="27">
        <f>'Operating Model'!L105/'Operating Model'!L154</f>
        <v>0.84588538352590659</v>
      </c>
    </row>
    <row r="13" spans="3:12" x14ac:dyDescent="0.25">
      <c r="C13" s="77" t="s">
        <v>164</v>
      </c>
      <c r="E13" s="27">
        <f>'Operating Model'!E95*(1-(-'Operating Model'!E104)/'Operating Model'!E103)/('Operating Model'!E154+'Operating Model'!E134+'Operating Model'!E138-'Operating Model'!E112)</f>
        <v>0.44135390292910376</v>
      </c>
      <c r="F13" s="27">
        <f>'Operating Model'!F95*(1-(-'Operating Model'!F104)/'Operating Model'!F103)/('Operating Model'!F154+'Operating Model'!F134+'Operating Model'!F138-'Operating Model'!F112)</f>
        <v>0.58195038013909839</v>
      </c>
      <c r="G13" s="27">
        <f>'Operating Model'!G95*(1-(-'Operating Model'!G104)/'Operating Model'!G103)/('Operating Model'!G154+'Operating Model'!G134+'Operating Model'!G138-'Operating Model'!G112)</f>
        <v>0.28286112766461324</v>
      </c>
      <c r="H13" s="27" t="str">
        <f>IF(('Operating Model'!H154+'Operating Model'!H134+'Operating Model'!H138-'Operating Model'!H112)&lt;0, "N/M", 'Operating Model'!H95*(1-ABS('Operating Model'!H104)/'Operating Model'!H103)/ ('Operating Model'!H154+'Operating Model'!H134+'Operating Model'!H138-'Operating Model'!H112))</f>
        <v>N/M</v>
      </c>
      <c r="I13" s="27" t="str">
        <f>IF(('Operating Model'!I154+'Operating Model'!I134+'Operating Model'!I138-'Operating Model'!I112)&lt;0, "N/M", 'Operating Model'!I95*(1-ABS('Operating Model'!I104)/'Operating Model'!I103)/ ('Operating Model'!I154+'Operating Model'!I134+'Operating Model'!I138-'Operating Model'!I112))</f>
        <v>N/M</v>
      </c>
      <c r="J13" s="27" t="str">
        <f>IF(('Operating Model'!J154+'Operating Model'!J134+'Operating Model'!J138-'Operating Model'!J112)&lt;0, "N/M", 'Operating Model'!J95*(1-ABS('Operating Model'!J104)/'Operating Model'!J103)/ ('Operating Model'!J154+'Operating Model'!J134+'Operating Model'!J138-'Operating Model'!J112))</f>
        <v>N/M</v>
      </c>
      <c r="K13" s="27">
        <f>IF(('Operating Model'!K154+'Operating Model'!K134+'Operating Model'!K138-'Operating Model'!K112)&lt;0, "N/M", 'Operating Model'!K95*(1-ABS('Operating Model'!K104)/'Operating Model'!K103)/ ('Operating Model'!K154+'Operating Model'!K134+'Operating Model'!K138-'Operating Model'!K112))</f>
        <v>33.756597218539163</v>
      </c>
      <c r="L13" s="27">
        <f>IF(('Operating Model'!L154+'Operating Model'!L134+'Operating Model'!L138-'Operating Model'!L112)&lt;0, "N/M", 'Operating Model'!L95*(1-ABS('Operating Model'!L104)/'Operating Model'!L103)/ ('Operating Model'!L154+'Operating Model'!L134+'Operating Model'!L138-'Operating Model'!L112))</f>
        <v>18.893433984250777</v>
      </c>
    </row>
    <row r="14" spans="3:12" x14ac:dyDescent="0.25">
      <c r="C14" s="77" t="s">
        <v>165</v>
      </c>
      <c r="E14" s="75">
        <f>E13-WACC!$E$20</f>
        <v>0.1385789514353884</v>
      </c>
      <c r="F14" s="75">
        <f>F13-WACC!$E$20</f>
        <v>0.27917542864538303</v>
      </c>
      <c r="G14" s="75">
        <f>G13-WACC!$E$20</f>
        <v>-1.9913823829102117E-2</v>
      </c>
      <c r="H14" s="75" t="str">
        <f>IF(Ratios!H13="N/M","N/M",Ratios!H13-WACC!E20)</f>
        <v>N/M</v>
      </c>
      <c r="I14" s="75" t="str">
        <f>IF(Ratios!I13="N/M","N/M",Ratios!I13-WACC!F20)</f>
        <v>N/M</v>
      </c>
      <c r="J14" s="75" t="str">
        <f>IF(Ratios!J13="N/M","N/M",Ratios!J13-WACC!G20)</f>
        <v>N/M</v>
      </c>
      <c r="K14" s="75">
        <f>IF(Ratios!K13="N/M","N/M",Ratios!K13-WACC!H20)</f>
        <v>33.756597218539163</v>
      </c>
      <c r="L14" s="75">
        <f>IF(Ratios!L13="N/M","N/M",Ratios!L13-WACC!I20)</f>
        <v>18.893433984250777</v>
      </c>
    </row>
    <row r="16" spans="3:12" x14ac:dyDescent="0.25">
      <c r="C16" s="78" t="s">
        <v>166</v>
      </c>
    </row>
    <row r="17" spans="3:12" x14ac:dyDescent="0.25">
      <c r="C17" s="77" t="s">
        <v>167</v>
      </c>
      <c r="E17" s="75">
        <f>'Operating Model'!E119/'Operating Model'!E141</f>
        <v>1.8954477132195398</v>
      </c>
      <c r="F17" s="75">
        <f>'Operating Model'!F119/'Operating Model'!F141</f>
        <v>1.6056446646285014</v>
      </c>
      <c r="G17" s="75">
        <f>'Operating Model'!G119/'Operating Model'!G141</f>
        <v>1.4014497841794096</v>
      </c>
      <c r="H17" s="75">
        <f>'Operating Model'!H119/'Operating Model'!H141</f>
        <v>1.3223911811723199</v>
      </c>
      <c r="I17" s="75">
        <f>'Operating Model'!I119/'Operating Model'!I141</f>
        <v>1.3791093282460258</v>
      </c>
      <c r="J17" s="75">
        <f>'Operating Model'!J119/'Operating Model'!J141</f>
        <v>1.4398079223820361</v>
      </c>
      <c r="K17" s="75">
        <f>'Operating Model'!K119/'Operating Model'!K141</f>
        <v>1.4977105601451648</v>
      </c>
      <c r="L17" s="75">
        <f>'Operating Model'!L119/'Operating Model'!L141</f>
        <v>1.5633014288409723</v>
      </c>
    </row>
    <row r="18" spans="3:12" x14ac:dyDescent="0.25">
      <c r="C18" s="77" t="s">
        <v>168</v>
      </c>
      <c r="E18" s="75">
        <f>('Operating Model'!E112+'Operating Model'!E114+'Operating Model'!E116+'Operating Model'!E117)/'Operating Model'!E141</f>
        <v>0.42322478888049159</v>
      </c>
      <c r="F18" s="75">
        <f>('Operating Model'!F112+'Operating Model'!F114+'Operating Model'!F116+'Operating Model'!F117)/'Operating Model'!F141</f>
        <v>0.49313583853510756</v>
      </c>
      <c r="G18" s="75">
        <f>('Operating Model'!G112+'Operating Model'!G114+'Operating Model'!G116+'Operating Model'!G117)/'Operating Model'!G141</f>
        <v>9.4999926676905766E-2</v>
      </c>
      <c r="H18" s="75">
        <f>('Operating Model'!H112+'Operating Model'!H114+'Operating Model'!H116+'Operating Model'!H117)/'Operating Model'!H141</f>
        <v>0.85704870513358267</v>
      </c>
      <c r="I18" s="75">
        <f>('Operating Model'!I112+'Operating Model'!I114+'Operating Model'!I116+'Operating Model'!I117)/'Operating Model'!I141</f>
        <v>0.861997242985581</v>
      </c>
      <c r="J18" s="75">
        <f>('Operating Model'!J112+'Operating Model'!J114+'Operating Model'!J116+'Operating Model'!J117)/'Operating Model'!J141</f>
        <v>0.88070775557322978</v>
      </c>
      <c r="K18" s="75">
        <f>('Operating Model'!K112+'Operating Model'!K114+'Operating Model'!K116+'Operating Model'!K117)/'Operating Model'!K141</f>
        <v>0.8976304531719278</v>
      </c>
      <c r="L18" s="75">
        <f>('Operating Model'!L112+'Operating Model'!L114+'Operating Model'!L116+'Operating Model'!L117)/'Operating Model'!L141</f>
        <v>0.93287568890566164</v>
      </c>
    </row>
    <row r="19" spans="3:12" x14ac:dyDescent="0.25">
      <c r="C19" s="77" t="s">
        <v>169</v>
      </c>
      <c r="E19" s="75">
        <f>'Operating Model'!E112/'Operating Model'!E141</f>
        <v>0.33918182607105818</v>
      </c>
      <c r="F19" s="75">
        <f>'Operating Model'!F112/'Operating Model'!F141</f>
        <v>0.36983532165451666</v>
      </c>
      <c r="G19" s="75">
        <f>'Operating Model'!G112/'Operating Model'!G141</f>
        <v>6.8263235261464307E-3</v>
      </c>
      <c r="H19" s="75">
        <f>'Operating Model'!H112/'Operating Model'!H141</f>
        <v>0.73771997463862571</v>
      </c>
      <c r="I19" s="75">
        <f>'Operating Model'!I112/'Operating Model'!I141</f>
        <v>0.73915182722513839</v>
      </c>
      <c r="J19" s="75">
        <f>'Operating Model'!J112/'Operating Model'!J141</f>
        <v>0.755010109132915</v>
      </c>
      <c r="K19" s="75">
        <f>'Operating Model'!K112/'Operating Model'!K141</f>
        <v>0.76914905862295779</v>
      </c>
      <c r="L19" s="75">
        <f>'Operating Model'!L112/'Operating Model'!L141</f>
        <v>0.80233292974695414</v>
      </c>
    </row>
    <row r="21" spans="3:12" x14ac:dyDescent="0.25">
      <c r="C21" s="78" t="s">
        <v>170</v>
      </c>
    </row>
    <row r="22" spans="3:12" x14ac:dyDescent="0.25">
      <c r="C22" s="77" t="s">
        <v>171</v>
      </c>
      <c r="E22" s="85">
        <f>('Operating Model'!E134+'Operating Model'!E138)</f>
        <v>307543</v>
      </c>
      <c r="F22" s="85">
        <f>('Operating Model'!F134+'Operating Model'!F138)</f>
        <v>970522</v>
      </c>
      <c r="G22" s="85">
        <f>('Operating Model'!G134+'Operating Model'!G138)</f>
        <v>11480259</v>
      </c>
      <c r="H22" s="85">
        <f>('Operating Model'!H134+'Operating Model'!H138)</f>
        <v>11480259</v>
      </c>
      <c r="I22" s="85">
        <f>('Operating Model'!I134+'Operating Model'!I138)</f>
        <v>11480259</v>
      </c>
      <c r="J22" s="85">
        <f>('Operating Model'!J134+'Operating Model'!J138)</f>
        <v>11480259</v>
      </c>
      <c r="K22" s="85">
        <f>('Operating Model'!K134+'Operating Model'!K138)</f>
        <v>11480259</v>
      </c>
      <c r="L22" s="85">
        <f>('Operating Model'!L134+'Operating Model'!L138)</f>
        <v>11480259</v>
      </c>
    </row>
    <row r="23" spans="3:12" x14ac:dyDescent="0.25">
      <c r="C23" s="77" t="s">
        <v>172</v>
      </c>
      <c r="E23" s="85">
        <f>('Operating Model'!E134+'Operating Model'!E138)-'Operating Model'!E112</f>
        <v>-2913021</v>
      </c>
      <c r="F23" s="85">
        <f>('Operating Model'!F134+'Operating Model'!F138)-'Operating Model'!F112</f>
        <v>-4931968</v>
      </c>
      <c r="G23" s="85">
        <f>('Operating Model'!G134+'Operating Model'!G138)-'Operating Model'!G112</f>
        <v>11299181</v>
      </c>
      <c r="H23" s="85">
        <f>('Operating Model'!H134+'Operating Model'!H138)-'Operating Model'!H112</f>
        <v>-21329054.398721311</v>
      </c>
      <c r="I23" s="85">
        <f>('Operating Model'!I134+'Operating Model'!I138)-'Operating Model'!I112</f>
        <v>-25221774.622805491</v>
      </c>
      <c r="J23" s="85">
        <f>('Operating Model'!J134+'Operating Model'!J138)-'Operating Model'!J112</f>
        <v>-29920396.815012112</v>
      </c>
      <c r="K23" s="85">
        <f>('Operating Model'!K134+'Operating Model'!K138)-'Operating Model'!K112</f>
        <v>-35477022.338962175</v>
      </c>
      <c r="L23" s="85">
        <f>('Operating Model'!L134+'Operating Model'!L138)-'Operating Model'!L112</f>
        <v>-41991774.457495347</v>
      </c>
    </row>
    <row r="24" spans="3:12" x14ac:dyDescent="0.25">
      <c r="C24" s="77" t="s">
        <v>173</v>
      </c>
      <c r="E24" s="79">
        <f>('Operating Model'!E134+'Operating Model'!E138)/'Operating Model'!E154</f>
        <v>1.9082612685377174E-2</v>
      </c>
      <c r="F24" s="79">
        <f>('Operating Model'!F134+'Operating Model'!F138)/'Operating Model'!F154</f>
        <v>6.0023194836378191E-2</v>
      </c>
      <c r="G24" s="79">
        <f>('Operating Model'!G134+'Operating Model'!G138)/'Operating Model'!G154</f>
        <v>0.68725974887089603</v>
      </c>
      <c r="H24" s="79">
        <f>('Operating Model'!H134+'Operating Model'!H138)/'Operating Model'!H154</f>
        <v>0.56789251245251227</v>
      </c>
      <c r="I24" s="79">
        <f>('Operating Model'!I134+'Operating Model'!I138)/'Operating Model'!I154</f>
        <v>0.4665920212559615</v>
      </c>
      <c r="J24" s="79">
        <f>('Operating Model'!J134+'Operating Model'!J138)/'Operating Model'!J154</f>
        <v>0.38432507521627629</v>
      </c>
      <c r="K24" s="79">
        <f>('Operating Model'!K134+'Operating Model'!K138)/'Operating Model'!K154</f>
        <v>0.31721049717294647</v>
      </c>
      <c r="L24" s="79">
        <f>('Operating Model'!L134+'Operating Model'!L138)/'Operating Model'!L154</f>
        <v>0.264160652947936</v>
      </c>
    </row>
    <row r="25" spans="3:12" x14ac:dyDescent="0.25">
      <c r="C25" s="77" t="s">
        <v>174</v>
      </c>
      <c r="E25" s="79">
        <f>('Operating Model'!E134+'Operating Model'!E138)/('Operating Model'!E95+'Operating Model'!E165)</f>
        <v>3.9268334662949871E-2</v>
      </c>
      <c r="F25" s="79">
        <f>('Operating Model'!F134+'Operating Model'!F138)/('Operating Model'!F95+'Operating Model'!F165)</f>
        <v>0.11164088363280518</v>
      </c>
      <c r="G25" s="79">
        <f>('Operating Model'!G134+'Operating Model'!G138)/('Operating Model'!G95+'Operating Model'!G165)</f>
        <v>1.1143092423751373</v>
      </c>
      <c r="H25" s="79">
        <f>('Operating Model'!H134+'Operating Model'!H138)/('Operating Model'!H95+'Operating Model'!H165)</f>
        <v>0.6656117384893635</v>
      </c>
      <c r="I25" s="79">
        <f>('Operating Model'!I134+'Operating Model'!I138)/('Operating Model'!I95+'Operating Model'!I165)</f>
        <v>0.53559056243470815</v>
      </c>
      <c r="J25" s="79">
        <f>('Operating Model'!J134+'Operating Model'!J138)/('Operating Model'!J95+'Operating Model'!J165)</f>
        <v>0.44791667065749002</v>
      </c>
      <c r="K25" s="79">
        <f>('Operating Model'!K134+'Operating Model'!K138)/('Operating Model'!K95+'Operating Model'!K165)</f>
        <v>0.37425831253154301</v>
      </c>
      <c r="L25" s="79">
        <f>('Operating Model'!L134+'Operating Model'!L138)/('Operating Model'!L95+'Operating Model'!L165)</f>
        <v>0.32593602440379327</v>
      </c>
    </row>
    <row r="26" spans="3:12" x14ac:dyDescent="0.25">
      <c r="C26" s="77" t="s">
        <v>175</v>
      </c>
      <c r="E26" s="79">
        <f>(('Operating Model'!E134+'Operating Model'!E138)-'Operating Model'!E112)/('Operating Model'!E95+'Operating Model'!E165)</f>
        <v>-0.37194630834777864</v>
      </c>
      <c r="F26" s="79">
        <f>(('Operating Model'!F134+'Operating Model'!F138)-'Operating Model'!F112)/('Operating Model'!F95+'Operating Model'!F165)</f>
        <v>-0.56733311101522577</v>
      </c>
      <c r="G26" s="79">
        <f>(('Operating Model'!G134+'Operating Model'!G138)-'Operating Model'!G112)/('Operating Model'!G95+'Operating Model'!G165)</f>
        <v>1.0967332548481308</v>
      </c>
      <c r="H26" s="79">
        <f>(('Operating Model'!H134+'Operating Model'!H138)-'Operating Model'!H112)/('Operating Model'!H95+'Operating Model'!H165)</f>
        <v>-1.236633161208915</v>
      </c>
      <c r="I26" s="79">
        <f>(('Operating Model'!I134+'Operating Model'!I138)-'Operating Model'!I112)/('Operating Model'!I95+'Operating Model'!I165)</f>
        <v>-1.1766759317738251</v>
      </c>
      <c r="J26" s="79">
        <f>(('Operating Model'!J134+'Operating Model'!J138)-'Operating Model'!J112)/('Operating Model'!J95+'Operating Model'!J165)</f>
        <v>-1.1673817224969572</v>
      </c>
      <c r="K26" s="79">
        <f>(('Operating Model'!K134+'Operating Model'!K138)-'Operating Model'!K112)/('Operating Model'!K95+'Operating Model'!K165)</f>
        <v>-1.1565567043586595</v>
      </c>
      <c r="L26" s="79">
        <f>(('Operating Model'!L134+'Operating Model'!L138)-'Operating Model'!L112)/('Operating Model'!L95+'Operating Model'!L165)</f>
        <v>-1.1921884361961508</v>
      </c>
    </row>
    <row r="27" spans="3:12" x14ac:dyDescent="0.25">
      <c r="C27" s="77" t="s">
        <v>176</v>
      </c>
      <c r="E27" s="108" t="str">
        <f>IF('Operating Model'!E98&lt;0,-'Operating Model'!E95/'Operating Model'!E98,"N/M")</f>
        <v>N/M</v>
      </c>
      <c r="F27" s="108" t="str">
        <f>IF('Operating Model'!F98&lt;0,-'Operating Model'!F95/'Operating Model'!F98,"N/M")</f>
        <v>N/M</v>
      </c>
      <c r="G27" s="108">
        <f>IF('Operating Model'!G98&lt;0,-'Operating Model'!G95/'Operating Model'!G98,"N/M")</f>
        <v>11.582357809403119</v>
      </c>
      <c r="H27" s="108" t="str">
        <f>IF('Operating Model'!H98&lt;0,-'Operating Model'!H95/'Operating Model'!H98,"N/M")</f>
        <v>N/M</v>
      </c>
      <c r="I27" s="108" t="str">
        <f>IF('Operating Model'!I98&lt;0,-'Operating Model'!I95/'Operating Model'!I98,"N/M")</f>
        <v>N/M</v>
      </c>
      <c r="J27" s="108" t="str">
        <f>IF('Operating Model'!J98&lt;0,-'Operating Model'!J95/'Operating Model'!J98,"N/M")</f>
        <v>N/M</v>
      </c>
      <c r="K27" s="108" t="str">
        <f>IF('Operating Model'!K98&lt;0,-'Operating Model'!K95/'Operating Model'!K98,"N/M")</f>
        <v>N/M</v>
      </c>
      <c r="L27" s="108" t="str">
        <f>IF('Operating Model'!L98&lt;0,-'Operating Model'!L95/'Operating Model'!L98,"N/M")</f>
        <v>N/M</v>
      </c>
    </row>
    <row r="28" spans="3:12" x14ac:dyDescent="0.25">
      <c r="C28" s="77"/>
    </row>
    <row r="29" spans="3:12" x14ac:dyDescent="0.25">
      <c r="C29" s="78" t="s">
        <v>177</v>
      </c>
    </row>
    <row r="30" spans="3:12" x14ac:dyDescent="0.25">
      <c r="C30" s="77" t="s">
        <v>178</v>
      </c>
      <c r="E30" s="79">
        <f>'Operating Model'!E84/'Operating Model'!E128</f>
        <v>0.67754973992947953</v>
      </c>
      <c r="F30" s="79">
        <f>'Operating Model'!F84/'Operating Model'!F128</f>
        <v>0.62213948759217885</v>
      </c>
      <c r="G30" s="79">
        <f>'Operating Model'!G84/'Operating Model'!G128</f>
        <v>0.8574620122091714</v>
      </c>
      <c r="H30" s="79">
        <f>'Operating Model'!H84/'Operating Model'!H128</f>
        <v>0.71827846357700109</v>
      </c>
      <c r="I30" s="79">
        <f>'Operating Model'!I84/'Operating Model'!I128</f>
        <v>0.78271409304677841</v>
      </c>
      <c r="J30" s="79">
        <f>'Operating Model'!J84/'Operating Model'!J128</f>
        <v>0.82391238944007372</v>
      </c>
      <c r="K30" s="79">
        <f>'Operating Model'!K84/'Operating Model'!K128</f>
        <v>0.86170923949570843</v>
      </c>
      <c r="L30" s="79">
        <f>'Operating Model'!L84/'Operating Model'!L128</f>
        <v>0.87558043524767293</v>
      </c>
    </row>
    <row r="31" spans="3:12" x14ac:dyDescent="0.25">
      <c r="C31" s="77" t="s">
        <v>179</v>
      </c>
      <c r="E31" s="109">
        <f>('Operating Model'!E114+'Operating Model'!E116+'Operating Model'!E117)/'Operating Model'!E84*365</f>
        <v>16.344974460533734</v>
      </c>
      <c r="F31" s="109">
        <f>('Operating Model'!F114+'Operating Model'!F116+'Operating Model'!F117)/'Operating Model'!F84*365</f>
        <v>35.128883036668952</v>
      </c>
      <c r="G31" s="109">
        <f>('Operating Model'!G114+'Operating Model'!G116+'Operating Model'!G117)/'Operating Model'!G84*365</f>
        <v>22.837554068029981</v>
      </c>
      <c r="H31" s="109">
        <f>('Operating Model'!H114+'Operating Model'!H116+'Operating Model'!H117)/'Operating Model'!H84*365</f>
        <v>41.454605366788378</v>
      </c>
      <c r="I31" s="109">
        <f>('Operating Model'!I114+'Operating Model'!I116+'Operating Model'!I117)/'Operating Model'!I84*365</f>
        <v>38.117778397779546</v>
      </c>
      <c r="J31" s="109">
        <f>('Operating Model'!J114+'Operating Model'!J116+'Operating Model'!J117)/'Operating Model'!J84*365</f>
        <v>35.893227085106986</v>
      </c>
      <c r="K31" s="109">
        <f>('Operating Model'!K114+'Operating Model'!K116+'Operating Model'!K117)/'Operating Model'!K84*365</f>
        <v>34.039434324546534</v>
      </c>
      <c r="L31" s="109">
        <f>('Operating Model'!L114+'Operating Model'!L116+'Operating Model'!L117)/'Operating Model'!L84*365</f>
        <v>32.830439045920144</v>
      </c>
    </row>
    <row r="32" spans="3:12" x14ac:dyDescent="0.25">
      <c r="C32" s="77" t="s">
        <v>180</v>
      </c>
      <c r="E32" s="109">
        <f>'Operating Model'!E113/-'Operating Model'!E85*365</f>
        <v>152.5158306409522</v>
      </c>
      <c r="F32" s="109">
        <f>'Operating Model'!F113/-'Operating Model'!F85*365</f>
        <v>160.64416297308577</v>
      </c>
      <c r="G32" s="109">
        <f>'Operating Model'!G113/-'Operating Model'!G85*365</f>
        <v>487.94595704919323</v>
      </c>
      <c r="H32" s="109">
        <f>'Operating Model'!H113/-'Operating Model'!H85*365</f>
        <v>267.0353168877437</v>
      </c>
      <c r="I32" s="109">
        <f>'Operating Model'!I113/-'Operating Model'!I85*365</f>
        <v>267.0353168877437</v>
      </c>
      <c r="J32" s="109">
        <f>'Operating Model'!J113/-'Operating Model'!J85*365</f>
        <v>267.0353168877437</v>
      </c>
      <c r="K32" s="109">
        <f>'Operating Model'!K113/-'Operating Model'!K85*365</f>
        <v>267.0353168877437</v>
      </c>
      <c r="L32" s="109">
        <f>'Operating Model'!L113/-'Operating Model'!L85*365</f>
        <v>267.0353168877437</v>
      </c>
    </row>
    <row r="33" spans="3:12" x14ac:dyDescent="0.25">
      <c r="C33" s="77" t="s">
        <v>181</v>
      </c>
      <c r="E33" s="109">
        <f>('Operating Model'!E135+'Operating Model'!E136)/-'Operating Model'!E85*365</f>
        <v>270.54830389143945</v>
      </c>
      <c r="F33" s="109">
        <f>('Operating Model'!F135+'Operating Model'!F136)/-'Operating Model'!F85*365</f>
        <v>409.98999724405689</v>
      </c>
      <c r="G33" s="109">
        <f>('Operating Model'!G135+'Operating Model'!G136)/-'Operating Model'!G85*365</f>
        <v>152.59025181740475</v>
      </c>
      <c r="H33" s="109">
        <f>('Operating Model'!H135+'Operating Model'!H136)/-'Operating Model'!H85*365</f>
        <v>382.5496814965079</v>
      </c>
      <c r="I33" s="109">
        <f>('Operating Model'!I135+'Operating Model'!I136)/-'Operating Model'!I85*365</f>
        <v>361.58164872739968</v>
      </c>
      <c r="J33" s="109">
        <f>('Operating Model'!J135+'Operating Model'!J136)/-'Operating Model'!J85*365</f>
        <v>347.60296021466092</v>
      </c>
      <c r="K33" s="109">
        <f>('Operating Model'!K135+'Operating Model'!K136)/-'Operating Model'!K85*365</f>
        <v>335.95405312071193</v>
      </c>
      <c r="L33" s="109">
        <f>('Operating Model'!L135+'Operating Model'!L136)/-'Operating Model'!L85*365</f>
        <v>328.35693979857132</v>
      </c>
    </row>
    <row r="34" spans="3:12" x14ac:dyDescent="0.25">
      <c r="C34" s="77" t="s">
        <v>182</v>
      </c>
      <c r="E34" s="80">
        <f>SUM(E31:E33)</f>
        <v>439.40910899292538</v>
      </c>
      <c r="F34" s="80">
        <f t="shared" ref="F34:L34" si="0">SUM(F31:F33)</f>
        <v>605.76304325381159</v>
      </c>
      <c r="G34" s="80">
        <f t="shared" si="0"/>
        <v>663.37376293462796</v>
      </c>
      <c r="H34" s="80">
        <f t="shared" si="0"/>
        <v>691.03960375103998</v>
      </c>
      <c r="I34" s="80">
        <f t="shared" si="0"/>
        <v>666.73474401292287</v>
      </c>
      <c r="J34" s="80">
        <f t="shared" si="0"/>
        <v>650.53150418751159</v>
      </c>
      <c r="K34" s="80">
        <f t="shared" si="0"/>
        <v>637.0288043330022</v>
      </c>
      <c r="L34" s="80">
        <f t="shared" si="0"/>
        <v>628.22269573223525</v>
      </c>
    </row>
    <row r="35" spans="3:12" x14ac:dyDescent="0.25">
      <c r="C35" s="77"/>
    </row>
    <row r="36" spans="3:12" x14ac:dyDescent="0.25">
      <c r="C36" s="78" t="s">
        <v>183</v>
      </c>
    </row>
    <row r="37" spans="3:12" x14ac:dyDescent="0.25">
      <c r="C37" s="77" t="s">
        <v>184</v>
      </c>
      <c r="E37" s="107">
        <f>DCF!L70</f>
        <v>3000000</v>
      </c>
      <c r="F37" s="80">
        <f>E37</f>
        <v>3000000</v>
      </c>
      <c r="G37" s="80">
        <f t="shared" ref="G37:L37" si="1">F37</f>
        <v>3000000</v>
      </c>
      <c r="H37" s="80">
        <f t="shared" si="1"/>
        <v>3000000</v>
      </c>
      <c r="I37" s="80">
        <f t="shared" si="1"/>
        <v>3000000</v>
      </c>
      <c r="J37" s="80">
        <f t="shared" si="1"/>
        <v>3000000</v>
      </c>
      <c r="K37" s="80">
        <f t="shared" si="1"/>
        <v>3000000</v>
      </c>
      <c r="L37" s="80">
        <f t="shared" si="1"/>
        <v>3000000</v>
      </c>
    </row>
    <row r="38" spans="3:12" x14ac:dyDescent="0.25">
      <c r="C38" s="77" t="s">
        <v>10</v>
      </c>
      <c r="F38" s="27">
        <f>'Operating Model'!F84/'Operating Model'!E84-1</f>
        <v>0.14738973764801222</v>
      </c>
      <c r="G38" s="27">
        <f>'Operating Model'!G84/'Operating Model'!F84-1</f>
        <v>0.82827024905213897</v>
      </c>
      <c r="H38" s="27">
        <f>'Operating Model'!H84/'Operating Model'!G84-1</f>
        <v>0.25</v>
      </c>
      <c r="I38" s="27">
        <f>'Operating Model'!I84/'Operating Model'!H84-1</f>
        <v>0.25</v>
      </c>
      <c r="J38" s="27">
        <f>'Operating Model'!J84/'Operating Model'!I84-1</f>
        <v>0.19999999999999996</v>
      </c>
      <c r="K38" s="27">
        <f>'Operating Model'!K84/'Operating Model'!J84-1</f>
        <v>0.19999999999999996</v>
      </c>
      <c r="L38" s="27">
        <f>'Operating Model'!L84/'Operating Model'!K84-1</f>
        <v>0.14999999999999991</v>
      </c>
    </row>
    <row r="39" spans="3:12" x14ac:dyDescent="0.25">
      <c r="C39" s="77" t="s">
        <v>185</v>
      </c>
      <c r="F39" s="27">
        <f>('Operating Model'!F95+'Operating Model'!F165)/('Operating Model'!E95+'Operating Model'!E165)-1</f>
        <v>0.10998920814440361</v>
      </c>
      <c r="G39" s="27">
        <f>('Operating Model'!G95+'Operating Model'!G165)/('Operating Model'!F95+'Operating Model'!F165)-1</f>
        <v>0.18512411182516453</v>
      </c>
      <c r="H39" s="27">
        <f>('Operating Model'!H95+'Operating Model'!H165)/('Operating Model'!G95+'Operating Model'!G165)-1</f>
        <v>0.67411296697398004</v>
      </c>
      <c r="I39" s="27">
        <f>('Operating Model'!I95+'Operating Model'!I165)/('Operating Model'!H95+'Operating Model'!H165)-1</f>
        <v>0.24276226127585243</v>
      </c>
      <c r="J39" s="27">
        <f>('Operating Model'!J95+'Operating Model'!J165)/('Operating Model'!I95+'Operating Model'!I165)-1</f>
        <v>0.19573705896796145</v>
      </c>
      <c r="K39" s="27">
        <f>('Operating Model'!K95+'Operating Model'!K165)/('Operating Model'!J95+'Operating Model'!J165)-1</f>
        <v>0.19681154876082796</v>
      </c>
      <c r="L39" s="27">
        <f>('Operating Model'!L95+'Operating Model'!L165)/('Operating Model'!K95+'Operating Model'!K165)-1</f>
        <v>0.14825697225749002</v>
      </c>
    </row>
    <row r="40" spans="3:12" x14ac:dyDescent="0.25">
      <c r="C40" s="77" t="s">
        <v>186</v>
      </c>
      <c r="E40" s="79">
        <f>'Operating Model'!E105/Ratios!E37</f>
        <v>2.5523289999999998</v>
      </c>
      <c r="F40" s="79">
        <f>'Operating Model'!F105/Ratios!F37</f>
        <v>3.0604936666666664</v>
      </c>
      <c r="G40" s="79">
        <f>'Operating Model'!G105/Ratios!G37</f>
        <v>3.236885</v>
      </c>
      <c r="H40" s="79">
        <f>'Operating Model'!H105/Ratios!H37</f>
        <v>5.9197515118830486</v>
      </c>
      <c r="I40" s="79">
        <f>'Operating Model'!I105/Ratios!I37</f>
        <v>7.3996893898538101</v>
      </c>
      <c r="J40" s="79">
        <f>'Operating Model'!J105/Ratios!J37</f>
        <v>8.8796272678245725</v>
      </c>
      <c r="K40" s="79">
        <f>'Operating Model'!K105/Ratios!K37</f>
        <v>10.655552721389487</v>
      </c>
      <c r="L40" s="79">
        <f>'Operating Model'!L105/Ratios!L37</f>
        <v>12.25388562959791</v>
      </c>
    </row>
    <row r="41" spans="3:12" x14ac:dyDescent="0.25">
      <c r="C41" s="77" t="s">
        <v>187</v>
      </c>
      <c r="F41" s="27">
        <f>F40/E40-1</f>
        <v>0.19909841821593788</v>
      </c>
      <c r="G41" s="27">
        <f t="shared" ref="G41:L41" si="2">G40/F40-1</f>
        <v>5.7634928395538854E-2</v>
      </c>
      <c r="H41" s="27">
        <f t="shared" si="2"/>
        <v>0.82884208486957323</v>
      </c>
      <c r="I41" s="27">
        <f t="shared" si="2"/>
        <v>0.24999999999999978</v>
      </c>
      <c r="J41" s="27">
        <f t="shared" si="2"/>
        <v>0.19999999999999996</v>
      </c>
      <c r="K41" s="27">
        <f t="shared" si="2"/>
        <v>0.19999999999999996</v>
      </c>
      <c r="L41" s="27">
        <f t="shared" si="2"/>
        <v>0.14999999999999991</v>
      </c>
    </row>
    <row r="42" spans="3:12" x14ac:dyDescent="0.25">
      <c r="C42" s="77" t="s">
        <v>188</v>
      </c>
      <c r="E42" s="81">
        <f>-'Operating Model'!E189/Ratios!E37</f>
        <v>1.2364566666666668</v>
      </c>
      <c r="F42" s="81">
        <f>-'Operating Model'!F189/Ratios!F37</f>
        <v>3.0371443333333334</v>
      </c>
      <c r="G42" s="81">
        <f>-'Operating Model'!G189/Ratios!G37</f>
        <v>3.0105026666666665</v>
      </c>
      <c r="H42" s="81">
        <f>-'Operating Model'!H189/Ratios!H37</f>
        <v>4.749367127024045</v>
      </c>
      <c r="I42" s="81">
        <f>-'Operating Model'!I189/Ratios!I37</f>
        <v>5.936708908780056</v>
      </c>
      <c r="J42" s="81">
        <f>-'Operating Model'!J189/Ratios!J37</f>
        <v>7.124050690536067</v>
      </c>
      <c r="K42" s="81">
        <f>-'Operating Model'!K189/Ratios!K37</f>
        <v>8.5488608286432797</v>
      </c>
      <c r="L42" s="81">
        <f>-'Operating Model'!L189/Ratios!L37</f>
        <v>9.8311899529397717</v>
      </c>
    </row>
    <row r="43" spans="3:12" x14ac:dyDescent="0.25">
      <c r="C43" s="77" t="s">
        <v>189</v>
      </c>
      <c r="E43" s="27">
        <f>-'Operating Model'!E189/'Operating Model'!E105</f>
        <v>0.48444250982795189</v>
      </c>
      <c r="F43" s="27">
        <f>-'Operating Model'!F189/'Operating Model'!F105</f>
        <v>0.99237072973303542</v>
      </c>
      <c r="G43" s="27">
        <f>-'Operating Model'!G189/'Operating Model'!G105</f>
        <v>0.93006166937245738</v>
      </c>
      <c r="H43" s="27">
        <f>-'Operating Model'!H189/'Operating Model'!H105</f>
        <v>0.80229163631114819</v>
      </c>
      <c r="I43" s="27">
        <f>-'Operating Model'!I189/'Operating Model'!I105</f>
        <v>0.8022916363111483</v>
      </c>
      <c r="J43" s="27">
        <f>-'Operating Model'!J189/'Operating Model'!J105</f>
        <v>0.80229163631114819</v>
      </c>
      <c r="K43" s="27">
        <f>-'Operating Model'!K189/'Operating Model'!K105</f>
        <v>0.80229163631114819</v>
      </c>
      <c r="L43" s="27">
        <f>-'Operating Model'!L189/'Operating Model'!L105</f>
        <v>0.80229163631114819</v>
      </c>
    </row>
    <row r="44" spans="3:12" x14ac:dyDescent="0.25">
      <c r="C44" s="77" t="s">
        <v>190</v>
      </c>
      <c r="E44" s="72">
        <f>E42/DCF!$I$8</f>
        <v>3.1278944261742138E-2</v>
      </c>
      <c r="F44" s="72">
        <f>F42/DCF!$I$8</f>
        <v>7.6831377013238888E-2</v>
      </c>
      <c r="G44" s="72">
        <f>G42/DCF!$I$8</f>
        <v>7.6157416308289053E-2</v>
      </c>
      <c r="H44" s="72">
        <f>H42/DCF!$I$8</f>
        <v>0.12014589241143549</v>
      </c>
      <c r="I44" s="72">
        <f>I42/DCF!$I$8</f>
        <v>0.15018236551429434</v>
      </c>
      <c r="J44" s="72">
        <f>J42/DCF!$I$8</f>
        <v>0.18021883861715321</v>
      </c>
      <c r="K44" s="72">
        <f>K42/DCF!$I$8</f>
        <v>0.21626260634058384</v>
      </c>
      <c r="L44" s="72">
        <f>L42/DCF!$I$8</f>
        <v>0.24870199729167142</v>
      </c>
    </row>
    <row r="45" spans="3:12" x14ac:dyDescent="0.25">
      <c r="C45" s="77"/>
    </row>
    <row r="46" spans="3:12" x14ac:dyDescent="0.25">
      <c r="C46" s="77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Operating Model</vt:lpstr>
      <vt:lpstr>DCF</vt:lpstr>
      <vt:lpstr>WACC</vt:lpstr>
      <vt:lpstr>Ratios</vt:lpstr>
      <vt:lpstr>DCF!Company_Name</vt:lpstr>
      <vt:lpstr>Company_Name</vt:lpstr>
      <vt:lpstr>DCF!Hist_Yr</vt:lpstr>
      <vt:lpstr>Hist_Yr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WAEL</dc:creator>
  <dc:description/>
  <cp:lastModifiedBy>HARB</cp:lastModifiedBy>
  <cp:revision>0</cp:revision>
  <dcterms:created xsi:type="dcterms:W3CDTF">2015-06-05T18:17:20Z</dcterms:created>
  <dcterms:modified xsi:type="dcterms:W3CDTF">2026-05-09T07:45:20Z</dcterms:modified>
  <dc:language>en-US</dc:language>
</cp:coreProperties>
</file>