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Edita\"/>
    </mc:Choice>
  </mc:AlternateContent>
  <xr:revisionPtr revIDLastSave="0" documentId="13_ncr:1_{64A84342-CBDC-4FC1-8384-1B6837263BA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perating Model" sheetId="1" r:id="rId1"/>
    <sheet name="DCF" sheetId="2" r:id="rId2"/>
    <sheet name="WACC" sheetId="4" r:id="rId3"/>
    <sheet name="Ratios" sheetId="5" r:id="rId4"/>
  </sheets>
  <definedNames>
    <definedName name="Company_Name" localSheetId="1">DCF!$D$7</definedName>
    <definedName name="Company_Name">'Operating Model'!$D$7</definedName>
    <definedName name="Hist_Yr" localSheetId="1">DCF!$D$9</definedName>
    <definedName name="Hist_Yr">'Operating Model'!$D$9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" l="1"/>
  <c r="G76" i="2"/>
  <c r="E76" i="2"/>
  <c r="G77" i="2"/>
  <c r="F77" i="2"/>
  <c r="E77" i="2"/>
  <c r="G75" i="2"/>
  <c r="F75" i="2"/>
  <c r="E75" i="2"/>
  <c r="H61" i="2" l="1"/>
  <c r="G39" i="5"/>
  <c r="H39" i="5"/>
  <c r="I39" i="5"/>
  <c r="J39" i="5"/>
  <c r="K39" i="5"/>
  <c r="L39" i="5"/>
  <c r="G30" i="5"/>
  <c r="F30" i="5"/>
  <c r="F44" i="5"/>
  <c r="G44" i="5"/>
  <c r="H44" i="5"/>
  <c r="I44" i="5"/>
  <c r="J44" i="5"/>
  <c r="K44" i="5"/>
  <c r="L44" i="5"/>
  <c r="E44" i="5"/>
  <c r="F43" i="5"/>
  <c r="G43" i="5"/>
  <c r="H43" i="5"/>
  <c r="I43" i="5"/>
  <c r="J43" i="5"/>
  <c r="K43" i="5"/>
  <c r="L43" i="5"/>
  <c r="E43" i="5"/>
  <c r="F42" i="5"/>
  <c r="G42" i="5"/>
  <c r="H42" i="5"/>
  <c r="I42" i="5"/>
  <c r="J42" i="5"/>
  <c r="K42" i="5"/>
  <c r="L42" i="5"/>
  <c r="E42" i="5"/>
  <c r="G41" i="5"/>
  <c r="H41" i="5"/>
  <c r="I41" i="5"/>
  <c r="J41" i="5"/>
  <c r="K41" i="5"/>
  <c r="L41" i="5"/>
  <c r="F40" i="5"/>
  <c r="G40" i="5"/>
  <c r="H40" i="5"/>
  <c r="I40" i="5"/>
  <c r="J40" i="5"/>
  <c r="K40" i="5"/>
  <c r="L40" i="5"/>
  <c r="E40" i="5"/>
  <c r="F41" i="5" s="1"/>
  <c r="F39" i="5"/>
  <c r="G38" i="5"/>
  <c r="H38" i="5"/>
  <c r="I38" i="5"/>
  <c r="J38" i="5"/>
  <c r="K38" i="5"/>
  <c r="L38" i="5"/>
  <c r="F38" i="5"/>
  <c r="F31" i="5"/>
  <c r="G31" i="5"/>
  <c r="H31" i="5"/>
  <c r="I31" i="5"/>
  <c r="J31" i="5"/>
  <c r="K31" i="5"/>
  <c r="L31" i="5"/>
  <c r="F32" i="5"/>
  <c r="G32" i="5"/>
  <c r="H32" i="5"/>
  <c r="I32" i="5"/>
  <c r="I34" i="5" s="1"/>
  <c r="J32" i="5"/>
  <c r="K32" i="5"/>
  <c r="L32" i="5"/>
  <c r="F33" i="5"/>
  <c r="G33" i="5"/>
  <c r="H33" i="5"/>
  <c r="I33" i="5"/>
  <c r="J33" i="5"/>
  <c r="K33" i="5"/>
  <c r="L33" i="5"/>
  <c r="E31" i="5"/>
  <c r="E33" i="5"/>
  <c r="E32" i="5"/>
  <c r="F27" i="5"/>
  <c r="G27" i="5"/>
  <c r="H27" i="5"/>
  <c r="I27" i="5"/>
  <c r="J27" i="5"/>
  <c r="K27" i="5"/>
  <c r="L27" i="5"/>
  <c r="E27" i="5"/>
  <c r="F22" i="5"/>
  <c r="G22" i="5"/>
  <c r="H22" i="5"/>
  <c r="I22" i="5"/>
  <c r="J22" i="5"/>
  <c r="K22" i="5"/>
  <c r="L22" i="5"/>
  <c r="F23" i="5"/>
  <c r="G23" i="5"/>
  <c r="F24" i="5"/>
  <c r="G24" i="5"/>
  <c r="H24" i="5"/>
  <c r="I24" i="5"/>
  <c r="J24" i="5"/>
  <c r="K24" i="5"/>
  <c r="L24" i="5"/>
  <c r="F25" i="5"/>
  <c r="G25" i="5"/>
  <c r="H25" i="5"/>
  <c r="I25" i="5"/>
  <c r="J25" i="5"/>
  <c r="K25" i="5"/>
  <c r="L25" i="5"/>
  <c r="F26" i="5"/>
  <c r="G26" i="5"/>
  <c r="E26" i="5"/>
  <c r="E25" i="5"/>
  <c r="E24" i="5"/>
  <c r="E23" i="5"/>
  <c r="E22" i="5"/>
  <c r="F17" i="5"/>
  <c r="G17" i="5"/>
  <c r="F18" i="5"/>
  <c r="G18" i="5"/>
  <c r="F19" i="5"/>
  <c r="G19" i="5"/>
  <c r="E19" i="5"/>
  <c r="E18" i="5"/>
  <c r="E17" i="5"/>
  <c r="G12" i="5"/>
  <c r="H12" i="5"/>
  <c r="I12" i="5"/>
  <c r="J12" i="5"/>
  <c r="K12" i="5"/>
  <c r="L12" i="5"/>
  <c r="G13" i="5"/>
  <c r="H13" i="5"/>
  <c r="H14" i="5" s="1"/>
  <c r="I13" i="5"/>
  <c r="I14" i="5" s="1"/>
  <c r="J13" i="5"/>
  <c r="J14" i="5" s="1"/>
  <c r="K13" i="5"/>
  <c r="K14" i="5" s="1"/>
  <c r="L13" i="5"/>
  <c r="L14" i="5" s="1"/>
  <c r="G14" i="5"/>
  <c r="F8" i="5"/>
  <c r="G8" i="5"/>
  <c r="H8" i="5"/>
  <c r="I8" i="5"/>
  <c r="J8" i="5"/>
  <c r="K8" i="5"/>
  <c r="L8" i="5"/>
  <c r="F9" i="5"/>
  <c r="G9" i="5"/>
  <c r="H9" i="5"/>
  <c r="I9" i="5"/>
  <c r="J9" i="5"/>
  <c r="K9" i="5"/>
  <c r="L9" i="5"/>
  <c r="F10" i="5"/>
  <c r="G10" i="5"/>
  <c r="H10" i="5"/>
  <c r="I10" i="5"/>
  <c r="J10" i="5"/>
  <c r="K10" i="5"/>
  <c r="L10" i="5"/>
  <c r="F11" i="5"/>
  <c r="G11" i="5"/>
  <c r="H11" i="5"/>
  <c r="I11" i="5"/>
  <c r="J11" i="5"/>
  <c r="K11" i="5"/>
  <c r="L11" i="5"/>
  <c r="F13" i="5"/>
  <c r="F14" i="5" s="1"/>
  <c r="F12" i="5"/>
  <c r="E11" i="5"/>
  <c r="E10" i="5"/>
  <c r="E9" i="5"/>
  <c r="E8" i="5"/>
  <c r="C2" i="5"/>
  <c r="E11" i="4"/>
  <c r="I58" i="2"/>
  <c r="J58" i="2"/>
  <c r="K58" i="2"/>
  <c r="L58" i="2"/>
  <c r="H58" i="2"/>
  <c r="I55" i="2"/>
  <c r="J55" i="2"/>
  <c r="J61" i="2" s="1"/>
  <c r="K55" i="2"/>
  <c r="L55" i="2"/>
  <c r="H55" i="2"/>
  <c r="F47" i="2"/>
  <c r="G47" i="2"/>
  <c r="H47" i="2"/>
  <c r="H50" i="2" s="1"/>
  <c r="I47" i="2"/>
  <c r="I50" i="2" s="1"/>
  <c r="I61" i="2" s="1"/>
  <c r="J47" i="2"/>
  <c r="K47" i="2"/>
  <c r="L47" i="2"/>
  <c r="L50" i="2" s="1"/>
  <c r="E47" i="2"/>
  <c r="J50" i="2"/>
  <c r="K50" i="2"/>
  <c r="K61" i="2" s="1"/>
  <c r="L67" i="2"/>
  <c r="L68" i="2"/>
  <c r="E6" i="4"/>
  <c r="L34" i="5" l="1"/>
  <c r="K34" i="5"/>
  <c r="G34" i="5"/>
  <c r="J34" i="5"/>
  <c r="F34" i="5"/>
  <c r="H34" i="5"/>
  <c r="E34" i="5"/>
  <c r="L61" i="2"/>
  <c r="E8" i="4"/>
  <c r="E13" i="4"/>
  <c r="E18" i="4"/>
  <c r="E12" i="4" s="1"/>
  <c r="E7" i="4" l="1"/>
  <c r="E20" i="4" s="1"/>
  <c r="D14" i="2" s="1"/>
  <c r="H42" i="2"/>
  <c r="I42" i="2"/>
  <c r="J42" i="2"/>
  <c r="K42" i="2"/>
  <c r="L42" i="2"/>
  <c r="F41" i="2"/>
  <c r="G41" i="2"/>
  <c r="E41" i="2"/>
  <c r="F25" i="2"/>
  <c r="G25" i="2"/>
  <c r="H25" i="2"/>
  <c r="I25" i="2"/>
  <c r="J25" i="2"/>
  <c r="K25" i="2"/>
  <c r="L25" i="2"/>
  <c r="E25" i="2"/>
  <c r="F36" i="2"/>
  <c r="F37" i="2" s="1"/>
  <c r="G36" i="2"/>
  <c r="G37" i="2" s="1"/>
  <c r="E36" i="2"/>
  <c r="E37" i="2" s="1"/>
  <c r="H59" i="2" s="1"/>
  <c r="G43" i="1"/>
  <c r="H43" i="1" s="1"/>
  <c r="I43" i="1" s="1"/>
  <c r="J43" i="1" s="1"/>
  <c r="K43" i="1" s="1"/>
  <c r="L43" i="1" s="1"/>
  <c r="C59" i="2"/>
  <c r="C58" i="2"/>
  <c r="C56" i="2"/>
  <c r="C55" i="2"/>
  <c r="C53" i="2"/>
  <c r="C52" i="2"/>
  <c r="C48" i="2"/>
  <c r="C47" i="2"/>
  <c r="G39" i="2"/>
  <c r="H39" i="2" s="1"/>
  <c r="I39" i="2" s="1"/>
  <c r="J39" i="2" s="1"/>
  <c r="K39" i="2" s="1"/>
  <c r="L39" i="2" s="1"/>
  <c r="G213" i="1"/>
  <c r="H213" i="1" s="1"/>
  <c r="I213" i="1" s="1"/>
  <c r="J213" i="1" s="1"/>
  <c r="K213" i="1" s="1"/>
  <c r="L213" i="1" s="1"/>
  <c r="G35" i="1"/>
  <c r="H35" i="1" s="1"/>
  <c r="I35" i="1" s="1"/>
  <c r="J35" i="1" s="1"/>
  <c r="K35" i="1" s="1"/>
  <c r="L35" i="1" s="1"/>
  <c r="G27" i="1"/>
  <c r="H27" i="1" s="1"/>
  <c r="I27" i="1" s="1"/>
  <c r="J27" i="1" s="1"/>
  <c r="K27" i="1" s="1"/>
  <c r="L27" i="1" s="1"/>
  <c r="F27" i="1"/>
  <c r="E27" i="1"/>
  <c r="G136" i="1"/>
  <c r="H136" i="1" s="1"/>
  <c r="I136" i="1" s="1"/>
  <c r="J136" i="1" s="1"/>
  <c r="K136" i="1" s="1"/>
  <c r="L136" i="1" s="1"/>
  <c r="F136" i="1"/>
  <c r="E136" i="1" s="1"/>
  <c r="G199" i="1"/>
  <c r="H199" i="1" s="1"/>
  <c r="I199" i="1" s="1"/>
  <c r="J199" i="1" s="1"/>
  <c r="K199" i="1" s="1"/>
  <c r="L199" i="1" s="1"/>
  <c r="F199" i="1"/>
  <c r="E199" i="1" s="1"/>
  <c r="G28" i="2"/>
  <c r="H28" i="2" s="1"/>
  <c r="I28" i="2" s="1"/>
  <c r="J28" i="2" s="1"/>
  <c r="K28" i="2" s="1"/>
  <c r="L28" i="2" s="1"/>
  <c r="F30" i="2"/>
  <c r="F31" i="2" s="1"/>
  <c r="G30" i="2"/>
  <c r="G31" i="2" s="1"/>
  <c r="H30" i="2"/>
  <c r="I30" i="2"/>
  <c r="J30" i="2"/>
  <c r="K30" i="2"/>
  <c r="L30" i="2"/>
  <c r="E30" i="2"/>
  <c r="E31" i="2" s="1"/>
  <c r="F33" i="2"/>
  <c r="F34" i="2" s="1"/>
  <c r="G33" i="2"/>
  <c r="G34" i="2" s="1"/>
  <c r="H33" i="2"/>
  <c r="I33" i="2"/>
  <c r="J33" i="2"/>
  <c r="K33" i="2"/>
  <c r="L33" i="2"/>
  <c r="E33" i="2"/>
  <c r="E34" i="2" s="1"/>
  <c r="D23" i="2"/>
  <c r="C23" i="2"/>
  <c r="C45" i="2" s="1"/>
  <c r="C22" i="2"/>
  <c r="C44" i="2" s="1"/>
  <c r="C20" i="2"/>
  <c r="C42" i="2" s="1"/>
  <c r="C19" i="2"/>
  <c r="C41" i="2" s="1"/>
  <c r="E23" i="2"/>
  <c r="E45" i="2" s="1"/>
  <c r="F23" i="2"/>
  <c r="F45" i="2" s="1"/>
  <c r="G23" i="2"/>
  <c r="G45" i="2" s="1"/>
  <c r="H23" i="2"/>
  <c r="H45" i="2" s="1"/>
  <c r="I23" i="2"/>
  <c r="I45" i="2" s="1"/>
  <c r="J23" i="2"/>
  <c r="J45" i="2" s="1"/>
  <c r="K23" i="2"/>
  <c r="K45" i="2" s="1"/>
  <c r="L23" i="2"/>
  <c r="L45" i="2" s="1"/>
  <c r="F22" i="2"/>
  <c r="F44" i="2" s="1"/>
  <c r="G22" i="2"/>
  <c r="G44" i="2" s="1"/>
  <c r="H22" i="2"/>
  <c r="H44" i="2" s="1"/>
  <c r="I22" i="2"/>
  <c r="I44" i="2" s="1"/>
  <c r="J22" i="2"/>
  <c r="J44" i="2" s="1"/>
  <c r="K22" i="2"/>
  <c r="K44" i="2" s="1"/>
  <c r="L22" i="2"/>
  <c r="L44" i="2" s="1"/>
  <c r="E22" i="2"/>
  <c r="E44" i="2" s="1"/>
  <c r="I19" i="2"/>
  <c r="I41" i="2" s="1"/>
  <c r="J19" i="2"/>
  <c r="J41" i="2" s="1"/>
  <c r="K19" i="2"/>
  <c r="K41" i="2" s="1"/>
  <c r="L19" i="2"/>
  <c r="L41" i="2" s="1"/>
  <c r="H19" i="2"/>
  <c r="H41" i="2" s="1"/>
  <c r="G20" i="2"/>
  <c r="G42" i="2" s="1"/>
  <c r="F20" i="2"/>
  <c r="F42" i="2" s="1"/>
  <c r="E20" i="2"/>
  <c r="E42" i="2" s="1"/>
  <c r="B2" i="2"/>
  <c r="G12" i="2"/>
  <c r="F12" i="2"/>
  <c r="J34" i="2" l="1"/>
  <c r="J31" i="2"/>
  <c r="I34" i="2"/>
  <c r="I31" i="2"/>
  <c r="L26" i="2"/>
  <c r="L48" i="2" s="1"/>
  <c r="J52" i="2"/>
  <c r="J53" i="2" s="1"/>
  <c r="L56" i="2"/>
  <c r="H34" i="2"/>
  <c r="L31" i="2"/>
  <c r="H31" i="2"/>
  <c r="K26" i="2"/>
  <c r="K48" i="2" s="1"/>
  <c r="J56" i="2"/>
  <c r="K31" i="2"/>
  <c r="H52" i="2"/>
  <c r="H53" i="2" s="1"/>
  <c r="I59" i="2"/>
  <c r="K56" i="2"/>
  <c r="H26" i="2"/>
  <c r="H48" i="2" s="1"/>
  <c r="G26" i="2"/>
  <c r="G48" i="2" s="1"/>
  <c r="I56" i="2"/>
  <c r="L34" i="2"/>
  <c r="J26" i="2"/>
  <c r="J48" i="2" s="1"/>
  <c r="F26" i="2"/>
  <c r="F48" i="2" s="1"/>
  <c r="L52" i="2"/>
  <c r="L53" i="2" s="1"/>
  <c r="K34" i="2"/>
  <c r="H56" i="2"/>
  <c r="I52" i="2"/>
  <c r="I53" i="2" s="1"/>
  <c r="E26" i="2"/>
  <c r="E48" i="2" s="1"/>
  <c r="I26" i="2"/>
  <c r="I48" i="2" s="1"/>
  <c r="K52" i="2"/>
  <c r="K53" i="2" s="1"/>
  <c r="F43" i="1"/>
  <c r="E43" i="1" s="1"/>
  <c r="F39" i="2"/>
  <c r="E39" i="2" s="1"/>
  <c r="F213" i="1"/>
  <c r="E213" i="1" s="1"/>
  <c r="F35" i="1"/>
  <c r="E35" i="1" s="1"/>
  <c r="F28" i="2"/>
  <c r="E28" i="2" s="1"/>
  <c r="E12" i="2"/>
  <c r="H12" i="2"/>
  <c r="I62" i="2" l="1"/>
  <c r="J59" i="2"/>
  <c r="H62" i="2"/>
  <c r="I12" i="2"/>
  <c r="K59" i="2" l="1"/>
  <c r="J62" i="2"/>
  <c r="J12" i="2"/>
  <c r="L59" i="2" l="1"/>
  <c r="K62" i="2"/>
  <c r="K12" i="2"/>
  <c r="L64" i="2" l="1"/>
  <c r="L65" i="2" s="1"/>
  <c r="L62" i="2"/>
  <c r="L66" i="2" s="1"/>
  <c r="L69" i="2" s="1"/>
  <c r="L71" i="2" s="1"/>
  <c r="I7" i="2" s="1"/>
  <c r="L8" i="2" s="1"/>
  <c r="L12" i="2"/>
  <c r="H223" i="1" l="1"/>
  <c r="I223" i="1"/>
  <c r="J223" i="1"/>
  <c r="K223" i="1"/>
  <c r="L223" i="1"/>
  <c r="H225" i="1"/>
  <c r="H227" i="1"/>
  <c r="I215" i="1"/>
  <c r="J215" i="1"/>
  <c r="K215" i="1"/>
  <c r="L215" i="1"/>
  <c r="L221" i="1" s="1"/>
  <c r="H215" i="1"/>
  <c r="H221" i="1"/>
  <c r="I201" i="1"/>
  <c r="J201" i="1"/>
  <c r="K201" i="1"/>
  <c r="L201" i="1"/>
  <c r="I204" i="1"/>
  <c r="J204" i="1"/>
  <c r="K204" i="1"/>
  <c r="L204" i="1"/>
  <c r="I211" i="1"/>
  <c r="J211" i="1"/>
  <c r="K211" i="1"/>
  <c r="L211" i="1"/>
  <c r="H204" i="1"/>
  <c r="H201" i="1"/>
  <c r="I195" i="1"/>
  <c r="J195" i="1"/>
  <c r="K195" i="1"/>
  <c r="L195" i="1"/>
  <c r="I196" i="1"/>
  <c r="J196" i="1"/>
  <c r="K196" i="1"/>
  <c r="L196" i="1"/>
  <c r="H196" i="1"/>
  <c r="H195" i="1"/>
  <c r="I186" i="1"/>
  <c r="J186" i="1"/>
  <c r="K186" i="1"/>
  <c r="L186" i="1"/>
  <c r="I187" i="1"/>
  <c r="J187" i="1"/>
  <c r="K187" i="1"/>
  <c r="L187" i="1"/>
  <c r="I188" i="1"/>
  <c r="J188" i="1"/>
  <c r="K188" i="1"/>
  <c r="L188" i="1"/>
  <c r="I189" i="1"/>
  <c r="J189" i="1" s="1"/>
  <c r="I190" i="1"/>
  <c r="J190" i="1" s="1"/>
  <c r="K190" i="1" s="1"/>
  <c r="L190" i="1" s="1"/>
  <c r="I191" i="1"/>
  <c r="J191" i="1" s="1"/>
  <c r="K191" i="1" s="1"/>
  <c r="L191" i="1" s="1"/>
  <c r="I192" i="1"/>
  <c r="J192" i="1" s="1"/>
  <c r="K192" i="1" s="1"/>
  <c r="L192" i="1" s="1"/>
  <c r="H188" i="1"/>
  <c r="H186" i="1"/>
  <c r="H187" i="1"/>
  <c r="I178" i="1"/>
  <c r="J178" i="1"/>
  <c r="K178" i="1"/>
  <c r="L178" i="1"/>
  <c r="I179" i="1"/>
  <c r="J179" i="1"/>
  <c r="K179" i="1"/>
  <c r="L179" i="1"/>
  <c r="I181" i="1"/>
  <c r="J181" i="1"/>
  <c r="K181" i="1"/>
  <c r="L181" i="1"/>
  <c r="I182" i="1"/>
  <c r="J182" i="1"/>
  <c r="K182" i="1"/>
  <c r="L182" i="1"/>
  <c r="I184" i="1"/>
  <c r="J184" i="1"/>
  <c r="K184" i="1"/>
  <c r="L184" i="1"/>
  <c r="H182" i="1"/>
  <c r="H181" i="1"/>
  <c r="H179" i="1"/>
  <c r="H178" i="1"/>
  <c r="H165" i="1"/>
  <c r="I165" i="1" s="1"/>
  <c r="I167" i="1"/>
  <c r="J167" i="1"/>
  <c r="K167" i="1" s="1"/>
  <c r="L167" i="1" s="1"/>
  <c r="H167" i="1"/>
  <c r="I160" i="1"/>
  <c r="J160" i="1" s="1"/>
  <c r="I161" i="1"/>
  <c r="J161" i="1"/>
  <c r="K161" i="1" s="1"/>
  <c r="L161" i="1" s="1"/>
  <c r="I162" i="1"/>
  <c r="J162" i="1"/>
  <c r="K162" i="1" s="1"/>
  <c r="L162" i="1" s="1"/>
  <c r="I163" i="1"/>
  <c r="J163" i="1"/>
  <c r="K163" i="1" s="1"/>
  <c r="L163" i="1" s="1"/>
  <c r="I164" i="1"/>
  <c r="J164" i="1"/>
  <c r="K164" i="1" s="1"/>
  <c r="L164" i="1" s="1"/>
  <c r="H164" i="1"/>
  <c r="H163" i="1"/>
  <c r="H162" i="1"/>
  <c r="H161" i="1"/>
  <c r="H160" i="1"/>
  <c r="I145" i="1"/>
  <c r="J145" i="1"/>
  <c r="K145" i="1" s="1"/>
  <c r="L145" i="1" s="1"/>
  <c r="H145" i="1"/>
  <c r="I152" i="1"/>
  <c r="J152" i="1"/>
  <c r="K152" i="1" s="1"/>
  <c r="L152" i="1" s="1"/>
  <c r="H152" i="1"/>
  <c r="I150" i="1"/>
  <c r="J150" i="1"/>
  <c r="K150" i="1" s="1"/>
  <c r="I153" i="1"/>
  <c r="J153" i="1"/>
  <c r="K153" i="1" s="1"/>
  <c r="L153" i="1" s="1"/>
  <c r="I154" i="1"/>
  <c r="J154" i="1"/>
  <c r="K154" i="1" s="1"/>
  <c r="L154" i="1" s="1"/>
  <c r="H154" i="1"/>
  <c r="H153" i="1"/>
  <c r="H151" i="1"/>
  <c r="I151" i="1" s="1"/>
  <c r="H150" i="1"/>
  <c r="I139" i="1"/>
  <c r="J139" i="1"/>
  <c r="K139" i="1" s="1"/>
  <c r="L139" i="1" s="1"/>
  <c r="I140" i="1"/>
  <c r="J140" i="1"/>
  <c r="K140" i="1" s="1"/>
  <c r="L140" i="1" s="1"/>
  <c r="I143" i="1"/>
  <c r="J143" i="1" s="1"/>
  <c r="I144" i="1"/>
  <c r="J144" i="1"/>
  <c r="K144" i="1" s="1"/>
  <c r="L144" i="1" s="1"/>
  <c r="I146" i="1"/>
  <c r="J146" i="1"/>
  <c r="K146" i="1" s="1"/>
  <c r="L146" i="1" s="1"/>
  <c r="H146" i="1"/>
  <c r="H144" i="1"/>
  <c r="H143" i="1"/>
  <c r="H140" i="1"/>
  <c r="H139" i="1"/>
  <c r="H128" i="1"/>
  <c r="I128" i="1"/>
  <c r="I130" i="1"/>
  <c r="J130" i="1" s="1"/>
  <c r="K130" i="1" s="1"/>
  <c r="L130" i="1" s="1"/>
  <c r="H130" i="1"/>
  <c r="I129" i="1"/>
  <c r="J129" i="1"/>
  <c r="K129" i="1" s="1"/>
  <c r="L129" i="1" s="1"/>
  <c r="H129" i="1"/>
  <c r="I124" i="1"/>
  <c r="J124" i="1" s="1"/>
  <c r="K124" i="1" s="1"/>
  <c r="L124" i="1" s="1"/>
  <c r="H124" i="1"/>
  <c r="I121" i="1"/>
  <c r="J121" i="1"/>
  <c r="K121" i="1" s="1"/>
  <c r="L121" i="1" s="1"/>
  <c r="H121" i="1"/>
  <c r="I141" i="1"/>
  <c r="J141" i="1"/>
  <c r="K141" i="1"/>
  <c r="L141" i="1"/>
  <c r="H141" i="1"/>
  <c r="I119" i="1"/>
  <c r="J119" i="1"/>
  <c r="K119" i="1"/>
  <c r="L119" i="1"/>
  <c r="H119" i="1"/>
  <c r="I120" i="1"/>
  <c r="J120" i="1"/>
  <c r="K120" i="1"/>
  <c r="L120" i="1"/>
  <c r="H120" i="1"/>
  <c r="I92" i="1"/>
  <c r="J92" i="1" s="1"/>
  <c r="K92" i="1" s="1"/>
  <c r="L92" i="1" s="1"/>
  <c r="H92" i="1"/>
  <c r="I93" i="1"/>
  <c r="J93" i="1" s="1"/>
  <c r="K93" i="1" s="1"/>
  <c r="L93" i="1" s="1"/>
  <c r="H93" i="1"/>
  <c r="H95" i="1" s="1"/>
  <c r="I83" i="1"/>
  <c r="J83" i="1"/>
  <c r="K83" i="1"/>
  <c r="L83" i="1"/>
  <c r="I84" i="1"/>
  <c r="J84" i="1"/>
  <c r="K84" i="1"/>
  <c r="L84" i="1"/>
  <c r="H84" i="1"/>
  <c r="H83" i="1"/>
  <c r="I85" i="1"/>
  <c r="J85" i="1" s="1"/>
  <c r="K85" i="1" s="1"/>
  <c r="L85" i="1" s="1"/>
  <c r="H85" i="1"/>
  <c r="J21" i="1"/>
  <c r="K21" i="1" s="1"/>
  <c r="L21" i="1" s="1"/>
  <c r="I21" i="1"/>
  <c r="J23" i="1"/>
  <c r="K23" i="1" s="1"/>
  <c r="L23" i="1" s="1"/>
  <c r="I23" i="1"/>
  <c r="F23" i="1"/>
  <c r="G23" i="1"/>
  <c r="E23" i="1"/>
  <c r="H21" i="1"/>
  <c r="F21" i="1"/>
  <c r="G21" i="1"/>
  <c r="E21" i="1"/>
  <c r="F75" i="1"/>
  <c r="I65" i="1"/>
  <c r="J65" i="1" s="1"/>
  <c r="G65" i="1"/>
  <c r="F65" i="1"/>
  <c r="I41" i="1"/>
  <c r="J41" i="1" s="1"/>
  <c r="K41" i="1" s="1"/>
  <c r="L41" i="1" s="1"/>
  <c r="G39" i="1"/>
  <c r="F39" i="1"/>
  <c r="I39" i="1" s="1"/>
  <c r="J39" i="1" s="1"/>
  <c r="K39" i="1" s="1"/>
  <c r="L39" i="1" s="1"/>
  <c r="I37" i="1"/>
  <c r="J37" i="1" s="1"/>
  <c r="K37" i="1" s="1"/>
  <c r="L37" i="1" s="1"/>
  <c r="F37" i="1"/>
  <c r="G37" i="1"/>
  <c r="E37" i="1"/>
  <c r="F33" i="1"/>
  <c r="G33" i="1"/>
  <c r="E33" i="1"/>
  <c r="F31" i="1"/>
  <c r="G31" i="1"/>
  <c r="F29" i="1"/>
  <c r="G29" i="1"/>
  <c r="E29" i="1"/>
  <c r="H29" i="1" s="1"/>
  <c r="I29" i="1" s="1"/>
  <c r="J29" i="1" s="1"/>
  <c r="K29" i="1" s="1"/>
  <c r="L29" i="1" s="1"/>
  <c r="E31" i="1"/>
  <c r="F86" i="1"/>
  <c r="G86" i="1"/>
  <c r="G19" i="1" s="1"/>
  <c r="E86" i="1"/>
  <c r="E19" i="1" s="1"/>
  <c r="F224" i="1"/>
  <c r="G225" i="1" s="1"/>
  <c r="G224" i="1"/>
  <c r="E224" i="1"/>
  <c r="F225" i="1" s="1"/>
  <c r="F211" i="1"/>
  <c r="G211" i="1"/>
  <c r="G184" i="1"/>
  <c r="G193" i="1" s="1"/>
  <c r="G197" i="1" s="1"/>
  <c r="H184" i="1"/>
  <c r="F184" i="1"/>
  <c r="F193" i="1" s="1"/>
  <c r="F197" i="1" s="1"/>
  <c r="E184" i="1"/>
  <c r="E193" i="1" s="1"/>
  <c r="E197" i="1" s="1"/>
  <c r="E104" i="1"/>
  <c r="G104" i="1"/>
  <c r="F104" i="1"/>
  <c r="F17" i="1"/>
  <c r="G17" i="1"/>
  <c r="E17" i="1"/>
  <c r="G15" i="1"/>
  <c r="F15" i="1"/>
  <c r="F125" i="1"/>
  <c r="G125" i="1"/>
  <c r="E125" i="1"/>
  <c r="F166" i="1"/>
  <c r="F168" i="1" s="1"/>
  <c r="G166" i="1"/>
  <c r="G168" i="1" s="1"/>
  <c r="F155" i="1"/>
  <c r="G155" i="1"/>
  <c r="H155" i="1"/>
  <c r="F147" i="1"/>
  <c r="G147" i="1"/>
  <c r="I147" i="1"/>
  <c r="G132" i="1"/>
  <c r="F132" i="1"/>
  <c r="E132" i="1"/>
  <c r="E166" i="1"/>
  <c r="E168" i="1" s="1"/>
  <c r="F95" i="1"/>
  <c r="G95" i="1"/>
  <c r="E95" i="1"/>
  <c r="F79" i="1"/>
  <c r="F80" i="1" s="1"/>
  <c r="G79" i="1"/>
  <c r="G80" i="1" s="1"/>
  <c r="E79" i="1"/>
  <c r="E80" i="1" s="1"/>
  <c r="G75" i="1"/>
  <c r="E75" i="1"/>
  <c r="F221" i="1"/>
  <c r="G221" i="1"/>
  <c r="I221" i="1"/>
  <c r="J221" i="1"/>
  <c r="K221" i="1"/>
  <c r="E221" i="1"/>
  <c r="E211" i="1"/>
  <c r="D175" i="1"/>
  <c r="H174" i="1"/>
  <c r="E174" i="1"/>
  <c r="E147" i="1"/>
  <c r="E155" i="1"/>
  <c r="H113" i="1"/>
  <c r="E113" i="1"/>
  <c r="H71" i="1"/>
  <c r="E71" i="1"/>
  <c r="D114" i="1"/>
  <c r="D72" i="1"/>
  <c r="B2" i="1"/>
  <c r="G12" i="1"/>
  <c r="G175" i="1" s="1"/>
  <c r="J151" i="1" l="1"/>
  <c r="I155" i="1"/>
  <c r="H211" i="1"/>
  <c r="I193" i="1"/>
  <c r="I197" i="1" s="1"/>
  <c r="J193" i="1"/>
  <c r="J197" i="1" s="1"/>
  <c r="K189" i="1"/>
  <c r="H193" i="1"/>
  <c r="H197" i="1" s="1"/>
  <c r="J165" i="1"/>
  <c r="K165" i="1" s="1"/>
  <c r="L165" i="1" s="1"/>
  <c r="I166" i="1"/>
  <c r="I168" i="1" s="1"/>
  <c r="J166" i="1"/>
  <c r="J168" i="1" s="1"/>
  <c r="K160" i="1"/>
  <c r="H166" i="1"/>
  <c r="H168" i="1" s="1"/>
  <c r="H147" i="1"/>
  <c r="H157" i="1" s="1"/>
  <c r="L150" i="1"/>
  <c r="J147" i="1"/>
  <c r="K143" i="1"/>
  <c r="J128" i="1"/>
  <c r="I132" i="1"/>
  <c r="H132" i="1"/>
  <c r="J132" i="1"/>
  <c r="K128" i="1"/>
  <c r="I95" i="1"/>
  <c r="J95" i="1"/>
  <c r="I86" i="1"/>
  <c r="H86" i="1"/>
  <c r="H31" i="1"/>
  <c r="I31" i="1" s="1"/>
  <c r="J31" i="1" s="1"/>
  <c r="K31" i="1" s="1"/>
  <c r="L31" i="1" s="1"/>
  <c r="H33" i="1"/>
  <c r="I33" i="1" s="1"/>
  <c r="J33" i="1" s="1"/>
  <c r="K33" i="1" s="1"/>
  <c r="L33" i="1" s="1"/>
  <c r="G88" i="1"/>
  <c r="G97" i="1" s="1"/>
  <c r="F88" i="1"/>
  <c r="F89" i="1" s="1"/>
  <c r="F19" i="1"/>
  <c r="H19" i="1" s="1"/>
  <c r="I19" i="1" s="1"/>
  <c r="J19" i="1" s="1"/>
  <c r="K19" i="1" s="1"/>
  <c r="L19" i="1" s="1"/>
  <c r="E223" i="1"/>
  <c r="E227" i="1" s="1"/>
  <c r="F223" i="1"/>
  <c r="F227" i="1" s="1"/>
  <c r="F229" i="1" s="1"/>
  <c r="G223" i="1"/>
  <c r="G227" i="1" s="1"/>
  <c r="G229" i="1" s="1"/>
  <c r="H17" i="1"/>
  <c r="E88" i="1"/>
  <c r="E97" i="1" s="1"/>
  <c r="I157" i="1"/>
  <c r="I170" i="1" s="1"/>
  <c r="I118" i="1" s="1"/>
  <c r="F157" i="1"/>
  <c r="F170" i="1" s="1"/>
  <c r="G157" i="1"/>
  <c r="G170" i="1" s="1"/>
  <c r="G134" i="1"/>
  <c r="E157" i="1"/>
  <c r="E170" i="1" s="1"/>
  <c r="F134" i="1"/>
  <c r="E134" i="1"/>
  <c r="G114" i="1"/>
  <c r="G72" i="1"/>
  <c r="H12" i="1"/>
  <c r="H175" i="1" s="1"/>
  <c r="F12" i="1"/>
  <c r="F175" i="1" s="1"/>
  <c r="I23" i="5" l="1"/>
  <c r="I26" i="5"/>
  <c r="I19" i="5"/>
  <c r="I224" i="1"/>
  <c r="J225" i="1" s="1"/>
  <c r="J227" i="1" s="1"/>
  <c r="K151" i="1"/>
  <c r="J155" i="1"/>
  <c r="J157" i="1" s="1"/>
  <c r="J170" i="1" s="1"/>
  <c r="J118" i="1" s="1"/>
  <c r="K193" i="1"/>
  <c r="K197" i="1" s="1"/>
  <c r="L189" i="1"/>
  <c r="L193" i="1" s="1"/>
  <c r="L197" i="1" s="1"/>
  <c r="K166" i="1"/>
  <c r="K168" i="1" s="1"/>
  <c r="L160" i="1"/>
  <c r="L166" i="1" s="1"/>
  <c r="L168" i="1" s="1"/>
  <c r="H170" i="1"/>
  <c r="H118" i="1" s="1"/>
  <c r="K147" i="1"/>
  <c r="L143" i="1"/>
  <c r="L147" i="1" s="1"/>
  <c r="K132" i="1"/>
  <c r="L128" i="1"/>
  <c r="L132" i="1" s="1"/>
  <c r="K95" i="1"/>
  <c r="L95" i="1"/>
  <c r="J86" i="1"/>
  <c r="I17" i="1"/>
  <c r="F172" i="1"/>
  <c r="G172" i="1"/>
  <c r="H74" i="1"/>
  <c r="E99" i="1"/>
  <c r="E25" i="1"/>
  <c r="G99" i="1"/>
  <c r="G25" i="1"/>
  <c r="G89" i="1"/>
  <c r="F97" i="1"/>
  <c r="J17" i="1"/>
  <c r="E89" i="1"/>
  <c r="E172" i="1"/>
  <c r="H72" i="1"/>
  <c r="H114" i="1"/>
  <c r="F72" i="1"/>
  <c r="F114" i="1"/>
  <c r="I12" i="1"/>
  <c r="I175" i="1" s="1"/>
  <c r="E12" i="1"/>
  <c r="E175" i="1" s="1"/>
  <c r="J19" i="5" l="1"/>
  <c r="J23" i="5"/>
  <c r="J26" i="5"/>
  <c r="J224" i="1"/>
  <c r="K225" i="1" s="1"/>
  <c r="K227" i="1" s="1"/>
  <c r="L151" i="1"/>
  <c r="L155" i="1" s="1"/>
  <c r="L157" i="1" s="1"/>
  <c r="L170" i="1" s="1"/>
  <c r="L118" i="1" s="1"/>
  <c r="K155" i="1"/>
  <c r="K157" i="1" s="1"/>
  <c r="K170" i="1" s="1"/>
  <c r="K118" i="1" s="1"/>
  <c r="H26" i="5"/>
  <c r="H19" i="5"/>
  <c r="H23" i="5"/>
  <c r="H224" i="1"/>
  <c r="J229" i="1"/>
  <c r="H125" i="1"/>
  <c r="H77" i="1"/>
  <c r="K86" i="1"/>
  <c r="E108" i="1"/>
  <c r="E111" i="1" s="1"/>
  <c r="E41" i="1"/>
  <c r="G108" i="1"/>
  <c r="G111" i="1" s="1"/>
  <c r="G41" i="1"/>
  <c r="H79" i="1"/>
  <c r="H88" i="1" s="1"/>
  <c r="I74" i="1"/>
  <c r="F99" i="1"/>
  <c r="F25" i="1"/>
  <c r="H25" i="1" s="1"/>
  <c r="I25" i="1" s="1"/>
  <c r="J25" i="1" s="1"/>
  <c r="K25" i="1" s="1"/>
  <c r="L25" i="1" s="1"/>
  <c r="K17" i="1"/>
  <c r="I114" i="1"/>
  <c r="I72" i="1"/>
  <c r="E72" i="1"/>
  <c r="E114" i="1"/>
  <c r="J12" i="1"/>
  <c r="J175" i="1" s="1"/>
  <c r="K19" i="5" l="1"/>
  <c r="K23" i="5"/>
  <c r="K26" i="5"/>
  <c r="K224" i="1"/>
  <c r="L225" i="1" s="1"/>
  <c r="L227" i="1" s="1"/>
  <c r="L229" i="1" s="1"/>
  <c r="L26" i="5"/>
  <c r="L23" i="5"/>
  <c r="L19" i="5"/>
  <c r="L224" i="1"/>
  <c r="I225" i="1"/>
  <c r="I227" i="1" s="1"/>
  <c r="I229" i="1" s="1"/>
  <c r="H229" i="1"/>
  <c r="H134" i="1"/>
  <c r="H17" i="5"/>
  <c r="H18" i="5"/>
  <c r="I77" i="1"/>
  <c r="I79" i="1" s="1"/>
  <c r="L86" i="1"/>
  <c r="F108" i="1"/>
  <c r="F111" i="1" s="1"/>
  <c r="F41" i="1"/>
  <c r="H80" i="1"/>
  <c r="J74" i="1"/>
  <c r="L17" i="1"/>
  <c r="H89" i="1"/>
  <c r="H97" i="1"/>
  <c r="J114" i="1"/>
  <c r="J72" i="1"/>
  <c r="K12" i="1"/>
  <c r="K175" i="1" s="1"/>
  <c r="H30" i="5" l="1"/>
  <c r="H172" i="1"/>
  <c r="K229" i="1"/>
  <c r="I88" i="1"/>
  <c r="I80" i="1"/>
  <c r="I125" i="1"/>
  <c r="K74" i="1"/>
  <c r="J77" i="1"/>
  <c r="J79" i="1" s="1"/>
  <c r="H98" i="1"/>
  <c r="H99" i="1" s="1"/>
  <c r="I89" i="1"/>
  <c r="I97" i="1"/>
  <c r="K114" i="1"/>
  <c r="K72" i="1"/>
  <c r="L12" i="1"/>
  <c r="L175" i="1" s="1"/>
  <c r="I134" i="1" l="1"/>
  <c r="I18" i="5"/>
  <c r="I17" i="5"/>
  <c r="J80" i="1"/>
  <c r="J88" i="1"/>
  <c r="J125" i="1"/>
  <c r="K77" i="1"/>
  <c r="K79" i="1" s="1"/>
  <c r="L74" i="1"/>
  <c r="I98" i="1"/>
  <c r="I99" i="1" s="1"/>
  <c r="L114" i="1"/>
  <c r="L72" i="1"/>
  <c r="J134" i="1" l="1"/>
  <c r="J18" i="5"/>
  <c r="J17" i="5"/>
  <c r="I172" i="1"/>
  <c r="J30" i="5"/>
  <c r="I30" i="5"/>
  <c r="K80" i="1"/>
  <c r="K88" i="1"/>
  <c r="K125" i="1"/>
  <c r="L125" i="1"/>
  <c r="J89" i="1"/>
  <c r="J97" i="1"/>
  <c r="J98" i="1" s="1"/>
  <c r="J99" i="1" s="1"/>
  <c r="L77" i="1"/>
  <c r="L79" i="1" s="1"/>
  <c r="L88" i="1" s="1"/>
  <c r="L134" i="1" l="1"/>
  <c r="L172" i="1" s="1"/>
  <c r="L17" i="5"/>
  <c r="L18" i="5"/>
  <c r="K134" i="1"/>
  <c r="K17" i="5"/>
  <c r="K18" i="5"/>
  <c r="J172" i="1"/>
  <c r="K30" i="5"/>
  <c r="K89" i="1"/>
  <c r="K97" i="1"/>
  <c r="K98" i="1" s="1"/>
  <c r="K99" i="1" s="1"/>
  <c r="L80" i="1"/>
  <c r="K172" i="1" l="1"/>
  <c r="L30" i="5"/>
  <c r="L89" i="1"/>
  <c r="L97" i="1"/>
  <c r="L98" i="1" s="1"/>
  <c r="L99" i="1" s="1"/>
</calcChain>
</file>

<file path=xl/sharedStrings.xml><?xml version="1.0" encoding="utf-8"?>
<sst xmlns="http://schemas.openxmlformats.org/spreadsheetml/2006/main" count="285" uniqueCount="243">
  <si>
    <t>EDITA Food Industries (S.A.E.)</t>
  </si>
  <si>
    <t>General Assumptions</t>
  </si>
  <si>
    <t>Company Name</t>
  </si>
  <si>
    <t>Ticker</t>
  </si>
  <si>
    <t>Last Historical Year</t>
  </si>
  <si>
    <t>EIFD</t>
  </si>
  <si>
    <t>Financial Statement Drivers</t>
  </si>
  <si>
    <t>Income Statement</t>
  </si>
  <si>
    <t>Gross Margin</t>
  </si>
  <si>
    <t>Effictive Tax Rate</t>
  </si>
  <si>
    <t>Balance Sheet</t>
  </si>
  <si>
    <t>%</t>
  </si>
  <si>
    <t>Days Sales Outstanding</t>
  </si>
  <si>
    <t># Days</t>
  </si>
  <si>
    <t>Historical</t>
  </si>
  <si>
    <t>Projected</t>
  </si>
  <si>
    <t>Depreciation % Starting Net PP&amp;E</t>
  </si>
  <si>
    <t>Dividends % Net Income</t>
  </si>
  <si>
    <t>Debt Schedule</t>
  </si>
  <si>
    <t>Cash Balance Before Additional Borrowing</t>
  </si>
  <si>
    <t>(+) Debt Issuance</t>
  </si>
  <si>
    <t>Ending Face Value of Debt</t>
  </si>
  <si>
    <t>(+) Amortization of Issuance Fees</t>
  </si>
  <si>
    <t>Debt Issuance Fee %</t>
  </si>
  <si>
    <t>Interest Expense on Debt</t>
  </si>
  <si>
    <t>Interest and Other Income Growth Rate</t>
  </si>
  <si>
    <t># Years</t>
  </si>
  <si>
    <t>Revenue</t>
  </si>
  <si>
    <t>Cost of Sales</t>
  </si>
  <si>
    <t>Gross Profit</t>
  </si>
  <si>
    <t>Current Assets</t>
  </si>
  <si>
    <t>Inventories</t>
  </si>
  <si>
    <t>Cash and Cash Equivalents</t>
  </si>
  <si>
    <t>Trade and Other Receivables</t>
  </si>
  <si>
    <t>Financial Asstets at Amortised Cost - Treasury Bills</t>
  </si>
  <si>
    <t>Total Current Assets</t>
  </si>
  <si>
    <t>Non-Current Assets</t>
  </si>
  <si>
    <t>PP&amp;E</t>
  </si>
  <si>
    <t>Right of Use Assets</t>
  </si>
  <si>
    <t>Intangible Assets and Goodwill</t>
  </si>
  <si>
    <t>Total Non-Current Assets</t>
  </si>
  <si>
    <t>Total Assets</t>
  </si>
  <si>
    <t>Units</t>
  </si>
  <si>
    <t>Days Sales of Inventory</t>
  </si>
  <si>
    <t>Days Payable Outstanding</t>
  </si>
  <si>
    <t>Cash Flow Statement</t>
  </si>
  <si>
    <t>Capital Expenditures</t>
  </si>
  <si>
    <t>Minimum Cash Balance</t>
  </si>
  <si>
    <t>Additional Borrowing Required</t>
  </si>
  <si>
    <t>Beginning Face Value of Debt</t>
  </si>
  <si>
    <t>(-) Principal Repayments &amp; Maturities</t>
  </si>
  <si>
    <t>Beginning Book Value of Debt</t>
  </si>
  <si>
    <t>(-) Deduction for New Issuance Fees</t>
  </si>
  <si>
    <t>(-) Debt Principal Repayments &amp; Maturities</t>
  </si>
  <si>
    <t>Ending Book Value of Debt</t>
  </si>
  <si>
    <t>Initial Unamortized Debt Issuance Fees</t>
  </si>
  <si>
    <t>Average Remaining Time to Maturity</t>
  </si>
  <si>
    <t>Weighted Average Interest Rate on Debt</t>
  </si>
  <si>
    <t>Provisions</t>
  </si>
  <si>
    <t>Bank Over Draft</t>
  </si>
  <si>
    <t>Trade and Other Payables</t>
  </si>
  <si>
    <t>Current Income Tax Liabilities</t>
  </si>
  <si>
    <t>Current Liabilities</t>
  </si>
  <si>
    <t>Current Portion of Borrowings</t>
  </si>
  <si>
    <t>Current Portion of Lease Liabilities</t>
  </si>
  <si>
    <t>Total Current Liabilities</t>
  </si>
  <si>
    <t>Non-Current Liabilities</t>
  </si>
  <si>
    <t>Total Non-Current Liabilities</t>
  </si>
  <si>
    <t>Borrowings</t>
  </si>
  <si>
    <t>Deferred Government Grants</t>
  </si>
  <si>
    <t>Employee Benefit Obligations</t>
  </si>
  <si>
    <t>Deferred Tax Liabilities</t>
  </si>
  <si>
    <t>Lease Liabilities</t>
  </si>
  <si>
    <t>Equity</t>
  </si>
  <si>
    <t>Legal Reserve</t>
  </si>
  <si>
    <t>Cumulative Translation Reserve</t>
  </si>
  <si>
    <t>Transactions with Non-Controlling Interest</t>
  </si>
  <si>
    <t>Finance Income</t>
  </si>
  <si>
    <t>Finance Cost</t>
  </si>
  <si>
    <t>Income Tax Expense</t>
  </si>
  <si>
    <t>Non-Controlling Interest</t>
  </si>
  <si>
    <t>Treasury Shares</t>
  </si>
  <si>
    <t>Retained Earnings</t>
  </si>
  <si>
    <t>Equity Attributable to The Owners of The Company</t>
  </si>
  <si>
    <t>Total Equity</t>
  </si>
  <si>
    <t>Balance Check</t>
  </si>
  <si>
    <t>Total Liabilities</t>
  </si>
  <si>
    <t>Total Liabilites &amp; Equity</t>
  </si>
  <si>
    <t>Cash Generated from Operations</t>
  </si>
  <si>
    <t>Net Cash Inflow from Operating Activities</t>
  </si>
  <si>
    <t>ASSETS</t>
  </si>
  <si>
    <t>CASH FLOWS FROM OPERATING ACTIVITIES</t>
  </si>
  <si>
    <t>LIABILITIES AND EQUITY</t>
  </si>
  <si>
    <t>CASH FLOWS FROM INVESTING ACTIVITIES</t>
  </si>
  <si>
    <t>Net Cash Used in Investing Activities:</t>
  </si>
  <si>
    <t>CASH FLOWS FROM FINANCING ACTIVITIES</t>
  </si>
  <si>
    <t>Payment for Purchase of Property, Plant, and Equipment</t>
  </si>
  <si>
    <t>Payment for Purchase of Intangible Assets</t>
  </si>
  <si>
    <t>Proceeds from Sale of Property, Plant, and Equipment</t>
  </si>
  <si>
    <t>Interest Received</t>
  </si>
  <si>
    <t>Payment for Purchase of Treasury Bills</t>
  </si>
  <si>
    <t>Proceeds from Sale of Treasury Bills</t>
  </si>
  <si>
    <t>Payment for Acquisition of Edita Frozen Foods Industries S.A.E. – Net of Cash and Cash Equivalents Acquired</t>
  </si>
  <si>
    <t>Dividends Paid to the Shareholders</t>
  </si>
  <si>
    <t>Acquisition of Treasury Shares</t>
  </si>
  <si>
    <t>Additional Contribution by Non-Controlling Interest</t>
  </si>
  <si>
    <t>Lease Payments</t>
  </si>
  <si>
    <t>Proceeds from Borrowings</t>
  </si>
  <si>
    <t>Repayments of Borrowings</t>
  </si>
  <si>
    <t>Net Cash Used in Financing Activities</t>
  </si>
  <si>
    <t>Change in Cash &amp; Cash Equivalents:</t>
  </si>
  <si>
    <t>Beginning Cash:</t>
  </si>
  <si>
    <t>Ending Cash:</t>
  </si>
  <si>
    <t>Effect of Movements in Exchange Rates on Cash Held</t>
  </si>
  <si>
    <t>Revenue Growth %</t>
  </si>
  <si>
    <t>Profit Before Tax</t>
  </si>
  <si>
    <t>Net Profit</t>
  </si>
  <si>
    <t>Revenue Growth:</t>
  </si>
  <si>
    <t>Total Operating Expenses</t>
  </si>
  <si>
    <t>Operating Income (EBIT)</t>
  </si>
  <si>
    <t>EBIT Margin %</t>
  </si>
  <si>
    <t>Gross Margin:</t>
  </si>
  <si>
    <t>Other Income / (Expense)</t>
  </si>
  <si>
    <t>Foreign Exchange Gain / (Loss)</t>
  </si>
  <si>
    <t>Total Other Income / (Expense)</t>
  </si>
  <si>
    <t>Deferred Tax Assets</t>
  </si>
  <si>
    <t>Debtors and Other Debit Balance</t>
  </si>
  <si>
    <t>Due from related parties</t>
  </si>
  <si>
    <t>Creditors and other credit balances</t>
  </si>
  <si>
    <t>Deferred government grants</t>
  </si>
  <si>
    <t>Share Capital / Paid up Capital</t>
  </si>
  <si>
    <t>Financial Assets Measured at Fair Value through P&amp;L</t>
  </si>
  <si>
    <t>Operating Expenses as % of Revenue</t>
  </si>
  <si>
    <t>Trade Receivables</t>
  </si>
  <si>
    <t>Trade Payables</t>
  </si>
  <si>
    <t>(-) Interest Paid</t>
  </si>
  <si>
    <t>(-) Income Tax Paid</t>
  </si>
  <si>
    <t>Provision utilized</t>
  </si>
  <si>
    <t>Inventory provision used</t>
  </si>
  <si>
    <t>Payments of employee benefit obligations</t>
  </si>
  <si>
    <t>Dividends paid to Company's employees</t>
  </si>
  <si>
    <t>Payments for purchase of investments in fair value</t>
  </si>
  <si>
    <t>Consideration paid for acquisition of new subsidiary</t>
  </si>
  <si>
    <t>Cash and Cash equivalent under business combination</t>
  </si>
  <si>
    <t>Profit is Attributable to</t>
  </si>
  <si>
    <t>Owners of the parent</t>
  </si>
  <si>
    <t>Non-controlling interest</t>
  </si>
  <si>
    <t>Net profit for the year</t>
  </si>
  <si>
    <t>Basic and Diluted earnings per share</t>
  </si>
  <si>
    <t>Exchange differences on translation of foreign operations</t>
  </si>
  <si>
    <t>Re-measurements of post-employment benefit obligations</t>
  </si>
  <si>
    <t>Total comprehensive income for the year</t>
  </si>
  <si>
    <t>Net Cash (BS Cash - Overdraft)</t>
  </si>
  <si>
    <t>Reconciliation Check</t>
  </si>
  <si>
    <t>Distribution Cost</t>
  </si>
  <si>
    <t>Administrative Expenses</t>
  </si>
  <si>
    <t>Other Operating Items</t>
  </si>
  <si>
    <t>Operating Expenses</t>
  </si>
  <si>
    <t>Operating Cash Flow Before WC Changes</t>
  </si>
  <si>
    <t>(+) Total D&amp;A</t>
  </si>
  <si>
    <t>(+/-) Provisions, net</t>
  </si>
  <si>
    <t>(+) Interest Expense (add-back)</t>
  </si>
  <si>
    <t>(-) Interest Income (reversal)</t>
  </si>
  <si>
    <t>(+/-) Other Non-Cash Items</t>
  </si>
  <si>
    <t>Distribution Cost as % of Revenue</t>
  </si>
  <si>
    <t>Administrative Expenses as % of Revenue</t>
  </si>
  <si>
    <t>Implied Share Price</t>
  </si>
  <si>
    <t>Today's Share Price</t>
  </si>
  <si>
    <t>Valuation Assumptions</t>
  </si>
  <si>
    <t>Upside (Downside)</t>
  </si>
  <si>
    <t>Assumptions</t>
  </si>
  <si>
    <t>Taxes</t>
  </si>
  <si>
    <t>% of EBIT</t>
  </si>
  <si>
    <t>D&amp;A</t>
  </si>
  <si>
    <t>CapEx</t>
  </si>
  <si>
    <t>% of revenue</t>
  </si>
  <si>
    <t>Change in NWC</t>
  </si>
  <si>
    <t>DCF</t>
  </si>
  <si>
    <t>EBIAT</t>
  </si>
  <si>
    <t>Unlevered FCF</t>
  </si>
  <si>
    <t>Present Value of FCF</t>
  </si>
  <si>
    <t>Terminal Value</t>
  </si>
  <si>
    <t>Present Value of Terminal Value</t>
  </si>
  <si>
    <t>Enterprise Value</t>
  </si>
  <si>
    <t>+ Cash</t>
  </si>
  <si>
    <t>- Debt</t>
  </si>
  <si>
    <t>Equity Value</t>
  </si>
  <si>
    <t>Shares</t>
  </si>
  <si>
    <t>Share Price</t>
  </si>
  <si>
    <t>WACC</t>
  </si>
  <si>
    <t>Debt</t>
  </si>
  <si>
    <t>% Debt</t>
  </si>
  <si>
    <t>Cost of Debt</t>
  </si>
  <si>
    <t>Tax Rate</t>
  </si>
  <si>
    <t>% Equity</t>
  </si>
  <si>
    <t>Cost of Equity</t>
  </si>
  <si>
    <t>Risk Free Rate</t>
  </si>
  <si>
    <t>Beta</t>
  </si>
  <si>
    <t>Market Risk Premium</t>
  </si>
  <si>
    <t>Debt + Equity</t>
  </si>
  <si>
    <t>TGR</t>
  </si>
  <si>
    <t>"All ratios computed from Operating Model"</t>
  </si>
  <si>
    <t>PROFITABILITY</t>
  </si>
  <si>
    <t>LIQUIDITY</t>
  </si>
  <si>
    <t>LEVERAGE</t>
  </si>
  <si>
    <t>EFFICIENCY</t>
  </si>
  <si>
    <t>GROWTH &amp; PER-SHARE</t>
  </si>
  <si>
    <t>EBIT Margin</t>
  </si>
  <si>
    <t>EBITDA Margin</t>
  </si>
  <si>
    <t>Net Margin</t>
  </si>
  <si>
    <t>ROE (Return on Equity)</t>
  </si>
  <si>
    <t>ROIC (Return on Invested Capital)</t>
  </si>
  <si>
    <t>ROIC − WACC Spread</t>
  </si>
  <si>
    <t>Current Ratio</t>
  </si>
  <si>
    <t>Quick Ratio (Acid Test)</t>
  </si>
  <si>
    <t>Cash Ratio</t>
  </si>
  <si>
    <t>Total Debt</t>
  </si>
  <si>
    <t>Net Debt</t>
  </si>
  <si>
    <t>Debt / Equity</t>
  </si>
  <si>
    <t>Total Debt / EBITDA</t>
  </si>
  <si>
    <t>Net Debt / EBITDA</t>
  </si>
  <si>
    <t>Interest Coverage Ratio</t>
  </si>
  <si>
    <t>Asset Turnover</t>
  </si>
  <si>
    <t>DSO (Days Sales Outstanding)</t>
  </si>
  <si>
    <t>DIO (Days Inventory Outstanding)</t>
  </si>
  <si>
    <t>DPO (Days Payable Outstanding)</t>
  </si>
  <si>
    <t>Cash Conversion Cycle</t>
  </si>
  <si>
    <t>Shares Outstanding</t>
  </si>
  <si>
    <t>EBITDA Growth %</t>
  </si>
  <si>
    <t>EPS (EGP per share)</t>
  </si>
  <si>
    <t>EPS Growth %</t>
  </si>
  <si>
    <t>DPS (Dividends per share, EGP)</t>
  </si>
  <si>
    <t>Payout Ratio %</t>
  </si>
  <si>
    <t>Implied Dividend Yield %</t>
  </si>
  <si>
    <t xml:space="preserve"> </t>
  </si>
  <si>
    <t>Sensitivity Analysis - Implied Share Price (EGP)</t>
  </si>
  <si>
    <t>WACC ↓  /  TGR →</t>
  </si>
  <si>
    <t>TGR = 5%</t>
  </si>
  <si>
    <t>TGR = 6%</t>
  </si>
  <si>
    <t>WACC = 30%</t>
  </si>
  <si>
    <t>WACC = 33.82% (base)</t>
  </si>
  <si>
    <t>WACC = 38%</t>
  </si>
  <si>
    <t>TGR =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</si>
</sst>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&quot;FY&quot;yy"/>
    <numFmt numFmtId="165" formatCode="_(* #,##0_);_(* \(#,##0\);_(* &quot;-&quot;??_);_(@_)"/>
    <numFmt numFmtId="166" formatCode="0.0%"/>
    <numFmt numFmtId="167" formatCode="0.0"/>
    <numFmt numFmtId="168" formatCode="0.0%;\(0.0%\)"/>
    <numFmt numFmtId="169" formatCode="[$EGP]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4" tint="-0.24994659260841701"/>
      <name val="Calibri"/>
      <family val="2"/>
      <scheme val="minor"/>
    </font>
    <font>
      <b/>
      <sz val="12"/>
      <color theme="4" tint="-0.2499465926084170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2"/>
      <color theme="1"/>
      <name val="Calibri"/>
      <family val="2"/>
    </font>
    <font>
      <sz val="12"/>
      <color theme="1"/>
      <name val="Calibri"/>
      <family val="2"/>
      <charset val="1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rgb="FF333F4F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0" borderId="0" xfId="0" applyFont="1"/>
    <xf numFmtId="0" fontId="6" fillId="0" borderId="0" xfId="0" applyFont="1"/>
    <xf numFmtId="0" fontId="4" fillId="2" borderId="0" xfId="0" applyFont="1" applyFill="1"/>
    <xf numFmtId="164" fontId="7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14" fontId="4" fillId="3" borderId="0" xfId="0" applyNumberFormat="1" applyFont="1" applyFill="1" applyAlignment="1">
      <alignment horizontal="centerContinuous" vertical="center"/>
    </xf>
    <xf numFmtId="9" fontId="2" fillId="0" borderId="0" xfId="2" applyFont="1"/>
    <xf numFmtId="9" fontId="2" fillId="0" borderId="1" xfId="2" applyFont="1" applyBorder="1"/>
    <xf numFmtId="9" fontId="2" fillId="0" borderId="0" xfId="2" applyFont="1" applyBorder="1"/>
    <xf numFmtId="9" fontId="2" fillId="0" borderId="2" xfId="2" applyFont="1" applyBorder="1"/>
    <xf numFmtId="0" fontId="3" fillId="3" borderId="2" xfId="0" applyFont="1" applyFill="1" applyBorder="1" applyAlignment="1">
      <alignment horizontal="centerContinuous" vertical="center"/>
    </xf>
    <xf numFmtId="0" fontId="3" fillId="2" borderId="0" xfId="0" applyFont="1" applyFill="1"/>
    <xf numFmtId="0" fontId="5" fillId="0" borderId="3" xfId="0" applyFont="1" applyBorder="1"/>
    <xf numFmtId="0" fontId="10" fillId="3" borderId="0" xfId="0" applyFont="1" applyFill="1" applyAlignment="1">
      <alignment horizontal="centerContinuous" vertical="center"/>
    </xf>
    <xf numFmtId="43" fontId="2" fillId="0" borderId="0" xfId="1" applyFont="1"/>
    <xf numFmtId="43" fontId="5" fillId="0" borderId="3" xfId="1" applyFont="1" applyBorder="1"/>
    <xf numFmtId="43" fontId="2" fillId="0" borderId="3" xfId="1" applyFont="1" applyBorder="1"/>
    <xf numFmtId="0" fontId="8" fillId="0" borderId="0" xfId="0" applyFont="1" applyAlignment="1">
      <alignment horizontal="centerContinuous" vertical="center"/>
    </xf>
    <xf numFmtId="0" fontId="9" fillId="3" borderId="0" xfId="0" applyFont="1" applyFill="1" applyAlignment="1">
      <alignment horizontal="centerContinuous" vertical="center"/>
    </xf>
    <xf numFmtId="0" fontId="9" fillId="2" borderId="0" xfId="0" applyFont="1" applyFill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0" fontId="4" fillId="3" borderId="2" xfId="0" applyFont="1" applyFill="1" applyBorder="1" applyAlignment="1">
      <alignment horizontal="centerContinuous" vertical="center"/>
    </xf>
    <xf numFmtId="164" fontId="4" fillId="3" borderId="0" xfId="0" applyNumberFormat="1" applyFont="1" applyFill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2" fillId="0" borderId="0" xfId="0" applyFont="1" applyAlignment="1">
      <alignment horizontal="left" indent="1"/>
    </xf>
    <xf numFmtId="165" fontId="5" fillId="0" borderId="0" xfId="1" applyNumberFormat="1" applyFont="1"/>
    <xf numFmtId="165" fontId="2" fillId="0" borderId="0" xfId="1" applyNumberFormat="1" applyFont="1"/>
    <xf numFmtId="165" fontId="5" fillId="0" borderId="3" xfId="1" applyNumberFormat="1" applyFont="1" applyBorder="1"/>
    <xf numFmtId="165" fontId="12" fillId="0" borderId="0" xfId="1" applyNumberFormat="1" applyFont="1"/>
    <xf numFmtId="166" fontId="8" fillId="0" borderId="0" xfId="2" applyNumberFormat="1" applyFont="1"/>
    <xf numFmtId="166" fontId="8" fillId="0" borderId="0" xfId="2" applyNumberFormat="1" applyFont="1" applyAlignment="1">
      <alignment horizontal="left" indent="1"/>
    </xf>
    <xf numFmtId="166" fontId="13" fillId="0" borderId="0" xfId="2" applyNumberFormat="1" applyFont="1" applyAlignment="1">
      <alignment horizontal="right"/>
    </xf>
    <xf numFmtId="165" fontId="14" fillId="0" borderId="0" xfId="1" applyNumberFormat="1" applyFont="1"/>
    <xf numFmtId="165" fontId="15" fillId="0" borderId="0" xfId="1" applyNumberFormat="1" applyFont="1"/>
    <xf numFmtId="165" fontId="14" fillId="0" borderId="3" xfId="1" applyNumberFormat="1" applyFont="1" applyBorder="1"/>
    <xf numFmtId="0" fontId="5" fillId="0" borderId="3" xfId="0" applyFont="1" applyBorder="1" applyAlignment="1">
      <alignment horizontal="left" indent="1"/>
    </xf>
    <xf numFmtId="165" fontId="2" fillId="0" borderId="0" xfId="0" applyNumberFormat="1" applyFont="1"/>
    <xf numFmtId="165" fontId="5" fillId="0" borderId="0" xfId="0" applyNumberFormat="1" applyFont="1"/>
    <xf numFmtId="166" fontId="2" fillId="0" borderId="0" xfId="2" applyNumberFormat="1" applyFont="1"/>
    <xf numFmtId="165" fontId="5" fillId="0" borderId="0" xfId="1" applyNumberFormat="1" applyFont="1" applyBorder="1"/>
    <xf numFmtId="0" fontId="5" fillId="0" borderId="0" xfId="0" applyFont="1" applyAlignment="1">
      <alignment horizontal="left" indent="1"/>
    </xf>
    <xf numFmtId="0" fontId="8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left" indent="1"/>
    </xf>
    <xf numFmtId="0" fontId="8" fillId="0" borderId="5" xfId="0" applyFont="1" applyBorder="1" applyAlignment="1">
      <alignment horizontal="centerContinuous" vertical="center"/>
    </xf>
    <xf numFmtId="0" fontId="5" fillId="0" borderId="4" xfId="0" applyFont="1" applyBorder="1"/>
    <xf numFmtId="165" fontId="5" fillId="0" borderId="4" xfId="0" applyNumberFormat="1" applyFont="1" applyBorder="1"/>
    <xf numFmtId="41" fontId="2" fillId="0" borderId="0" xfId="1" applyNumberFormat="1" applyFont="1"/>
    <xf numFmtId="41" fontId="5" fillId="0" borderId="3" xfId="1" applyNumberFormat="1" applyFont="1" applyBorder="1"/>
    <xf numFmtId="41" fontId="2" fillId="0" borderId="0" xfId="0" applyNumberFormat="1" applyFont="1"/>
    <xf numFmtId="0" fontId="11" fillId="0" borderId="0" xfId="0" applyFont="1" applyAlignment="1">
      <alignment horizontal="centerContinuous" vertical="center"/>
    </xf>
    <xf numFmtId="41" fontId="5" fillId="0" borderId="0" xfId="1" applyNumberFormat="1" applyFont="1"/>
    <xf numFmtId="41" fontId="5" fillId="0" borderId="0" xfId="1" applyNumberFormat="1" applyFont="1" applyBorder="1"/>
    <xf numFmtId="41" fontId="16" fillId="0" borderId="0" xfId="1" applyNumberFormat="1" applyFont="1"/>
    <xf numFmtId="41" fontId="17" fillId="0" borderId="0" xfId="1" applyNumberFormat="1" applyFont="1"/>
    <xf numFmtId="165" fontId="17" fillId="0" borderId="0" xfId="1" applyNumberFormat="1" applyFont="1"/>
    <xf numFmtId="166" fontId="5" fillId="0" borderId="0" xfId="2" applyNumberFormat="1" applyFont="1" applyAlignment="1">
      <alignment horizontal="left" indent="1"/>
    </xf>
    <xf numFmtId="165" fontId="15" fillId="0" borderId="0" xfId="1" applyNumberFormat="1" applyFont="1" applyAlignment="1">
      <alignment horizontal="right"/>
    </xf>
    <xf numFmtId="41" fontId="14" fillId="0" borderId="4" xfId="1" applyNumberFormat="1" applyFont="1" applyBorder="1"/>
    <xf numFmtId="167" fontId="2" fillId="0" borderId="0" xfId="0" applyNumberFormat="1" applyFont="1"/>
    <xf numFmtId="166" fontId="0" fillId="0" borderId="0" xfId="2" applyNumberFormat="1" applyFont="1"/>
    <xf numFmtId="0" fontId="4" fillId="0" borderId="0" xfId="0" applyFont="1"/>
    <xf numFmtId="0" fontId="3" fillId="0" borderId="0" xfId="0" applyFont="1"/>
    <xf numFmtId="0" fontId="9" fillId="0" borderId="0" xfId="0" applyFont="1" applyAlignment="1">
      <alignment horizontal="centerContinuous" vertical="center"/>
    </xf>
    <xf numFmtId="10" fontId="2" fillId="0" borderId="0" xfId="2" applyNumberFormat="1" applyFont="1"/>
    <xf numFmtId="43" fontId="2" fillId="0" borderId="0" xfId="0" applyNumberFormat="1" applyFont="1"/>
    <xf numFmtId="168" fontId="0" fillId="0" borderId="6" xfId="0" applyNumberFormat="1" applyBorder="1" applyAlignment="1">
      <alignment horizontal="center"/>
    </xf>
    <xf numFmtId="0" fontId="8" fillId="0" borderId="9" xfId="0" applyFont="1" applyBorder="1" applyAlignment="1">
      <alignment horizontal="centerContinuous" vertical="center"/>
    </xf>
    <xf numFmtId="0" fontId="2" fillId="0" borderId="9" xfId="0" applyFont="1" applyBorder="1"/>
    <xf numFmtId="0" fontId="5" fillId="0" borderId="8" xfId="0" applyFont="1" applyBorder="1"/>
    <xf numFmtId="0" fontId="0" fillId="0" borderId="5" xfId="0" applyBorder="1"/>
    <xf numFmtId="0" fontId="2" fillId="0" borderId="5" xfId="0" applyFont="1" applyBorder="1"/>
    <xf numFmtId="0" fontId="19" fillId="0" borderId="5" xfId="0" applyFont="1" applyBorder="1"/>
    <xf numFmtId="3" fontId="0" fillId="0" borderId="0" xfId="0" applyNumberFormat="1"/>
    <xf numFmtId="166" fontId="0" fillId="0" borderId="0" xfId="0" applyNumberFormat="1" applyAlignment="1">
      <alignment horizontal="right"/>
    </xf>
    <xf numFmtId="9" fontId="0" fillId="0" borderId="0" xfId="2" applyFont="1"/>
    <xf numFmtId="166" fontId="0" fillId="0" borderId="0" xfId="0" applyNumberFormat="1"/>
    <xf numFmtId="166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65" fontId="2" fillId="0" borderId="9" xfId="0" applyNumberFormat="1" applyFont="1" applyBorder="1"/>
    <xf numFmtId="165" fontId="5" fillId="0" borderId="9" xfId="0" applyNumberFormat="1" applyFont="1" applyBorder="1"/>
    <xf numFmtId="10" fontId="0" fillId="0" borderId="0" xfId="2" applyNumberFormat="1" applyFont="1"/>
    <xf numFmtId="0" fontId="10" fillId="0" borderId="0" xfId="0" applyFont="1" applyAlignment="1">
      <alignment horizontal="centerContinuous" vertical="center"/>
    </xf>
    <xf numFmtId="164" fontId="7" fillId="0" borderId="0" xfId="0" applyNumberFormat="1" applyFont="1" applyAlignment="1">
      <alignment horizontal="center" vertical="center"/>
    </xf>
    <xf numFmtId="10" fontId="11" fillId="0" borderId="7" xfId="0" applyNumberFormat="1" applyFont="1" applyBorder="1" applyAlignment="1">
      <alignment horizontal="centerContinuous" vertical="center"/>
    </xf>
    <xf numFmtId="164" fontId="5" fillId="0" borderId="0" xfId="0" applyNumberFormat="1" applyFont="1" applyAlignment="1">
      <alignment horizontal="center" vertical="center"/>
    </xf>
    <xf numFmtId="43" fontId="2" fillId="0" borderId="9" xfId="0" applyNumberFormat="1" applyFont="1" applyBorder="1"/>
    <xf numFmtId="43" fontId="2" fillId="0" borderId="5" xfId="0" applyNumberFormat="1" applyFont="1" applyBorder="1"/>
    <xf numFmtId="41" fontId="2" fillId="0" borderId="5" xfId="0" applyNumberFormat="1" applyFont="1" applyBorder="1"/>
    <xf numFmtId="9" fontId="11" fillId="0" borderId="7" xfId="2" applyFont="1" applyFill="1" applyBorder="1" applyAlignment="1">
      <alignment horizontal="centerContinuous" vertical="center"/>
    </xf>
    <xf numFmtId="169" fontId="0" fillId="0" borderId="6" xfId="0" applyNumberFormat="1" applyBorder="1" applyAlignment="1">
      <alignment horizontal="center"/>
    </xf>
    <xf numFmtId="0" fontId="0" fillId="0" borderId="0" xfId="0" applyAlignment="1">
      <alignment horizontal="left" indent="1"/>
    </xf>
    <xf numFmtId="0" fontId="18" fillId="0" borderId="0" xfId="0" applyFon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3" fontId="0" fillId="0" borderId="7" xfId="0" applyNumberFormat="1" applyBorder="1" applyAlignment="1">
      <alignment horizontal="center" vertical="center"/>
    </xf>
    <xf numFmtId="39" fontId="0" fillId="0" borderId="0" xfId="0" applyNumberFormat="1"/>
    <xf numFmtId="0" fontId="20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10" fontId="0" fillId="4" borderId="0" xfId="0" applyNumberForma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3" fillId="5" borderId="0" xfId="0" applyFont="1" applyFill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2" fontId="22" fillId="6" borderId="11" xfId="0" applyNumberFormat="1" applyFont="1" applyFill="1" applyBorder="1" applyAlignment="1">
      <alignment horizontal="center" vertical="center"/>
    </xf>
    <xf numFmtId="2" fontId="23" fillId="3" borderId="1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29"/>
  <sheetViews>
    <sheetView showGridLines="0" topLeftCell="A19" zoomScale="90" zoomScaleNormal="90" workbookViewId="0">
      <selection activeCell="F65" sqref="F65"/>
    </sheetView>
  </sheetViews>
  <sheetFormatPr defaultRowHeight="15.75" outlineLevelRow="1" x14ac:dyDescent="0.25"/>
  <cols>
    <col min="1" max="2" width="2.7109375" style="1" customWidth="1"/>
    <col min="3" max="3" width="98.7109375" style="1" bestFit="1" customWidth="1"/>
    <col min="4" max="4" width="11.7109375" style="23" customWidth="1"/>
    <col min="5" max="5" width="16.85546875" style="1" bestFit="1" customWidth="1"/>
    <col min="6" max="6" width="17.7109375" style="1" bestFit="1" customWidth="1"/>
    <col min="7" max="7" width="16.85546875" style="1" bestFit="1" customWidth="1"/>
    <col min="8" max="12" width="19.42578125" style="1" bestFit="1" customWidth="1"/>
    <col min="13" max="14" width="2.7109375" style="1" customWidth="1"/>
    <col min="15" max="16384" width="9.140625" style="1"/>
  </cols>
  <sheetData>
    <row r="1" spans="2:12" ht="15.75" customHeight="1" x14ac:dyDescent="0.25"/>
    <row r="2" spans="2:12" ht="15.75" customHeight="1" x14ac:dyDescent="0.3">
      <c r="B2" s="6" t="str">
        <f>Company_Name&amp;" - Operating Model"</f>
        <v>EDITA Food Industries (S.A.E.) - Operating Model</v>
      </c>
    </row>
    <row r="3" spans="2:12" ht="15.75" customHeight="1" x14ac:dyDescent="0.25"/>
    <row r="4" spans="2:12" ht="15.75" customHeight="1" x14ac:dyDescent="0.25"/>
    <row r="5" spans="2:12" ht="15.75" customHeight="1" x14ac:dyDescent="0.25">
      <c r="B5" s="4" t="s">
        <v>1</v>
      </c>
      <c r="C5" s="3"/>
      <c r="D5" s="24"/>
      <c r="E5" s="3"/>
      <c r="F5" s="3"/>
      <c r="G5" s="3"/>
      <c r="H5" s="3"/>
      <c r="I5" s="3"/>
      <c r="J5" s="3"/>
      <c r="K5" s="3"/>
      <c r="L5" s="3"/>
    </row>
    <row r="6" spans="2:12" ht="15.75" customHeight="1" x14ac:dyDescent="0.25"/>
    <row r="7" spans="2:12" ht="15.75" customHeight="1" x14ac:dyDescent="0.25">
      <c r="C7" s="1" t="s">
        <v>2</v>
      </c>
      <c r="D7" s="10" t="s">
        <v>0</v>
      </c>
      <c r="E7" s="9"/>
      <c r="F7" s="9"/>
    </row>
    <row r="8" spans="2:12" ht="15.75" customHeight="1" x14ac:dyDescent="0.25">
      <c r="C8" s="1" t="s">
        <v>3</v>
      </c>
      <c r="D8" s="10" t="s">
        <v>5</v>
      </c>
    </row>
    <row r="9" spans="2:12" ht="15.75" customHeight="1" x14ac:dyDescent="0.25">
      <c r="C9" s="1" t="s">
        <v>4</v>
      </c>
      <c r="D9" s="11">
        <v>46022</v>
      </c>
    </row>
    <row r="10" spans="2:12" ht="15.75" customHeight="1" x14ac:dyDescent="0.25"/>
    <row r="11" spans="2:12" ht="15.75" customHeight="1" x14ac:dyDescent="0.25">
      <c r="B11" s="4"/>
      <c r="C11" s="3"/>
      <c r="D11" s="24"/>
      <c r="E11" s="10" t="s">
        <v>14</v>
      </c>
      <c r="F11" s="9"/>
      <c r="G11" s="16"/>
      <c r="H11" s="10" t="s">
        <v>15</v>
      </c>
      <c r="I11" s="9"/>
      <c r="J11" s="9"/>
      <c r="K11" s="9"/>
      <c r="L11" s="9"/>
    </row>
    <row r="12" spans="2:12" ht="15.75" customHeight="1" x14ac:dyDescent="0.25">
      <c r="B12" s="4" t="s">
        <v>6</v>
      </c>
      <c r="C12" s="3"/>
      <c r="D12" s="19" t="s">
        <v>42</v>
      </c>
      <c r="E12" s="8">
        <f>EOMONTH(F12,-12)</f>
        <v>45291</v>
      </c>
      <c r="F12" s="8">
        <f>EOMONTH(G12,-12)</f>
        <v>45657</v>
      </c>
      <c r="G12" s="8">
        <f>Hist_Yr</f>
        <v>46022</v>
      </c>
      <c r="H12" s="8">
        <f>EOMONTH(G12,12)</f>
        <v>46387</v>
      </c>
      <c r="I12" s="8">
        <f>EOMONTH(H12,12)</f>
        <v>46752</v>
      </c>
      <c r="J12" s="8">
        <f t="shared" ref="J12:L12" si="0">EOMONTH(I12,12)</f>
        <v>47118</v>
      </c>
      <c r="K12" s="8">
        <f t="shared" si="0"/>
        <v>47483</v>
      </c>
      <c r="L12" s="8">
        <f t="shared" si="0"/>
        <v>47848</v>
      </c>
    </row>
    <row r="13" spans="2:12" ht="15.75" customHeight="1" x14ac:dyDescent="0.25">
      <c r="B13" s="7" t="s">
        <v>7</v>
      </c>
      <c r="C13" s="17"/>
      <c r="D13" s="25"/>
      <c r="E13" s="17"/>
      <c r="F13" s="17"/>
      <c r="G13" s="17"/>
      <c r="H13" s="17"/>
      <c r="I13" s="17"/>
      <c r="J13" s="17"/>
      <c r="K13" s="17"/>
      <c r="L13" s="17"/>
    </row>
    <row r="14" spans="2:12" ht="15.75" customHeight="1" x14ac:dyDescent="0.25">
      <c r="B14" s="67"/>
      <c r="C14" s="68"/>
      <c r="D14" s="69"/>
      <c r="E14" s="68"/>
      <c r="F14" s="68"/>
      <c r="G14" s="68"/>
      <c r="H14" s="68"/>
      <c r="I14" s="68"/>
      <c r="J14" s="68"/>
      <c r="K14" s="68"/>
      <c r="L14" s="68"/>
    </row>
    <row r="15" spans="2:12" ht="15.75" customHeight="1" x14ac:dyDescent="0.25">
      <c r="C15" s="1" t="s">
        <v>114</v>
      </c>
      <c r="D15" s="23" t="s">
        <v>11</v>
      </c>
      <c r="E15" s="12"/>
      <c r="F15" s="45">
        <f>F74/E74-1</f>
        <v>0.3315643767475811</v>
      </c>
      <c r="G15" s="45">
        <f>G74/F74-1</f>
        <v>0.29532798047915154</v>
      </c>
      <c r="H15" s="45">
        <v>0.31</v>
      </c>
      <c r="I15" s="45">
        <v>0.25</v>
      </c>
      <c r="J15" s="45">
        <v>0.18</v>
      </c>
      <c r="K15" s="45">
        <v>0.13</v>
      </c>
      <c r="L15" s="45">
        <v>0.1</v>
      </c>
    </row>
    <row r="16" spans="2:12" ht="15.75" customHeight="1" x14ac:dyDescent="0.25">
      <c r="E16" s="12"/>
      <c r="F16" s="12"/>
      <c r="G16" s="12"/>
      <c r="H16" s="12"/>
      <c r="I16" s="12"/>
      <c r="J16" s="13"/>
      <c r="K16" s="14"/>
      <c r="L16" s="15"/>
    </row>
    <row r="17" spans="2:12" ht="15.75" customHeight="1" x14ac:dyDescent="0.25">
      <c r="C17" s="1" t="s">
        <v>8</v>
      </c>
      <c r="D17" s="23" t="s">
        <v>11</v>
      </c>
      <c r="E17" s="45">
        <f>1-E77/E74</f>
        <v>0.32370841870647116</v>
      </c>
      <c r="F17" s="45">
        <f t="shared" ref="F17:G17" si="1">1-F77/F74</f>
        <v>0.30889997582014705</v>
      </c>
      <c r="G17" s="45">
        <f t="shared" si="1"/>
        <v>0.34386958230162157</v>
      </c>
      <c r="H17" s="45">
        <f>AVERAGE(E17:G17)</f>
        <v>0.32549265894274659</v>
      </c>
      <c r="I17" s="45">
        <f>H17</f>
        <v>0.32549265894274659</v>
      </c>
      <c r="J17" s="45">
        <f t="shared" ref="J17:L17" si="2">I17</f>
        <v>0.32549265894274659</v>
      </c>
      <c r="K17" s="45">
        <f t="shared" si="2"/>
        <v>0.32549265894274659</v>
      </c>
      <c r="L17" s="45">
        <f t="shared" si="2"/>
        <v>0.32549265894274659</v>
      </c>
    </row>
    <row r="18" spans="2:12" ht="15.75" customHeight="1" x14ac:dyDescent="0.25">
      <c r="E18" s="45"/>
      <c r="F18" s="45"/>
      <c r="G18" s="45"/>
      <c r="H18" s="45"/>
      <c r="I18" s="45"/>
      <c r="J18" s="45"/>
      <c r="K18" s="45"/>
      <c r="L18" s="45"/>
    </row>
    <row r="19" spans="2:12" ht="15.75" customHeight="1" x14ac:dyDescent="0.25">
      <c r="C19" s="1" t="s">
        <v>132</v>
      </c>
      <c r="D19" s="23" t="s">
        <v>11</v>
      </c>
      <c r="E19" s="45">
        <f>-E86/E74</f>
        <v>0.15837353528248582</v>
      </c>
      <c r="F19" s="45">
        <f>-F86/F74</f>
        <v>0.16665512978213384</v>
      </c>
      <c r="G19" s="45">
        <f>-G86/G74</f>
        <v>0.16502804937548782</v>
      </c>
      <c r="H19" s="45">
        <f>AVERAGE(E19:G19)</f>
        <v>0.16335223814670249</v>
      </c>
      <c r="I19" s="45">
        <f>H19</f>
        <v>0.16335223814670249</v>
      </c>
      <c r="J19" s="45">
        <f t="shared" ref="J19:L19" si="3">I19</f>
        <v>0.16335223814670249</v>
      </c>
      <c r="K19" s="45">
        <f t="shared" si="3"/>
        <v>0.16335223814670249</v>
      </c>
      <c r="L19" s="45">
        <f t="shared" si="3"/>
        <v>0.16335223814670249</v>
      </c>
    </row>
    <row r="20" spans="2:12" ht="15.75" customHeight="1" x14ac:dyDescent="0.25">
      <c r="E20" s="45"/>
      <c r="F20" s="45"/>
      <c r="G20" s="45"/>
      <c r="H20" s="45"/>
      <c r="I20" s="45"/>
      <c r="J20" s="45"/>
      <c r="K20" s="45"/>
      <c r="L20" s="45"/>
    </row>
    <row r="21" spans="2:12" ht="15.75" customHeight="1" x14ac:dyDescent="0.25">
      <c r="C21" s="1" t="s">
        <v>164</v>
      </c>
      <c r="D21" s="23" t="s">
        <v>11</v>
      </c>
      <c r="E21" s="45">
        <f>-E83/E74</f>
        <v>9.3317656412696445E-2</v>
      </c>
      <c r="F21" s="45">
        <f t="shared" ref="F21:G21" si="4">-F83/F74</f>
        <v>0.10053197032109053</v>
      </c>
      <c r="G21" s="45">
        <f t="shared" si="4"/>
        <v>9.553812431186133E-2</v>
      </c>
      <c r="H21" s="45">
        <f>AVERAGE(E21:G21)</f>
        <v>9.6462583681882763E-2</v>
      </c>
      <c r="I21" s="45">
        <f>H21</f>
        <v>9.6462583681882763E-2</v>
      </c>
      <c r="J21" s="45">
        <f t="shared" ref="J21:L21" si="5">I21</f>
        <v>9.6462583681882763E-2</v>
      </c>
      <c r="K21" s="45">
        <f t="shared" si="5"/>
        <v>9.6462583681882763E-2</v>
      </c>
      <c r="L21" s="45">
        <f t="shared" si="5"/>
        <v>9.6462583681882763E-2</v>
      </c>
    </row>
    <row r="22" spans="2:12" ht="15.75" customHeight="1" x14ac:dyDescent="0.25">
      <c r="E22" s="45"/>
      <c r="F22" s="45"/>
      <c r="G22" s="45"/>
      <c r="H22" s="45"/>
      <c r="I22" s="45"/>
      <c r="J22" s="45"/>
      <c r="K22" s="45"/>
      <c r="L22" s="45"/>
    </row>
    <row r="23" spans="2:12" ht="15.75" customHeight="1" x14ac:dyDescent="0.25">
      <c r="C23" s="1" t="s">
        <v>165</v>
      </c>
      <c r="D23" s="23" t="s">
        <v>11</v>
      </c>
      <c r="E23" s="70">
        <f>-E84/E74</f>
        <v>6.3649848509125223E-2</v>
      </c>
      <c r="F23" s="70">
        <f t="shared" ref="F23:G23" si="6">-F84/F74</f>
        <v>6.4832270103743136E-2</v>
      </c>
      <c r="G23" s="70">
        <f t="shared" si="6"/>
        <v>6.6886598387277341E-2</v>
      </c>
      <c r="H23" s="70">
        <v>6.5000000000000002E-2</v>
      </c>
      <c r="I23" s="70">
        <f>H23</f>
        <v>6.5000000000000002E-2</v>
      </c>
      <c r="J23" s="70">
        <f t="shared" ref="J23:L23" si="7">I23</f>
        <v>6.5000000000000002E-2</v>
      </c>
      <c r="K23" s="70">
        <f t="shared" si="7"/>
        <v>6.5000000000000002E-2</v>
      </c>
      <c r="L23" s="70">
        <f t="shared" si="7"/>
        <v>6.5000000000000002E-2</v>
      </c>
    </row>
    <row r="24" spans="2:12" ht="15.75" customHeight="1" x14ac:dyDescent="0.25"/>
    <row r="25" spans="2:12" ht="15.75" customHeight="1" x14ac:dyDescent="0.25">
      <c r="C25" s="1" t="s">
        <v>9</v>
      </c>
      <c r="D25" s="23" t="s">
        <v>11</v>
      </c>
      <c r="E25" s="45">
        <f>-E98/E97</f>
        <v>0.26530810166917085</v>
      </c>
      <c r="F25" s="45">
        <f t="shared" ref="F25:G25" si="8">-F98/F97</f>
        <v>0.25718499983573934</v>
      </c>
      <c r="G25" s="45">
        <f t="shared" si="8"/>
        <v>0.27229485316686053</v>
      </c>
      <c r="H25" s="45">
        <f>AVERAGE(E25:G25)</f>
        <v>0.26492931822392357</v>
      </c>
      <c r="I25" s="45">
        <f>H25</f>
        <v>0.26492931822392357</v>
      </c>
      <c r="J25" s="45">
        <f t="shared" ref="J25:L25" si="9">I25</f>
        <v>0.26492931822392357</v>
      </c>
      <c r="K25" s="45">
        <f t="shared" si="9"/>
        <v>0.26492931822392357</v>
      </c>
      <c r="L25" s="45">
        <f t="shared" si="9"/>
        <v>0.26492931822392357</v>
      </c>
    </row>
    <row r="26" spans="2:12" ht="15.75" customHeight="1" x14ac:dyDescent="0.25"/>
    <row r="27" spans="2:12" ht="15.75" customHeight="1" x14ac:dyDescent="0.25">
      <c r="B27" s="4" t="s">
        <v>10</v>
      </c>
      <c r="C27" s="4"/>
      <c r="D27" s="24"/>
      <c r="E27" s="8">
        <f>EOMONTH(F27,-12)</f>
        <v>45291</v>
      </c>
      <c r="F27" s="8">
        <f>EOMONTH(G27,-12)</f>
        <v>45657</v>
      </c>
      <c r="G27" s="8">
        <f>Hist_Yr</f>
        <v>46022</v>
      </c>
      <c r="H27" s="8">
        <f>EOMONTH(G27,12)</f>
        <v>46387</v>
      </c>
      <c r="I27" s="8">
        <f>EOMONTH(H27,12)</f>
        <v>46752</v>
      </c>
      <c r="J27" s="8">
        <f t="shared" ref="J27:L27" si="10">EOMONTH(I27,12)</f>
        <v>47118</v>
      </c>
      <c r="K27" s="8">
        <f t="shared" si="10"/>
        <v>47483</v>
      </c>
      <c r="L27" s="8">
        <f t="shared" si="10"/>
        <v>47848</v>
      </c>
    </row>
    <row r="28" spans="2:12" ht="15.75" customHeight="1" x14ac:dyDescent="0.25">
      <c r="B28" s="67"/>
      <c r="C28" s="67"/>
      <c r="D28" s="69"/>
      <c r="E28" s="68"/>
      <c r="F28" s="68"/>
      <c r="G28" s="68"/>
      <c r="H28" s="68"/>
      <c r="I28" s="68"/>
      <c r="J28" s="68"/>
      <c r="K28" s="68"/>
      <c r="L28" s="68"/>
    </row>
    <row r="29" spans="2:12" ht="15.75" customHeight="1" x14ac:dyDescent="0.25">
      <c r="C29" s="1" t="s">
        <v>12</v>
      </c>
      <c r="D29" s="23" t="s">
        <v>13</v>
      </c>
      <c r="E29" s="65">
        <f>(E120+E122+E123)/E74*365</f>
        <v>23.480571848227711</v>
      </c>
      <c r="F29" s="65">
        <f t="shared" ref="F29:G29" si="11">(F120+F122+F123)/F74*365</f>
        <v>19.147727873717766</v>
      </c>
      <c r="G29" s="65">
        <f t="shared" si="11"/>
        <v>22.342809190563933</v>
      </c>
      <c r="H29" s="65">
        <f>AVERAGE(E29:G29)</f>
        <v>21.657036304169804</v>
      </c>
      <c r="I29" s="65">
        <f>H29</f>
        <v>21.657036304169804</v>
      </c>
      <c r="J29" s="65">
        <f t="shared" ref="J29:L29" si="12">I29</f>
        <v>21.657036304169804</v>
      </c>
      <c r="K29" s="65">
        <f t="shared" si="12"/>
        <v>21.657036304169804</v>
      </c>
      <c r="L29" s="65">
        <f t="shared" si="12"/>
        <v>21.657036304169804</v>
      </c>
    </row>
    <row r="30" spans="2:12" ht="15.75" customHeight="1" x14ac:dyDescent="0.25"/>
    <row r="31" spans="2:12" ht="15.75" customHeight="1" x14ac:dyDescent="0.25">
      <c r="C31" s="1" t="s">
        <v>43</v>
      </c>
      <c r="D31" s="23" t="s">
        <v>13</v>
      </c>
      <c r="E31" s="65">
        <f>(E119/E77)*365</f>
        <v>83.09638522228893</v>
      </c>
      <c r="F31" s="65">
        <f t="shared" ref="F31:G31" si="13">(F119/F77)*365</f>
        <v>99.241098161781579</v>
      </c>
      <c r="G31" s="65">
        <f t="shared" si="13"/>
        <v>61.574898491526561</v>
      </c>
      <c r="H31" s="65">
        <f>AVERAGE(E31,G31)</f>
        <v>72.335641856907742</v>
      </c>
      <c r="I31" s="65">
        <f>H31</f>
        <v>72.335641856907742</v>
      </c>
      <c r="J31" s="65">
        <f t="shared" ref="J31:L31" si="14">I31</f>
        <v>72.335641856907742</v>
      </c>
      <c r="K31" s="65">
        <f t="shared" si="14"/>
        <v>72.335641856907742</v>
      </c>
      <c r="L31" s="65">
        <f t="shared" si="14"/>
        <v>72.335641856907742</v>
      </c>
    </row>
    <row r="32" spans="2:12" ht="15.75" customHeight="1" x14ac:dyDescent="0.25"/>
    <row r="33" spans="2:12" ht="15.75" customHeight="1" x14ac:dyDescent="0.25">
      <c r="C33" s="1" t="s">
        <v>44</v>
      </c>
      <c r="D33" s="23" t="s">
        <v>13</v>
      </c>
      <c r="E33" s="65">
        <f>(E141+E142)/E77*365</f>
        <v>61.594585299476222</v>
      </c>
      <c r="F33" s="65">
        <f t="shared" ref="F33:G33" si="15">(F141+F142)/F77*365</f>
        <v>53.42699039038515</v>
      </c>
      <c r="G33" s="65">
        <f t="shared" si="15"/>
        <v>66.894823582878274</v>
      </c>
      <c r="H33" s="65">
        <f>AVERAGE(E33:G33)</f>
        <v>60.638799757579882</v>
      </c>
      <c r="I33" s="65">
        <f>H33</f>
        <v>60.638799757579882</v>
      </c>
      <c r="J33" s="65">
        <f t="shared" ref="J33:L33" si="16">I33</f>
        <v>60.638799757579882</v>
      </c>
      <c r="K33" s="65">
        <f t="shared" si="16"/>
        <v>60.638799757579882</v>
      </c>
      <c r="L33" s="65">
        <f t="shared" si="16"/>
        <v>60.638799757579882</v>
      </c>
    </row>
    <row r="34" spans="2:12" ht="15.75" customHeight="1" x14ac:dyDescent="0.25"/>
    <row r="35" spans="2:12" ht="15.75" customHeight="1" x14ac:dyDescent="0.25">
      <c r="B35" s="4" t="s">
        <v>45</v>
      </c>
      <c r="C35" s="4"/>
      <c r="D35" s="24"/>
      <c r="E35" s="8">
        <f>EOMONTH(F35,-12)</f>
        <v>45291</v>
      </c>
      <c r="F35" s="8">
        <f>EOMONTH(G35,-12)</f>
        <v>45657</v>
      </c>
      <c r="G35" s="8">
        <f>Hist_Yr</f>
        <v>46022</v>
      </c>
      <c r="H35" s="8">
        <f>EOMONTH(G35,12)</f>
        <v>46387</v>
      </c>
      <c r="I35" s="8">
        <f>EOMONTH(H35,12)</f>
        <v>46752</v>
      </c>
      <c r="J35" s="8">
        <f t="shared" ref="J35:L35" si="17">EOMONTH(I35,12)</f>
        <v>47118</v>
      </c>
      <c r="K35" s="8">
        <f t="shared" si="17"/>
        <v>47483</v>
      </c>
      <c r="L35" s="8">
        <f t="shared" si="17"/>
        <v>47848</v>
      </c>
    </row>
    <row r="36" spans="2:12" ht="15.75" customHeight="1" x14ac:dyDescent="0.25"/>
    <row r="37" spans="2:12" ht="15.75" customHeight="1" x14ac:dyDescent="0.25">
      <c r="C37" s="1" t="s">
        <v>46</v>
      </c>
      <c r="E37" s="45">
        <f>-E201/E74</f>
        <v>4.7183529802090306E-2</v>
      </c>
      <c r="F37" s="45">
        <f>-F201/F74</f>
        <v>7.4393473278584504E-2</v>
      </c>
      <c r="G37" s="45">
        <f>-G201/G74</f>
        <v>4.8778226961294038E-2</v>
      </c>
      <c r="H37" s="12">
        <v>0.05</v>
      </c>
      <c r="I37" s="12">
        <f>H37</f>
        <v>0.05</v>
      </c>
      <c r="J37" s="12">
        <f t="shared" ref="J37:L37" si="18">I37</f>
        <v>0.05</v>
      </c>
      <c r="K37" s="12">
        <f t="shared" si="18"/>
        <v>0.05</v>
      </c>
      <c r="L37" s="12">
        <f t="shared" si="18"/>
        <v>0.05</v>
      </c>
    </row>
    <row r="38" spans="2:12" ht="15.75" customHeight="1" x14ac:dyDescent="0.25"/>
    <row r="39" spans="2:12" ht="15.75" customHeight="1" x14ac:dyDescent="0.25">
      <c r="C39" s="1" t="s">
        <v>16</v>
      </c>
      <c r="D39" s="23" t="s">
        <v>11</v>
      </c>
      <c r="E39" s="45"/>
      <c r="F39" s="45">
        <f>F179/E128</f>
        <v>0.11079507287626078</v>
      </c>
      <c r="G39" s="45">
        <f>G179/F128</f>
        <v>0.10642678913676983</v>
      </c>
      <c r="H39" s="45">
        <v>0.1</v>
      </c>
      <c r="I39" s="45">
        <f>H39</f>
        <v>0.1</v>
      </c>
      <c r="J39" s="45">
        <f t="shared" ref="J39:L39" si="19">I39</f>
        <v>0.1</v>
      </c>
      <c r="K39" s="45">
        <f t="shared" si="19"/>
        <v>0.1</v>
      </c>
      <c r="L39" s="45">
        <f t="shared" si="19"/>
        <v>0.1</v>
      </c>
    </row>
    <row r="40" spans="2:12" ht="15.75" customHeight="1" x14ac:dyDescent="0.25"/>
    <row r="41" spans="2:12" ht="15.75" customHeight="1" x14ac:dyDescent="0.25">
      <c r="C41" s="1" t="s">
        <v>17</v>
      </c>
      <c r="D41" s="23" t="s">
        <v>11</v>
      </c>
      <c r="E41" s="12">
        <f>-E215/E99</f>
        <v>0.46443077584248338</v>
      </c>
      <c r="F41" s="12">
        <f t="shared" ref="F41:G41" si="20">-F215/F99</f>
        <v>0.43566809788076488</v>
      </c>
      <c r="G41" s="12">
        <f t="shared" si="20"/>
        <v>0.29684988842083865</v>
      </c>
      <c r="H41" s="12">
        <v>0.4</v>
      </c>
      <c r="I41" s="12">
        <f>H41</f>
        <v>0.4</v>
      </c>
      <c r="J41" s="12">
        <f t="shared" ref="J41:L41" si="21">I41</f>
        <v>0.4</v>
      </c>
      <c r="K41" s="12">
        <f t="shared" si="21"/>
        <v>0.4</v>
      </c>
      <c r="L41" s="12">
        <f t="shared" si="21"/>
        <v>0.4</v>
      </c>
    </row>
    <row r="42" spans="2:12" ht="15.75" customHeight="1" x14ac:dyDescent="0.25"/>
    <row r="43" spans="2:12" ht="15.75" hidden="1" customHeight="1" outlineLevel="1" x14ac:dyDescent="0.25">
      <c r="B43" s="4" t="s">
        <v>18</v>
      </c>
      <c r="C43" s="4"/>
      <c r="D43" s="24"/>
      <c r="E43" s="8">
        <f>EOMONTH(F43,-12)</f>
        <v>45291</v>
      </c>
      <c r="F43" s="8">
        <f>EOMONTH(G43,-12)</f>
        <v>45657</v>
      </c>
      <c r="G43" s="8">
        <f>Hist_Yr</f>
        <v>46022</v>
      </c>
      <c r="H43" s="8">
        <f>EOMONTH(G43,12)</f>
        <v>46387</v>
      </c>
      <c r="I43" s="8">
        <f>EOMONTH(H43,12)</f>
        <v>46752</v>
      </c>
      <c r="J43" s="8">
        <f t="shared" ref="J43" si="22">EOMONTH(I43,12)</f>
        <v>47118</v>
      </c>
      <c r="K43" s="8">
        <f t="shared" ref="K43" si="23">EOMONTH(J43,12)</f>
        <v>47483</v>
      </c>
      <c r="L43" s="8">
        <f t="shared" ref="L43" si="24">EOMONTH(K43,12)</f>
        <v>47848</v>
      </c>
    </row>
    <row r="44" spans="2:12" ht="15.75" hidden="1" customHeight="1" outlineLevel="1" x14ac:dyDescent="0.25"/>
    <row r="45" spans="2:12" ht="15.75" hidden="1" customHeight="1" outlineLevel="1" x14ac:dyDescent="0.25">
      <c r="C45" s="1" t="s">
        <v>47</v>
      </c>
      <c r="E45" s="20"/>
      <c r="F45" s="20"/>
      <c r="G45" s="20"/>
      <c r="H45" s="20"/>
      <c r="I45" s="20"/>
      <c r="J45" s="20"/>
      <c r="K45" s="20"/>
      <c r="L45" s="20"/>
    </row>
    <row r="46" spans="2:12" ht="15.75" hidden="1" customHeight="1" outlineLevel="1" x14ac:dyDescent="0.25">
      <c r="E46" s="20"/>
      <c r="F46" s="20"/>
      <c r="G46" s="20"/>
      <c r="H46" s="20"/>
      <c r="I46" s="20"/>
      <c r="J46" s="20"/>
      <c r="K46" s="20"/>
      <c r="L46" s="20"/>
    </row>
    <row r="47" spans="2:12" ht="15.75" hidden="1" customHeight="1" outlineLevel="1" x14ac:dyDescent="0.25">
      <c r="C47" s="1" t="s">
        <v>19</v>
      </c>
      <c r="E47" s="20"/>
      <c r="F47" s="20"/>
      <c r="G47" s="20"/>
      <c r="H47" s="20"/>
      <c r="I47" s="20"/>
      <c r="J47" s="20"/>
      <c r="K47" s="20"/>
      <c r="L47" s="20"/>
    </row>
    <row r="48" spans="2:12" ht="15.75" hidden="1" customHeight="1" outlineLevel="1" x14ac:dyDescent="0.25">
      <c r="C48" s="1" t="s">
        <v>48</v>
      </c>
      <c r="E48" s="20"/>
      <c r="F48" s="20"/>
      <c r="G48" s="20"/>
      <c r="H48" s="20"/>
      <c r="I48" s="20"/>
      <c r="J48" s="20"/>
      <c r="K48" s="20"/>
      <c r="L48" s="20"/>
    </row>
    <row r="49" spans="3:12" ht="15.75" hidden="1" customHeight="1" outlineLevel="1" x14ac:dyDescent="0.25">
      <c r="E49" s="20"/>
      <c r="F49" s="20"/>
      <c r="G49" s="20"/>
      <c r="H49" s="20"/>
      <c r="I49" s="20"/>
      <c r="J49" s="20"/>
      <c r="K49" s="20"/>
      <c r="L49" s="20"/>
    </row>
    <row r="50" spans="3:12" ht="15.75" hidden="1" customHeight="1" outlineLevel="1" x14ac:dyDescent="0.25">
      <c r="C50" s="1" t="s">
        <v>49</v>
      </c>
      <c r="E50" s="20"/>
      <c r="F50" s="20"/>
      <c r="G50" s="20"/>
      <c r="H50" s="20"/>
      <c r="I50" s="20"/>
      <c r="J50" s="20"/>
      <c r="K50" s="20"/>
      <c r="L50" s="20"/>
    </row>
    <row r="51" spans="3:12" ht="15.75" hidden="1" customHeight="1" outlineLevel="1" x14ac:dyDescent="0.25">
      <c r="C51" s="1" t="s">
        <v>20</v>
      </c>
      <c r="E51" s="20"/>
      <c r="F51" s="20"/>
      <c r="G51" s="20"/>
      <c r="H51" s="20"/>
      <c r="I51" s="20"/>
      <c r="J51" s="20"/>
      <c r="K51" s="20"/>
      <c r="L51" s="20"/>
    </row>
    <row r="52" spans="3:12" ht="15.75" hidden="1" customHeight="1" outlineLevel="1" x14ac:dyDescent="0.25">
      <c r="C52" s="1" t="s">
        <v>50</v>
      </c>
      <c r="E52" s="20"/>
      <c r="F52" s="20"/>
      <c r="G52" s="20"/>
      <c r="H52" s="20"/>
      <c r="I52" s="20"/>
      <c r="J52" s="20"/>
      <c r="K52" s="20"/>
      <c r="L52" s="20"/>
    </row>
    <row r="53" spans="3:12" ht="15.75" hidden="1" customHeight="1" outlineLevel="1" x14ac:dyDescent="0.25">
      <c r="C53" s="18" t="s">
        <v>21</v>
      </c>
      <c r="D53" s="26"/>
      <c r="E53" s="21"/>
      <c r="F53" s="21"/>
      <c r="G53" s="21"/>
      <c r="H53" s="21"/>
      <c r="I53" s="21"/>
      <c r="J53" s="21"/>
      <c r="K53" s="21"/>
      <c r="L53" s="21"/>
    </row>
    <row r="54" spans="3:12" ht="15.75" hidden="1" customHeight="1" outlineLevel="1" x14ac:dyDescent="0.25">
      <c r="E54" s="20"/>
      <c r="F54" s="20"/>
      <c r="G54" s="20"/>
      <c r="H54" s="20"/>
      <c r="I54" s="20"/>
      <c r="J54" s="20"/>
      <c r="K54" s="20"/>
      <c r="L54" s="20"/>
    </row>
    <row r="55" spans="3:12" ht="15.75" hidden="1" customHeight="1" outlineLevel="1" x14ac:dyDescent="0.25">
      <c r="C55" s="1" t="s">
        <v>51</v>
      </c>
      <c r="E55" s="20"/>
      <c r="F55" s="20"/>
      <c r="G55" s="20"/>
      <c r="H55" s="20"/>
      <c r="I55" s="20"/>
      <c r="J55" s="20"/>
      <c r="K55" s="20"/>
      <c r="L55" s="20"/>
    </row>
    <row r="56" spans="3:12" ht="15.75" hidden="1" customHeight="1" outlineLevel="1" x14ac:dyDescent="0.25">
      <c r="C56" s="1" t="s">
        <v>22</v>
      </c>
      <c r="E56" s="20"/>
      <c r="F56" s="20"/>
      <c r="G56" s="20"/>
      <c r="H56" s="20"/>
      <c r="I56" s="20"/>
      <c r="J56" s="20"/>
      <c r="K56" s="20"/>
      <c r="L56" s="20"/>
    </row>
    <row r="57" spans="3:12" ht="15.75" hidden="1" customHeight="1" outlineLevel="1" x14ac:dyDescent="0.25">
      <c r="C57" s="1" t="s">
        <v>52</v>
      </c>
      <c r="E57" s="20"/>
      <c r="F57" s="20"/>
      <c r="G57" s="20"/>
      <c r="H57" s="20"/>
      <c r="I57" s="20"/>
      <c r="J57" s="20"/>
      <c r="K57" s="20"/>
      <c r="L57" s="20"/>
    </row>
    <row r="58" spans="3:12" ht="15.75" hidden="1" customHeight="1" outlineLevel="1" x14ac:dyDescent="0.25">
      <c r="C58" s="1" t="s">
        <v>20</v>
      </c>
      <c r="E58" s="20"/>
      <c r="F58" s="20"/>
      <c r="G58" s="20"/>
      <c r="H58" s="20"/>
      <c r="I58" s="20"/>
      <c r="J58" s="20"/>
      <c r="K58" s="20"/>
      <c r="L58" s="20"/>
    </row>
    <row r="59" spans="3:12" ht="15.75" hidden="1" customHeight="1" outlineLevel="1" x14ac:dyDescent="0.25">
      <c r="C59" s="1" t="s">
        <v>53</v>
      </c>
      <c r="E59" s="20"/>
      <c r="F59" s="20"/>
      <c r="G59" s="20"/>
      <c r="H59" s="20"/>
      <c r="I59" s="20"/>
      <c r="J59" s="20"/>
      <c r="K59" s="20"/>
      <c r="L59" s="20"/>
    </row>
    <row r="60" spans="3:12" ht="15.75" hidden="1" customHeight="1" outlineLevel="1" x14ac:dyDescent="0.25">
      <c r="C60" s="18" t="s">
        <v>54</v>
      </c>
      <c r="D60" s="26"/>
      <c r="E60" s="22"/>
      <c r="F60" s="22"/>
      <c r="G60" s="22"/>
      <c r="H60" s="22"/>
      <c r="I60" s="22"/>
      <c r="J60" s="22"/>
      <c r="K60" s="22"/>
      <c r="L60" s="22"/>
    </row>
    <row r="61" spans="3:12" ht="15.75" hidden="1" customHeight="1" outlineLevel="1" x14ac:dyDescent="0.25"/>
    <row r="62" spans="3:12" ht="15.75" hidden="1" customHeight="1" outlineLevel="1" x14ac:dyDescent="0.25">
      <c r="C62" s="1" t="s">
        <v>23</v>
      </c>
      <c r="D62" s="23" t="s">
        <v>11</v>
      </c>
      <c r="E62" s="12"/>
      <c r="F62" s="12"/>
      <c r="G62" s="12"/>
      <c r="H62" s="12"/>
      <c r="I62" s="12"/>
      <c r="J62" s="12"/>
      <c r="K62" s="12"/>
      <c r="L62" s="12"/>
    </row>
    <row r="63" spans="3:12" ht="15.75" hidden="1" customHeight="1" outlineLevel="1" x14ac:dyDescent="0.25">
      <c r="C63" s="1" t="s">
        <v>55</v>
      </c>
      <c r="E63" s="20"/>
      <c r="F63" s="20"/>
      <c r="G63" s="20"/>
      <c r="H63" s="20"/>
      <c r="I63" s="20"/>
      <c r="J63" s="20"/>
      <c r="K63" s="20"/>
      <c r="L63" s="20"/>
    </row>
    <row r="64" spans="3:12" ht="15.75" hidden="1" customHeight="1" outlineLevel="1" x14ac:dyDescent="0.25">
      <c r="C64" s="1" t="s">
        <v>56</v>
      </c>
      <c r="D64" s="23" t="s">
        <v>26</v>
      </c>
    </row>
    <row r="65" spans="2:12" ht="15.75" customHeight="1" collapsed="1" x14ac:dyDescent="0.25">
      <c r="C65" s="1" t="s">
        <v>57</v>
      </c>
      <c r="D65" s="23" t="s">
        <v>11</v>
      </c>
      <c r="E65" s="12"/>
      <c r="F65" s="66">
        <f>F181/((E143+E150+F143+F150)/2)</f>
        <v>0.19712044408160931</v>
      </c>
      <c r="G65" s="66">
        <f>G181/((F143+F150+G143+G150)/2)</f>
        <v>0.18965689839311861</v>
      </c>
      <c r="H65" s="45">
        <v>0.18</v>
      </c>
      <c r="I65" s="45">
        <f>H65</f>
        <v>0.18</v>
      </c>
      <c r="J65" s="45">
        <f>I65</f>
        <v>0.18</v>
      </c>
      <c r="K65" s="45"/>
      <c r="L65" s="45"/>
    </row>
    <row r="66" spans="2:12" ht="15.75" hidden="1" customHeight="1" outlineLevel="1" x14ac:dyDescent="0.25"/>
    <row r="67" spans="2:12" ht="15.75" hidden="1" customHeight="1" outlineLevel="1" x14ac:dyDescent="0.25">
      <c r="C67" s="1" t="s">
        <v>24</v>
      </c>
      <c r="E67" s="20"/>
      <c r="F67" s="20"/>
      <c r="G67" s="20"/>
      <c r="H67" s="20"/>
      <c r="I67" s="20"/>
      <c r="J67" s="20"/>
      <c r="K67" s="20"/>
      <c r="L67" s="20"/>
    </row>
    <row r="68" spans="2:12" ht="15.75" hidden="1" customHeight="1" outlineLevel="1" x14ac:dyDescent="0.25"/>
    <row r="69" spans="2:12" ht="15.75" hidden="1" customHeight="1" outlineLevel="1" x14ac:dyDescent="0.25">
      <c r="C69" s="1" t="s">
        <v>25</v>
      </c>
      <c r="D69" s="23" t="s">
        <v>11</v>
      </c>
      <c r="E69" s="12"/>
      <c r="F69" s="12"/>
      <c r="G69" s="12"/>
      <c r="H69" s="12"/>
      <c r="I69" s="12"/>
      <c r="J69" s="12"/>
      <c r="K69" s="12"/>
      <c r="L69" s="12"/>
    </row>
    <row r="70" spans="2:12" ht="15.75" customHeight="1" collapsed="1" x14ac:dyDescent="0.25"/>
    <row r="71" spans="2:12" ht="15.75" customHeight="1" x14ac:dyDescent="0.25">
      <c r="B71" s="4"/>
      <c r="C71" s="3"/>
      <c r="D71" s="19"/>
      <c r="E71" s="10" t="str">
        <f>$E$11</f>
        <v>Historical</v>
      </c>
      <c r="F71" s="10"/>
      <c r="G71" s="28"/>
      <c r="H71" s="10" t="str">
        <f>$H$11</f>
        <v>Projected</v>
      </c>
      <c r="I71" s="10"/>
      <c r="J71" s="10"/>
      <c r="K71" s="10"/>
      <c r="L71" s="10"/>
    </row>
    <row r="72" spans="2:12" ht="15.75" customHeight="1" x14ac:dyDescent="0.25">
      <c r="B72" s="4" t="s">
        <v>7</v>
      </c>
      <c r="C72" s="3"/>
      <c r="D72" s="19" t="str">
        <f>$D$12</f>
        <v>Units</v>
      </c>
      <c r="E72" s="29">
        <f>E$12</f>
        <v>45291</v>
      </c>
      <c r="F72" s="29">
        <f t="shared" ref="F72:L72" si="25">F$12</f>
        <v>45657</v>
      </c>
      <c r="G72" s="29">
        <f t="shared" si="25"/>
        <v>46022</v>
      </c>
      <c r="H72" s="29">
        <f t="shared" si="25"/>
        <v>46387</v>
      </c>
      <c r="I72" s="29">
        <f t="shared" si="25"/>
        <v>46752</v>
      </c>
      <c r="J72" s="29">
        <f t="shared" si="25"/>
        <v>47118</v>
      </c>
      <c r="K72" s="29">
        <f t="shared" si="25"/>
        <v>47483</v>
      </c>
      <c r="L72" s="29">
        <f t="shared" si="25"/>
        <v>47848</v>
      </c>
    </row>
    <row r="73" spans="2:12" ht="15.75" customHeight="1" x14ac:dyDescent="0.25"/>
    <row r="74" spans="2:12" ht="15.75" customHeight="1" x14ac:dyDescent="0.25">
      <c r="C74" s="5" t="s">
        <v>27</v>
      </c>
      <c r="E74" s="61">
        <v>12125997046</v>
      </c>
      <c r="F74" s="61">
        <v>16146545699</v>
      </c>
      <c r="G74" s="61">
        <v>20915072432</v>
      </c>
      <c r="H74" s="32">
        <f>G74*(1+H15)</f>
        <v>27398744885.920002</v>
      </c>
      <c r="I74" s="32">
        <f>H74*(1+I15)</f>
        <v>34248431107.400002</v>
      </c>
      <c r="J74" s="32">
        <f>I74*(1+J15)</f>
        <v>40413148706.732002</v>
      </c>
      <c r="K74" s="32">
        <f>J74*(1+K15)</f>
        <v>45666858038.607155</v>
      </c>
      <c r="L74" s="32">
        <f>K74*(1+L15)</f>
        <v>50233543842.467873</v>
      </c>
    </row>
    <row r="75" spans="2:12" s="36" customFormat="1" ht="15.75" customHeight="1" x14ac:dyDescent="0.25">
      <c r="C75" s="37" t="s">
        <v>117</v>
      </c>
      <c r="D75" s="23" t="s">
        <v>11</v>
      </c>
      <c r="E75" s="38" t="str">
        <f>IFERROR(+E74/D74-1,"N/A")</f>
        <v>N/A</v>
      </c>
      <c r="F75" s="38">
        <f>IFERROR(+F74/E74-1,"N/A")</f>
        <v>0.3315643767475811</v>
      </c>
      <c r="G75" s="38">
        <f t="shared" ref="G75" si="26">IFERROR(+G74/F74-1,"N/A")</f>
        <v>0.29532798047915154</v>
      </c>
      <c r="H75" s="38">
        <v>0.31</v>
      </c>
      <c r="I75" s="38">
        <v>0.25</v>
      </c>
      <c r="J75" s="38">
        <v>0.18</v>
      </c>
      <c r="K75" s="38">
        <v>0.13</v>
      </c>
      <c r="L75" s="38">
        <v>0.1</v>
      </c>
    </row>
    <row r="76" spans="2:12" s="36" customFormat="1" ht="15.75" customHeight="1" x14ac:dyDescent="0.25">
      <c r="C76" s="37"/>
      <c r="D76" s="23"/>
      <c r="E76" s="38"/>
      <c r="F76" s="38"/>
      <c r="G76" s="38"/>
      <c r="H76" s="38"/>
      <c r="I76" s="38"/>
      <c r="J76" s="38"/>
      <c r="K76" s="38"/>
      <c r="L76" s="38"/>
    </row>
    <row r="77" spans="2:12" ht="15.75" customHeight="1" x14ac:dyDescent="0.25">
      <c r="C77" s="1" t="s">
        <v>28</v>
      </c>
      <c r="E77" s="59">
        <v>8200709717</v>
      </c>
      <c r="F77" s="59">
        <v>11158878123</v>
      </c>
      <c r="G77" s="59">
        <v>13723015211</v>
      </c>
      <c r="H77" s="33">
        <f>(1-H17)*H74</f>
        <v>18480654561.307919</v>
      </c>
      <c r="I77" s="33">
        <f>(1-I17)*I74</f>
        <v>23100818201.634899</v>
      </c>
      <c r="J77" s="33">
        <f>(1-J17)*J74</f>
        <v>27258965477.929184</v>
      </c>
      <c r="K77" s="33">
        <f>(1-K17)*K74</f>
        <v>30802630990.059971</v>
      </c>
      <c r="L77" s="33">
        <f>(1-L17)*L74</f>
        <v>33882894089.065968</v>
      </c>
    </row>
    <row r="78" spans="2:12" ht="15.75" customHeight="1" x14ac:dyDescent="0.25">
      <c r="E78" s="35"/>
      <c r="F78" s="35"/>
      <c r="G78" s="35"/>
      <c r="H78" s="33"/>
      <c r="I78" s="33"/>
      <c r="J78" s="33"/>
      <c r="K78" s="33"/>
      <c r="L78" s="33"/>
    </row>
    <row r="79" spans="2:12" ht="15.75" customHeight="1" x14ac:dyDescent="0.25">
      <c r="C79" s="18" t="s">
        <v>29</v>
      </c>
      <c r="D79" s="26"/>
      <c r="E79" s="34">
        <f>E74-E77</f>
        <v>3925287329</v>
      </c>
      <c r="F79" s="34">
        <f t="shared" ref="F79:L79" si="27">F74-F77</f>
        <v>4987667576</v>
      </c>
      <c r="G79" s="34">
        <f t="shared" si="27"/>
        <v>7192057221</v>
      </c>
      <c r="H79" s="34">
        <f t="shared" si="27"/>
        <v>8918090324.6120834</v>
      </c>
      <c r="I79" s="34">
        <f t="shared" si="27"/>
        <v>11147612905.765102</v>
      </c>
      <c r="J79" s="34">
        <f t="shared" si="27"/>
        <v>13154183228.802818</v>
      </c>
      <c r="K79" s="34">
        <f t="shared" si="27"/>
        <v>14864227048.547184</v>
      </c>
      <c r="L79" s="34">
        <f t="shared" si="27"/>
        <v>16350649753.401905</v>
      </c>
    </row>
    <row r="80" spans="2:12" s="36" customFormat="1" ht="15.75" customHeight="1" x14ac:dyDescent="0.25">
      <c r="C80" s="37" t="s">
        <v>121</v>
      </c>
      <c r="D80" s="23" t="s">
        <v>11</v>
      </c>
      <c r="E80" s="38">
        <f>IFERROR(E79/E74,"N/A")</f>
        <v>0.3237084187064711</v>
      </c>
      <c r="F80" s="38">
        <f t="shared" ref="F80:L80" si="28">IFERROR(F79/F74,"N/A")</f>
        <v>0.30889997582014711</v>
      </c>
      <c r="G80" s="38">
        <f t="shared" si="28"/>
        <v>0.34386958230162157</v>
      </c>
      <c r="H80" s="38">
        <f t="shared" si="28"/>
        <v>0.32549265894274665</v>
      </c>
      <c r="I80" s="38">
        <f t="shared" si="28"/>
        <v>0.32549265894274659</v>
      </c>
      <c r="J80" s="38">
        <f t="shared" si="28"/>
        <v>0.32549265894274654</v>
      </c>
      <c r="K80" s="38">
        <f t="shared" si="28"/>
        <v>0.32549265894274659</v>
      </c>
      <c r="L80" s="38">
        <f t="shared" si="28"/>
        <v>0.32549265894274665</v>
      </c>
    </row>
    <row r="81" spans="3:12" s="36" customFormat="1" ht="15.75" customHeight="1" x14ac:dyDescent="0.25">
      <c r="C81" s="37"/>
      <c r="D81" s="23"/>
      <c r="E81" s="38"/>
      <c r="F81" s="38"/>
      <c r="G81" s="38"/>
      <c r="H81" s="38"/>
      <c r="I81" s="38"/>
      <c r="J81" s="38"/>
      <c r="K81" s="38"/>
      <c r="L81" s="38"/>
    </row>
    <row r="82" spans="3:12" s="36" customFormat="1" ht="15.75" customHeight="1" x14ac:dyDescent="0.25">
      <c r="C82" s="62" t="s">
        <v>157</v>
      </c>
      <c r="D82" s="23"/>
      <c r="E82" s="38"/>
      <c r="F82" s="38"/>
      <c r="G82" s="38"/>
      <c r="H82" s="38"/>
      <c r="I82" s="38"/>
      <c r="J82" s="38"/>
      <c r="K82" s="38"/>
      <c r="L82" s="38"/>
    </row>
    <row r="83" spans="3:12" s="36" customFormat="1" ht="15.75" customHeight="1" x14ac:dyDescent="0.25">
      <c r="C83" s="37" t="s">
        <v>154</v>
      </c>
      <c r="D83" s="23"/>
      <c r="E83" s="60">
        <v>-1131569626</v>
      </c>
      <c r="F83" s="60">
        <v>-1623244053</v>
      </c>
      <c r="G83" s="60">
        <v>-1998186790</v>
      </c>
      <c r="H83" s="63">
        <f>-H74*H21</f>
        <v>-2642953721.3366156</v>
      </c>
      <c r="I83" s="63">
        <f t="shared" ref="I83:L83" si="29">-I74*I21</f>
        <v>-3303692151.6707692</v>
      </c>
      <c r="J83" s="63">
        <f t="shared" si="29"/>
        <v>-3898356738.971508</v>
      </c>
      <c r="K83" s="63">
        <f t="shared" si="29"/>
        <v>-4405143115.0378036</v>
      </c>
      <c r="L83" s="63">
        <f t="shared" si="29"/>
        <v>-4845657426.541584</v>
      </c>
    </row>
    <row r="84" spans="3:12" s="36" customFormat="1" ht="15.75" customHeight="1" x14ac:dyDescent="0.25">
      <c r="C84" s="37" t="s">
        <v>155</v>
      </c>
      <c r="D84" s="23"/>
      <c r="E84" s="60">
        <v>-771817875</v>
      </c>
      <c r="F84" s="60">
        <v>-1046817212</v>
      </c>
      <c r="G84" s="60">
        <v>-1398938050</v>
      </c>
      <c r="H84" s="63">
        <f>-H74*H23</f>
        <v>-1780918417.5848002</v>
      </c>
      <c r="I84" s="63">
        <f t="shared" ref="I84:L84" si="30">-I74*I23</f>
        <v>-2226148021.9809999</v>
      </c>
      <c r="J84" s="63">
        <f t="shared" si="30"/>
        <v>-2626854665.9375801</v>
      </c>
      <c r="K84" s="63">
        <f t="shared" si="30"/>
        <v>-2968345772.5094652</v>
      </c>
      <c r="L84" s="63">
        <f t="shared" si="30"/>
        <v>-3265180349.7604117</v>
      </c>
    </row>
    <row r="85" spans="3:12" s="36" customFormat="1" ht="15.75" customHeight="1" x14ac:dyDescent="0.25">
      <c r="C85" s="37" t="s">
        <v>156</v>
      </c>
      <c r="D85" s="23"/>
      <c r="E85" s="60">
        <v>-17049520</v>
      </c>
      <c r="F85" s="60">
        <v>-20843404</v>
      </c>
      <c r="G85" s="60">
        <v>-54448766</v>
      </c>
      <c r="H85" s="63">
        <f>G85</f>
        <v>-54448766</v>
      </c>
      <c r="I85" s="63">
        <f t="shared" ref="I85:L85" si="31">H85</f>
        <v>-54448766</v>
      </c>
      <c r="J85" s="63">
        <f t="shared" si="31"/>
        <v>-54448766</v>
      </c>
      <c r="K85" s="63">
        <f t="shared" si="31"/>
        <v>-54448766</v>
      </c>
      <c r="L85" s="63">
        <f t="shared" si="31"/>
        <v>-54448766</v>
      </c>
    </row>
    <row r="86" spans="3:12" x14ac:dyDescent="0.25">
      <c r="C86" s="51" t="s">
        <v>118</v>
      </c>
      <c r="D86" s="48"/>
      <c r="E86" s="64">
        <f>SUM(E83:E85)</f>
        <v>-1920437021</v>
      </c>
      <c r="F86" s="64">
        <f t="shared" ref="F86:L86" si="32">SUM(F83:F85)</f>
        <v>-2690904669</v>
      </c>
      <c r="G86" s="64">
        <f t="shared" si="32"/>
        <v>-3451573606</v>
      </c>
      <c r="H86" s="64">
        <f t="shared" si="32"/>
        <v>-4478320904.9214153</v>
      </c>
      <c r="I86" s="64">
        <f t="shared" si="32"/>
        <v>-5584288939.6517696</v>
      </c>
      <c r="J86" s="64">
        <f t="shared" si="32"/>
        <v>-6579660170.9090881</v>
      </c>
      <c r="K86" s="64">
        <f t="shared" si="32"/>
        <v>-7427937653.5472689</v>
      </c>
      <c r="L86" s="64">
        <f t="shared" si="32"/>
        <v>-8165286542.3019962</v>
      </c>
    </row>
    <row r="87" spans="3:12" ht="15.75" customHeight="1" x14ac:dyDescent="0.25">
      <c r="C87" s="5"/>
      <c r="E87" s="39"/>
      <c r="F87" s="39"/>
      <c r="G87" s="39"/>
      <c r="H87" s="40"/>
      <c r="I87" s="40"/>
      <c r="J87" s="40"/>
      <c r="K87" s="40"/>
      <c r="L87" s="40"/>
    </row>
    <row r="88" spans="3:12" x14ac:dyDescent="0.25">
      <c r="C88" s="5" t="s">
        <v>119</v>
      </c>
      <c r="D88" s="23" t="s">
        <v>11</v>
      </c>
      <c r="E88" s="39">
        <f t="shared" ref="E88:L88" si="33">E79+E86</f>
        <v>2004850308</v>
      </c>
      <c r="F88" s="39">
        <f t="shared" si="33"/>
        <v>2296762907</v>
      </c>
      <c r="G88" s="39">
        <f t="shared" si="33"/>
        <v>3740483615</v>
      </c>
      <c r="H88" s="39">
        <f t="shared" si="33"/>
        <v>4439769419.6906681</v>
      </c>
      <c r="I88" s="39">
        <f t="shared" si="33"/>
        <v>5563323966.1133327</v>
      </c>
      <c r="J88" s="39">
        <f t="shared" si="33"/>
        <v>6574523057.8937302</v>
      </c>
      <c r="K88" s="39">
        <f t="shared" si="33"/>
        <v>7436289394.9999151</v>
      </c>
      <c r="L88" s="39">
        <f t="shared" si="33"/>
        <v>8185363211.0999088</v>
      </c>
    </row>
    <row r="89" spans="3:12" s="36" customFormat="1" ht="15.75" customHeight="1" x14ac:dyDescent="0.25">
      <c r="C89" s="37" t="s">
        <v>120</v>
      </c>
      <c r="D89" s="23"/>
      <c r="E89" s="38">
        <f t="shared" ref="E89:L89" si="34">IFERROR(E88/E74,"N/A")</f>
        <v>0.16533488342398528</v>
      </c>
      <c r="F89" s="38">
        <f t="shared" si="34"/>
        <v>0.14224484603801324</v>
      </c>
      <c r="G89" s="38">
        <f t="shared" si="34"/>
        <v>0.17884153292613372</v>
      </c>
      <c r="H89" s="38">
        <f t="shared" si="34"/>
        <v>0.16204280298884166</v>
      </c>
      <c r="I89" s="38">
        <f t="shared" si="34"/>
        <v>0.16244025744324606</v>
      </c>
      <c r="J89" s="38">
        <f t="shared" si="34"/>
        <v>0.16268277202559447</v>
      </c>
      <c r="K89" s="38">
        <f t="shared" si="34"/>
        <v>0.16283777151283788</v>
      </c>
      <c r="L89" s="38">
        <f t="shared" si="34"/>
        <v>0.16294616276265844</v>
      </c>
    </row>
    <row r="90" spans="3:12" ht="15.75" customHeight="1" x14ac:dyDescent="0.25">
      <c r="E90" s="35"/>
      <c r="F90" s="35"/>
      <c r="G90" s="35"/>
      <c r="H90" s="33"/>
      <c r="I90" s="33"/>
      <c r="J90" s="33"/>
      <c r="K90" s="33"/>
      <c r="L90" s="33"/>
    </row>
    <row r="91" spans="3:12" ht="15.75" customHeight="1" x14ac:dyDescent="0.25">
      <c r="C91" s="5" t="s">
        <v>122</v>
      </c>
      <c r="E91" s="35"/>
      <c r="F91" s="35"/>
      <c r="G91" s="35"/>
      <c r="H91" s="33"/>
      <c r="I91" s="33"/>
      <c r="J91" s="33"/>
      <c r="K91" s="33"/>
      <c r="L91" s="33"/>
    </row>
    <row r="92" spans="3:12" ht="15.75" customHeight="1" x14ac:dyDescent="0.25">
      <c r="C92" s="31" t="s">
        <v>77</v>
      </c>
      <c r="E92" s="59">
        <v>213587378</v>
      </c>
      <c r="F92" s="59">
        <v>168265279</v>
      </c>
      <c r="G92" s="59">
        <v>575446672</v>
      </c>
      <c r="H92" s="33">
        <f>G92</f>
        <v>575446672</v>
      </c>
      <c r="I92" s="33">
        <f t="shared" ref="I92:L92" si="35">H92</f>
        <v>575446672</v>
      </c>
      <c r="J92" s="33">
        <f t="shared" si="35"/>
        <v>575446672</v>
      </c>
      <c r="K92" s="33">
        <f t="shared" si="35"/>
        <v>575446672</v>
      </c>
      <c r="L92" s="33">
        <f t="shared" si="35"/>
        <v>575446672</v>
      </c>
    </row>
    <row r="93" spans="3:12" ht="15.75" customHeight="1" x14ac:dyDescent="0.25">
      <c r="C93" s="31" t="s">
        <v>78</v>
      </c>
      <c r="E93" s="59">
        <v>-211931914</v>
      </c>
      <c r="F93" s="59">
        <v>-402321688</v>
      </c>
      <c r="G93" s="59">
        <v>-602686213</v>
      </c>
      <c r="H93" s="33">
        <f>G93*(1+H15)</f>
        <v>-789518939.03000009</v>
      </c>
      <c r="I93" s="33">
        <f t="shared" ref="I93:L93" si="36">H93*(1+I15)</f>
        <v>-986898673.78750014</v>
      </c>
      <c r="J93" s="33">
        <f t="shared" si="36"/>
        <v>-1164540435.0692501</v>
      </c>
      <c r="K93" s="33">
        <f t="shared" si="36"/>
        <v>-1315930691.6282525</v>
      </c>
      <c r="L93" s="33">
        <f t="shared" si="36"/>
        <v>-1447523760.7910779</v>
      </c>
    </row>
    <row r="94" spans="3:12" ht="15.75" customHeight="1" x14ac:dyDescent="0.25">
      <c r="C94" s="31" t="s">
        <v>123</v>
      </c>
      <c r="E94" s="59">
        <v>44116322</v>
      </c>
      <c r="F94" s="59">
        <v>100318882</v>
      </c>
      <c r="G94" s="59">
        <v>-9406494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</row>
    <row r="95" spans="3:12" ht="15.75" customHeight="1" x14ac:dyDescent="0.25">
      <c r="C95" s="18" t="s">
        <v>124</v>
      </c>
      <c r="D95" s="26"/>
      <c r="E95" s="41">
        <f>SUM(E92:E94)</f>
        <v>45771786</v>
      </c>
      <c r="F95" s="41">
        <f t="shared" ref="F95:L95" si="37">SUM(F92:F94)</f>
        <v>-133737527</v>
      </c>
      <c r="G95" s="41">
        <f t="shared" si="37"/>
        <v>-36646035</v>
      </c>
      <c r="H95" s="41">
        <f t="shared" si="37"/>
        <v>-214072267.03000009</v>
      </c>
      <c r="I95" s="41">
        <f t="shared" si="37"/>
        <v>-411452001.78750014</v>
      </c>
      <c r="J95" s="41">
        <f t="shared" si="37"/>
        <v>-589093763.06925011</v>
      </c>
      <c r="K95" s="41">
        <f t="shared" si="37"/>
        <v>-740484019.62825251</v>
      </c>
      <c r="L95" s="41">
        <f t="shared" si="37"/>
        <v>-872077088.79107785</v>
      </c>
    </row>
    <row r="96" spans="3:12" ht="15.75" customHeight="1" x14ac:dyDescent="0.25">
      <c r="E96" s="35"/>
      <c r="F96" s="35"/>
      <c r="G96" s="35"/>
      <c r="H96" s="33"/>
      <c r="I96" s="33"/>
      <c r="J96" s="33"/>
      <c r="K96" s="33"/>
      <c r="L96" s="33"/>
    </row>
    <row r="97" spans="3:12" ht="15.75" customHeight="1" x14ac:dyDescent="0.25">
      <c r="C97" s="18" t="s">
        <v>115</v>
      </c>
      <c r="D97" s="26"/>
      <c r="E97" s="34">
        <f>E88+E95</f>
        <v>2050622094</v>
      </c>
      <c r="F97" s="34">
        <f t="shared" ref="F97:L97" si="38">F88+F95</f>
        <v>2163025380</v>
      </c>
      <c r="G97" s="34">
        <f t="shared" si="38"/>
        <v>3703837580</v>
      </c>
      <c r="H97" s="34">
        <f t="shared" si="38"/>
        <v>4225697152.6606679</v>
      </c>
      <c r="I97" s="34">
        <f t="shared" si="38"/>
        <v>5151871964.3258324</v>
      </c>
      <c r="J97" s="34">
        <f t="shared" si="38"/>
        <v>5985429294.8244801</v>
      </c>
      <c r="K97" s="34">
        <f t="shared" si="38"/>
        <v>6695805375.3716621</v>
      </c>
      <c r="L97" s="34">
        <f t="shared" si="38"/>
        <v>7313286122.3088312</v>
      </c>
    </row>
    <row r="98" spans="3:12" ht="15.75" customHeight="1" x14ac:dyDescent="0.25">
      <c r="C98" s="31" t="s">
        <v>79</v>
      </c>
      <c r="E98" s="59">
        <v>-544046655</v>
      </c>
      <c r="F98" s="59">
        <v>-556297682</v>
      </c>
      <c r="G98" s="59">
        <v>-1008535910</v>
      </c>
      <c r="H98" s="40">
        <f>-H25*H97</f>
        <v>-1119511065.6751659</v>
      </c>
      <c r="I98" s="40">
        <f>-I25*I97</f>
        <v>-1364881927.0857887</v>
      </c>
      <c r="J98" s="40">
        <f>-J25*J97</f>
        <v>-1585715702.3553491</v>
      </c>
      <c r="K98" s="40">
        <f>-K25*K97</f>
        <v>-1773915153.057297</v>
      </c>
      <c r="L98" s="40">
        <f>-L25*L97</f>
        <v>-1937503906.3597603</v>
      </c>
    </row>
    <row r="99" spans="3:12" ht="15.75" customHeight="1" x14ac:dyDescent="0.25">
      <c r="C99" s="18" t="s">
        <v>116</v>
      </c>
      <c r="D99" s="26"/>
      <c r="E99" s="34">
        <f>SUM(E97:E98)</f>
        <v>1506575439</v>
      </c>
      <c r="F99" s="34">
        <f t="shared" ref="F99:L99" si="39">SUM(F97:F98)</f>
        <v>1606727698</v>
      </c>
      <c r="G99" s="34">
        <f t="shared" si="39"/>
        <v>2695301670</v>
      </c>
      <c r="H99" s="34">
        <f t="shared" si="39"/>
        <v>3106186086.9855022</v>
      </c>
      <c r="I99" s="34">
        <f t="shared" si="39"/>
        <v>3786990037.2400436</v>
      </c>
      <c r="J99" s="34">
        <f t="shared" si="39"/>
        <v>4399713592.4691315</v>
      </c>
      <c r="K99" s="34">
        <f t="shared" si="39"/>
        <v>4921890222.3143654</v>
      </c>
      <c r="L99" s="34">
        <f t="shared" si="39"/>
        <v>5375782215.9490709</v>
      </c>
    </row>
    <row r="100" spans="3:12" ht="15.75" hidden="1" customHeight="1" outlineLevel="1" x14ac:dyDescent="0.25">
      <c r="C100" s="5"/>
      <c r="E100" s="46"/>
      <c r="F100" s="46"/>
      <c r="G100" s="46"/>
      <c r="H100" s="46"/>
      <c r="I100" s="46"/>
      <c r="J100" s="46"/>
      <c r="K100" s="46"/>
      <c r="L100" s="46"/>
    </row>
    <row r="101" spans="3:12" ht="15.75" hidden="1" customHeight="1" outlineLevel="1" x14ac:dyDescent="0.25">
      <c r="C101" s="5" t="s">
        <v>144</v>
      </c>
      <c r="E101" s="46"/>
      <c r="F101" s="46"/>
      <c r="G101" s="46"/>
      <c r="H101" s="46"/>
      <c r="I101" s="46"/>
      <c r="J101" s="46"/>
      <c r="K101" s="46"/>
      <c r="L101" s="46"/>
    </row>
    <row r="102" spans="3:12" ht="15.75" hidden="1" customHeight="1" outlineLevel="1" x14ac:dyDescent="0.25">
      <c r="C102" s="31" t="s">
        <v>145</v>
      </c>
      <c r="E102" s="59">
        <v>1524789018</v>
      </c>
      <c r="F102" s="59">
        <v>1633729383</v>
      </c>
      <c r="G102" s="59">
        <v>2749571345</v>
      </c>
      <c r="H102" s="46"/>
      <c r="I102" s="46"/>
      <c r="J102" s="46"/>
      <c r="K102" s="46"/>
      <c r="L102" s="46"/>
    </row>
    <row r="103" spans="3:12" ht="15.75" hidden="1" customHeight="1" outlineLevel="1" x14ac:dyDescent="0.25">
      <c r="C103" s="49" t="s">
        <v>146</v>
      </c>
      <c r="D103" s="50"/>
      <c r="E103" s="59">
        <v>-18213579</v>
      </c>
      <c r="F103" s="59">
        <v>-27001685</v>
      </c>
      <c r="G103" s="59">
        <v>-54269675</v>
      </c>
      <c r="H103" s="46"/>
      <c r="I103" s="46"/>
      <c r="J103" s="46"/>
      <c r="K103" s="46"/>
      <c r="L103" s="46"/>
    </row>
    <row r="104" spans="3:12" ht="15.75" hidden="1" customHeight="1" outlineLevel="1" x14ac:dyDescent="0.25">
      <c r="C104" s="47" t="s">
        <v>147</v>
      </c>
      <c r="E104" s="52">
        <f>SUM(E102:E103)</f>
        <v>1506575439</v>
      </c>
      <c r="F104" s="52">
        <f>SUM(F102:F103)</f>
        <v>1606727698</v>
      </c>
      <c r="G104" s="52">
        <f>SUM(G102:G103)</f>
        <v>2695301670</v>
      </c>
      <c r="H104" s="51"/>
      <c r="I104" s="51"/>
      <c r="J104" s="51"/>
      <c r="K104" s="51"/>
      <c r="L104" s="51"/>
    </row>
    <row r="105" spans="3:12" ht="15.75" hidden="1" customHeight="1" outlineLevel="1" x14ac:dyDescent="0.25">
      <c r="C105" s="47"/>
      <c r="F105" s="43"/>
      <c r="G105" s="43"/>
    </row>
    <row r="106" spans="3:12" ht="15.75" hidden="1" customHeight="1" outlineLevel="1" x14ac:dyDescent="0.25">
      <c r="C106" s="47" t="s">
        <v>148</v>
      </c>
    </row>
    <row r="107" spans="3:12" ht="15.75" hidden="1" customHeight="1" outlineLevel="1" x14ac:dyDescent="0.25"/>
    <row r="108" spans="3:12" ht="15.75" hidden="1" customHeight="1" outlineLevel="1" x14ac:dyDescent="0.25">
      <c r="C108" s="5" t="s">
        <v>147</v>
      </c>
      <c r="E108" s="39">
        <f>E99</f>
        <v>1506575439</v>
      </c>
      <c r="F108" s="39">
        <f t="shared" ref="F108:G108" si="40">F99</f>
        <v>1606727698</v>
      </c>
      <c r="G108" s="39">
        <f t="shared" si="40"/>
        <v>2695301670</v>
      </c>
      <c r="H108" s="39"/>
      <c r="I108" s="39"/>
      <c r="J108" s="39"/>
      <c r="K108" s="39"/>
      <c r="L108" s="39"/>
    </row>
    <row r="109" spans="3:12" ht="15.75" hidden="1" customHeight="1" outlineLevel="1" x14ac:dyDescent="0.25">
      <c r="C109" s="31" t="s">
        <v>149</v>
      </c>
      <c r="E109" s="59">
        <v>18178708</v>
      </c>
      <c r="F109" s="59">
        <v>-104127255</v>
      </c>
      <c r="G109" s="59">
        <v>66673936</v>
      </c>
    </row>
    <row r="110" spans="3:12" ht="15.75" hidden="1" customHeight="1" outlineLevel="1" x14ac:dyDescent="0.25">
      <c r="C110" s="31" t="s">
        <v>150</v>
      </c>
      <c r="E110" s="59">
        <v>-3951159</v>
      </c>
      <c r="F110" s="59">
        <v>1822034</v>
      </c>
      <c r="G110" s="59">
        <v>-3645271</v>
      </c>
    </row>
    <row r="111" spans="3:12" ht="15.75" hidden="1" customHeight="1" outlineLevel="1" x14ac:dyDescent="0.25">
      <c r="C111" s="51" t="s">
        <v>151</v>
      </c>
      <c r="D111" s="48"/>
      <c r="E111" s="52">
        <f>SUM(E108:E110)</f>
        <v>1520802988</v>
      </c>
      <c r="F111" s="52">
        <f>SUM(F108:F110)</f>
        <v>1504422477</v>
      </c>
      <c r="G111" s="52">
        <f>SUM(G108:G110)</f>
        <v>2758330335</v>
      </c>
      <c r="H111" s="51"/>
      <c r="I111" s="51"/>
      <c r="J111" s="51"/>
      <c r="K111" s="51"/>
      <c r="L111" s="51"/>
    </row>
    <row r="112" spans="3:12" ht="15.75" customHeight="1" collapsed="1" x14ac:dyDescent="0.25"/>
    <row r="113" spans="2:12" ht="15.75" customHeight="1" x14ac:dyDescent="0.25">
      <c r="B113" s="4"/>
      <c r="C113" s="3"/>
      <c r="D113" s="19"/>
      <c r="E113" s="10" t="str">
        <f>$E$11</f>
        <v>Historical</v>
      </c>
      <c r="F113" s="10"/>
      <c r="G113" s="28"/>
      <c r="H113" s="10" t="str">
        <f>$H$11</f>
        <v>Projected</v>
      </c>
      <c r="I113" s="10"/>
      <c r="J113" s="10"/>
      <c r="K113" s="10"/>
      <c r="L113" s="10"/>
    </row>
    <row r="114" spans="2:12" ht="15.75" customHeight="1" x14ac:dyDescent="0.25">
      <c r="B114" s="4" t="s">
        <v>10</v>
      </c>
      <c r="C114" s="3"/>
      <c r="D114" s="19" t="str">
        <f>$D$12</f>
        <v>Units</v>
      </c>
      <c r="E114" s="29">
        <f>E$12</f>
        <v>45291</v>
      </c>
      <c r="F114" s="29">
        <f t="shared" ref="F114:L114" si="41">F$12</f>
        <v>45657</v>
      </c>
      <c r="G114" s="29">
        <f t="shared" si="41"/>
        <v>46022</v>
      </c>
      <c r="H114" s="29">
        <f t="shared" si="41"/>
        <v>46387</v>
      </c>
      <c r="I114" s="29">
        <f t="shared" si="41"/>
        <v>46752</v>
      </c>
      <c r="J114" s="29">
        <f t="shared" si="41"/>
        <v>47118</v>
      </c>
      <c r="K114" s="29">
        <f t="shared" si="41"/>
        <v>47483</v>
      </c>
      <c r="L114" s="29">
        <f t="shared" si="41"/>
        <v>47848</v>
      </c>
    </row>
    <row r="115" spans="2:12" ht="15.75" customHeight="1" x14ac:dyDescent="0.25">
      <c r="B115" s="7" t="s">
        <v>90</v>
      </c>
      <c r="C115" s="2"/>
      <c r="D115" s="27"/>
      <c r="E115" s="2"/>
      <c r="F115" s="2"/>
      <c r="G115" s="2"/>
      <c r="H115" s="2"/>
      <c r="I115" s="2"/>
      <c r="J115" s="2"/>
      <c r="K115" s="2"/>
      <c r="L115" s="2"/>
    </row>
    <row r="116" spans="2:12" ht="15.75" customHeight="1" x14ac:dyDescent="0.25"/>
    <row r="117" spans="2:12" ht="15.75" customHeight="1" x14ac:dyDescent="0.25">
      <c r="C117" s="5" t="s">
        <v>30</v>
      </c>
    </row>
    <row r="118" spans="2:12" ht="15.75" customHeight="1" x14ac:dyDescent="0.25">
      <c r="C118" s="31" t="s">
        <v>32</v>
      </c>
      <c r="E118" s="59">
        <v>1009902806</v>
      </c>
      <c r="F118" s="59">
        <v>518293282</v>
      </c>
      <c r="G118" s="59">
        <v>716765194</v>
      </c>
      <c r="H118" s="33">
        <f>H170-SUM(H119:H124)-H132</f>
        <v>602343983.24352551</v>
      </c>
      <c r="I118" s="33">
        <f t="shared" ref="I118:L118" si="42">I170-SUM(I119:I124)-I132</f>
        <v>1237202456.0942068</v>
      </c>
      <c r="J118" s="33">
        <f t="shared" si="42"/>
        <v>2095192737.0650787</v>
      </c>
      <c r="K118" s="33">
        <f t="shared" si="42"/>
        <v>3205829960.0689468</v>
      </c>
      <c r="L118" s="33">
        <f t="shared" si="42"/>
        <v>4557803509.8929825</v>
      </c>
    </row>
    <row r="119" spans="2:12" ht="15.75" customHeight="1" x14ac:dyDescent="0.25">
      <c r="C119" s="31" t="s">
        <v>31</v>
      </c>
      <c r="E119" s="59">
        <v>1866984476</v>
      </c>
      <c r="F119" s="59">
        <v>3034025532</v>
      </c>
      <c r="G119" s="59">
        <v>2315050051</v>
      </c>
      <c r="H119" s="33">
        <f>(H31/365)*H77</f>
        <v>3662493177.0630083</v>
      </c>
      <c r="I119" s="33">
        <f t="shared" ref="I119:L119" si="43">(I31/365)*I77</f>
        <v>4578116471.3287611</v>
      </c>
      <c r="J119" s="33">
        <f t="shared" si="43"/>
        <v>5402177436.1679382</v>
      </c>
      <c r="K119" s="33">
        <f t="shared" si="43"/>
        <v>6104460502.8697691</v>
      </c>
      <c r="L119" s="33">
        <f t="shared" si="43"/>
        <v>6714906553.1567459</v>
      </c>
    </row>
    <row r="120" spans="2:12" ht="15.75" customHeight="1" x14ac:dyDescent="0.25">
      <c r="C120" s="31" t="s">
        <v>33</v>
      </c>
      <c r="E120" s="59">
        <v>780069438</v>
      </c>
      <c r="F120" s="59">
        <v>174828115</v>
      </c>
      <c r="G120" s="59">
        <v>243511563</v>
      </c>
      <c r="H120" s="33">
        <f>(H29/365)*H74</f>
        <v>1625686610.090565</v>
      </c>
      <c r="I120" s="33">
        <f t="shared" ref="I120:L120" si="44">(I29/365)*I74</f>
        <v>2032108262.6132061</v>
      </c>
      <c r="J120" s="33">
        <f t="shared" si="44"/>
        <v>2397887749.8835835</v>
      </c>
      <c r="K120" s="33">
        <f t="shared" si="44"/>
        <v>2709613157.3684487</v>
      </c>
      <c r="L120" s="33">
        <f t="shared" si="44"/>
        <v>2980574473.1052938</v>
      </c>
    </row>
    <row r="121" spans="2:12" ht="15.75" customHeight="1" x14ac:dyDescent="0.25">
      <c r="C121" s="31" t="s">
        <v>34</v>
      </c>
      <c r="E121" s="59">
        <v>346432739</v>
      </c>
      <c r="F121" s="59">
        <v>805867012</v>
      </c>
      <c r="G121" s="59">
        <v>3445357884</v>
      </c>
      <c r="H121" s="33">
        <f>G121</f>
        <v>3445357884</v>
      </c>
      <c r="I121" s="33">
        <f t="shared" ref="I121:L121" si="45">H121</f>
        <v>3445357884</v>
      </c>
      <c r="J121" s="33">
        <f t="shared" si="45"/>
        <v>3445357884</v>
      </c>
      <c r="K121" s="33">
        <f t="shared" si="45"/>
        <v>3445357884</v>
      </c>
      <c r="L121" s="33">
        <f t="shared" si="45"/>
        <v>3445357884</v>
      </c>
    </row>
    <row r="122" spans="2:12" ht="15.75" customHeight="1" x14ac:dyDescent="0.25">
      <c r="C122" s="31" t="s">
        <v>126</v>
      </c>
      <c r="E122" s="59">
        <v>0</v>
      </c>
      <c r="F122" s="59">
        <v>536108374</v>
      </c>
      <c r="G122" s="59">
        <v>947732627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</row>
    <row r="123" spans="2:12" ht="15.75" customHeight="1" x14ac:dyDescent="0.25">
      <c r="C123" s="31" t="s">
        <v>127</v>
      </c>
      <c r="E123" s="59">
        <v>0</v>
      </c>
      <c r="F123" s="59">
        <v>136103684</v>
      </c>
      <c r="G123" s="59">
        <v>89033817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</row>
    <row r="124" spans="2:12" ht="15.75" customHeight="1" x14ac:dyDescent="0.25">
      <c r="C124" s="31" t="s">
        <v>131</v>
      </c>
      <c r="E124" s="59">
        <v>0</v>
      </c>
      <c r="F124" s="59">
        <v>0</v>
      </c>
      <c r="G124" s="59">
        <v>578992890</v>
      </c>
      <c r="H124" s="33">
        <f>G124</f>
        <v>578992890</v>
      </c>
      <c r="I124" s="33">
        <f t="shared" ref="I124:L124" si="46">H124</f>
        <v>578992890</v>
      </c>
      <c r="J124" s="33">
        <f t="shared" si="46"/>
        <v>578992890</v>
      </c>
      <c r="K124" s="33">
        <f t="shared" si="46"/>
        <v>578992890</v>
      </c>
      <c r="L124" s="33">
        <f t="shared" si="46"/>
        <v>578992890</v>
      </c>
    </row>
    <row r="125" spans="2:12" ht="15.75" customHeight="1" x14ac:dyDescent="0.25">
      <c r="C125" s="18" t="s">
        <v>35</v>
      </c>
      <c r="D125" s="26"/>
      <c r="E125" s="34">
        <f>SUM(E118:E124)</f>
        <v>4003389459</v>
      </c>
      <c r="F125" s="34">
        <f t="shared" ref="F125:L125" si="47">SUM(F118:F124)</f>
        <v>5205225999</v>
      </c>
      <c r="G125" s="34">
        <f t="shared" si="47"/>
        <v>8336444026</v>
      </c>
      <c r="H125" s="34">
        <f t="shared" si="47"/>
        <v>9914874544.3970985</v>
      </c>
      <c r="I125" s="34">
        <f t="shared" si="47"/>
        <v>11871777964.036175</v>
      </c>
      <c r="J125" s="34">
        <f t="shared" si="47"/>
        <v>13919608697.1166</v>
      </c>
      <c r="K125" s="34">
        <f t="shared" si="47"/>
        <v>16044254394.307165</v>
      </c>
      <c r="L125" s="34">
        <f t="shared" si="47"/>
        <v>18277635310.155022</v>
      </c>
    </row>
    <row r="126" spans="2:12" ht="15.75" customHeight="1" x14ac:dyDescent="0.25">
      <c r="E126" s="43"/>
      <c r="F126" s="43"/>
      <c r="G126" s="43"/>
      <c r="H126" s="43"/>
      <c r="I126" s="43"/>
      <c r="J126" s="43"/>
      <c r="K126" s="43"/>
      <c r="L126" s="43"/>
    </row>
    <row r="127" spans="2:12" ht="15.75" customHeight="1" x14ac:dyDescent="0.25">
      <c r="C127" s="5" t="s">
        <v>36</v>
      </c>
      <c r="E127" s="43"/>
      <c r="F127" s="43"/>
      <c r="G127" s="43"/>
      <c r="H127" s="43"/>
      <c r="I127" s="43"/>
      <c r="J127" s="43"/>
      <c r="K127" s="43"/>
      <c r="L127" s="43"/>
    </row>
    <row r="128" spans="2:12" ht="15.75" customHeight="1" x14ac:dyDescent="0.25">
      <c r="C128" s="31" t="s">
        <v>37</v>
      </c>
      <c r="E128" s="59">
        <v>3371427161</v>
      </c>
      <c r="F128" s="59">
        <v>4491126453</v>
      </c>
      <c r="G128" s="59">
        <v>5473026194</v>
      </c>
      <c r="H128" s="33">
        <f>G128+(H37*H74)-(H39*G128)</f>
        <v>6295660818.8960009</v>
      </c>
      <c r="I128" s="33">
        <f t="shared" ref="I128:L128" si="48">H128+(I37*I74)-(I39*H128)</f>
        <v>7378516292.3764009</v>
      </c>
      <c r="J128" s="33">
        <f t="shared" si="48"/>
        <v>8661322098.4753609</v>
      </c>
      <c r="K128" s="33">
        <f t="shared" si="48"/>
        <v>10078532790.558184</v>
      </c>
      <c r="L128" s="33">
        <f t="shared" si="48"/>
        <v>11582356703.625759</v>
      </c>
    </row>
    <row r="129" spans="2:12" ht="15.75" customHeight="1" x14ac:dyDescent="0.25">
      <c r="C129" s="31" t="s">
        <v>38</v>
      </c>
      <c r="E129" s="59">
        <v>118455576</v>
      </c>
      <c r="F129" s="59">
        <v>202114513</v>
      </c>
      <c r="G129" s="59">
        <v>471665836</v>
      </c>
      <c r="H129" s="33">
        <f>G129</f>
        <v>471665836</v>
      </c>
      <c r="I129" s="33">
        <f t="shared" ref="I129:L129" si="49">H129</f>
        <v>471665836</v>
      </c>
      <c r="J129" s="33">
        <f t="shared" si="49"/>
        <v>471665836</v>
      </c>
      <c r="K129" s="33">
        <f t="shared" si="49"/>
        <v>471665836</v>
      </c>
      <c r="L129" s="33">
        <f t="shared" si="49"/>
        <v>471665836</v>
      </c>
    </row>
    <row r="130" spans="2:12" ht="15.75" customHeight="1" x14ac:dyDescent="0.25">
      <c r="C130" s="31" t="s">
        <v>39</v>
      </c>
      <c r="E130" s="59">
        <v>264367647</v>
      </c>
      <c r="F130" s="59">
        <v>343070835</v>
      </c>
      <c r="G130" s="59">
        <v>457686035</v>
      </c>
      <c r="H130" s="33">
        <f>G130</f>
        <v>457686035</v>
      </c>
      <c r="I130" s="33">
        <f t="shared" ref="I130:L130" si="50">H130</f>
        <v>457686035</v>
      </c>
      <c r="J130" s="33">
        <f t="shared" si="50"/>
        <v>457686035</v>
      </c>
      <c r="K130" s="33">
        <f t="shared" si="50"/>
        <v>457686035</v>
      </c>
      <c r="L130" s="33">
        <f t="shared" si="50"/>
        <v>457686035</v>
      </c>
    </row>
    <row r="131" spans="2:12" ht="15.75" customHeight="1" x14ac:dyDescent="0.25">
      <c r="C131" s="31" t="s">
        <v>125</v>
      </c>
      <c r="E131" s="59">
        <v>75882029</v>
      </c>
      <c r="F131" s="59">
        <v>0</v>
      </c>
      <c r="G131" s="59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</row>
    <row r="132" spans="2:12" ht="15.75" customHeight="1" x14ac:dyDescent="0.25">
      <c r="C132" s="18" t="s">
        <v>40</v>
      </c>
      <c r="D132" s="26"/>
      <c r="E132" s="34">
        <f t="shared" ref="E132:L132" si="51">SUM(E128:E131)</f>
        <v>3830132413</v>
      </c>
      <c r="F132" s="34">
        <f t="shared" si="51"/>
        <v>5036311801</v>
      </c>
      <c r="G132" s="34">
        <f t="shared" si="51"/>
        <v>6402378065</v>
      </c>
      <c r="H132" s="34">
        <f t="shared" si="51"/>
        <v>7225012689.8960009</v>
      </c>
      <c r="I132" s="34">
        <f t="shared" si="51"/>
        <v>8307868163.3764009</v>
      </c>
      <c r="J132" s="34">
        <f t="shared" si="51"/>
        <v>9590673969.4753609</v>
      </c>
      <c r="K132" s="34">
        <f t="shared" si="51"/>
        <v>11007884661.558184</v>
      </c>
      <c r="L132" s="34">
        <f t="shared" si="51"/>
        <v>12511708574.625759</v>
      </c>
    </row>
    <row r="133" spans="2:12" ht="15.75" customHeight="1" x14ac:dyDescent="0.25">
      <c r="E133" s="33"/>
      <c r="F133" s="33"/>
      <c r="G133" s="33"/>
      <c r="H133" s="33"/>
      <c r="I133" s="33"/>
      <c r="J133" s="33"/>
      <c r="K133" s="33"/>
      <c r="L133" s="33"/>
    </row>
    <row r="134" spans="2:12" ht="15.75" customHeight="1" x14ac:dyDescent="0.25">
      <c r="C134" s="5" t="s">
        <v>41</v>
      </c>
      <c r="E134" s="32">
        <f t="shared" ref="E134:L134" si="52">E125+E132</f>
        <v>7833521872</v>
      </c>
      <c r="F134" s="32">
        <f t="shared" si="52"/>
        <v>10241537800</v>
      </c>
      <c r="G134" s="32">
        <f t="shared" si="52"/>
        <v>14738822091</v>
      </c>
      <c r="H134" s="32">
        <f t="shared" si="52"/>
        <v>17139887234.293098</v>
      </c>
      <c r="I134" s="32">
        <f t="shared" si="52"/>
        <v>20179646127.412575</v>
      </c>
      <c r="J134" s="32">
        <f t="shared" si="52"/>
        <v>23510282666.591961</v>
      </c>
      <c r="K134" s="32">
        <f t="shared" si="52"/>
        <v>27052139055.865349</v>
      </c>
      <c r="L134" s="32">
        <f t="shared" si="52"/>
        <v>30789343884.780781</v>
      </c>
    </row>
    <row r="135" spans="2:12" ht="15.75" customHeight="1" x14ac:dyDescent="0.25">
      <c r="E135" s="43"/>
      <c r="F135" s="43"/>
      <c r="G135" s="43"/>
      <c r="H135" s="43"/>
      <c r="I135" s="43"/>
      <c r="J135" s="43"/>
      <c r="K135" s="43"/>
      <c r="L135" s="43"/>
    </row>
    <row r="136" spans="2:12" ht="15.75" customHeight="1" x14ac:dyDescent="0.25">
      <c r="B136" s="7" t="s">
        <v>92</v>
      </c>
      <c r="C136" s="2"/>
      <c r="D136" s="27"/>
      <c r="E136" s="8">
        <f>EOMONTH(F136,-12)</f>
        <v>45291</v>
      </c>
      <c r="F136" s="8">
        <f>EOMONTH(G136,-12)</f>
        <v>45657</v>
      </c>
      <c r="G136" s="8">
        <f>Hist_Yr</f>
        <v>46022</v>
      </c>
      <c r="H136" s="8">
        <f>EOMONTH(G136,12)</f>
        <v>46387</v>
      </c>
      <c r="I136" s="8">
        <f>EOMONTH(H136,12)</f>
        <v>46752</v>
      </c>
      <c r="J136" s="8">
        <f t="shared" ref="J136:L136" si="53">EOMONTH(I136,12)</f>
        <v>47118</v>
      </c>
      <c r="K136" s="8">
        <f t="shared" si="53"/>
        <v>47483</v>
      </c>
      <c r="L136" s="8">
        <f t="shared" si="53"/>
        <v>47848</v>
      </c>
    </row>
    <row r="137" spans="2:12" ht="15.75" customHeight="1" x14ac:dyDescent="0.25">
      <c r="E137" s="43"/>
      <c r="F137" s="43"/>
      <c r="G137" s="43"/>
      <c r="H137" s="43"/>
      <c r="I137" s="43"/>
      <c r="J137" s="43"/>
      <c r="K137" s="43"/>
      <c r="L137" s="43"/>
    </row>
    <row r="138" spans="2:12" ht="15.75" customHeight="1" x14ac:dyDescent="0.25">
      <c r="C138" s="5" t="s">
        <v>62</v>
      </c>
      <c r="E138" s="43"/>
      <c r="F138" s="43"/>
      <c r="G138" s="43"/>
      <c r="H138" s="43"/>
      <c r="I138" s="43"/>
      <c r="J138" s="43"/>
      <c r="K138" s="43"/>
      <c r="L138" s="43"/>
    </row>
    <row r="139" spans="2:12" ht="15.75" customHeight="1" x14ac:dyDescent="0.25">
      <c r="C139" s="31" t="s">
        <v>58</v>
      </c>
      <c r="E139" s="59">
        <v>105601704</v>
      </c>
      <c r="F139" s="59">
        <v>99601868</v>
      </c>
      <c r="G139" s="59">
        <v>111646561</v>
      </c>
      <c r="H139" s="33">
        <f>G139</f>
        <v>111646561</v>
      </c>
      <c r="I139" s="33">
        <f t="shared" ref="I139:L139" si="54">H139</f>
        <v>111646561</v>
      </c>
      <c r="J139" s="33">
        <f t="shared" si="54"/>
        <v>111646561</v>
      </c>
      <c r="K139" s="33">
        <f t="shared" si="54"/>
        <v>111646561</v>
      </c>
      <c r="L139" s="33">
        <f t="shared" si="54"/>
        <v>111646561</v>
      </c>
    </row>
    <row r="140" spans="2:12" ht="15.75" customHeight="1" x14ac:dyDescent="0.25">
      <c r="C140" s="31" t="s">
        <v>59</v>
      </c>
      <c r="E140" s="59">
        <v>596722472</v>
      </c>
      <c r="F140" s="59">
        <v>808368965</v>
      </c>
      <c r="G140" s="59">
        <v>771424343</v>
      </c>
      <c r="H140" s="33">
        <f>G140</f>
        <v>771424343</v>
      </c>
      <c r="I140" s="33">
        <f t="shared" ref="I140:L140" si="55">H140</f>
        <v>771424343</v>
      </c>
      <c r="J140" s="33">
        <f t="shared" si="55"/>
        <v>771424343</v>
      </c>
      <c r="K140" s="33">
        <f t="shared" si="55"/>
        <v>771424343</v>
      </c>
      <c r="L140" s="33">
        <f t="shared" si="55"/>
        <v>771424343</v>
      </c>
    </row>
    <row r="141" spans="2:12" ht="15.75" customHeight="1" x14ac:dyDescent="0.25">
      <c r="C141" s="31" t="s">
        <v>60</v>
      </c>
      <c r="E141" s="59">
        <v>1383888532</v>
      </c>
      <c r="F141" s="59">
        <v>989684681</v>
      </c>
      <c r="G141" s="59">
        <v>1582315367</v>
      </c>
      <c r="H141" s="33">
        <f>(H33/365)*H77</f>
        <v>3070259483.1017976</v>
      </c>
      <c r="I141" s="33">
        <f t="shared" ref="I141:L141" si="56">(I33/365)*I77</f>
        <v>3837824353.8772469</v>
      </c>
      <c r="J141" s="33">
        <f t="shared" si="56"/>
        <v>4528632737.5751524</v>
      </c>
      <c r="K141" s="33">
        <f t="shared" si="56"/>
        <v>5117354993.4599209</v>
      </c>
      <c r="L141" s="33">
        <f t="shared" si="56"/>
        <v>5629090492.805913</v>
      </c>
    </row>
    <row r="142" spans="2:12" ht="15.75" customHeight="1" x14ac:dyDescent="0.25">
      <c r="C142" s="31" t="s">
        <v>128</v>
      </c>
      <c r="E142" s="59">
        <v>0</v>
      </c>
      <c r="F142" s="59">
        <v>643699632</v>
      </c>
      <c r="G142" s="59">
        <v>932749514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</row>
    <row r="143" spans="2:12" ht="15.75" customHeight="1" x14ac:dyDescent="0.25">
      <c r="C143" s="31" t="s">
        <v>63</v>
      </c>
      <c r="E143" s="59">
        <v>297757493</v>
      </c>
      <c r="F143" s="59">
        <v>372890145</v>
      </c>
      <c r="G143" s="59">
        <v>813869286</v>
      </c>
      <c r="H143" s="33">
        <f>G143</f>
        <v>813869286</v>
      </c>
      <c r="I143" s="33">
        <f t="shared" ref="I143:L143" si="57">H143</f>
        <v>813869286</v>
      </c>
      <c r="J143" s="33">
        <f t="shared" si="57"/>
        <v>813869286</v>
      </c>
      <c r="K143" s="33">
        <f t="shared" si="57"/>
        <v>813869286</v>
      </c>
      <c r="L143" s="33">
        <f t="shared" si="57"/>
        <v>813869286</v>
      </c>
    </row>
    <row r="144" spans="2:12" ht="15.75" customHeight="1" x14ac:dyDescent="0.25">
      <c r="C144" s="31" t="s">
        <v>129</v>
      </c>
      <c r="E144" s="59">
        <v>0</v>
      </c>
      <c r="F144" s="59">
        <v>3692047</v>
      </c>
      <c r="G144" s="59">
        <v>2587049</v>
      </c>
      <c r="H144" s="33">
        <f>G144</f>
        <v>2587049</v>
      </c>
      <c r="I144" s="33">
        <f t="shared" ref="I144:L144" si="58">H144</f>
        <v>2587049</v>
      </c>
      <c r="J144" s="33">
        <f t="shared" si="58"/>
        <v>2587049</v>
      </c>
      <c r="K144" s="33">
        <f t="shared" si="58"/>
        <v>2587049</v>
      </c>
      <c r="L144" s="33">
        <f t="shared" si="58"/>
        <v>2587049</v>
      </c>
    </row>
    <row r="145" spans="3:15" ht="15.75" customHeight="1" x14ac:dyDescent="0.25">
      <c r="C145" s="31" t="s">
        <v>61</v>
      </c>
      <c r="E145" s="59">
        <v>387712322</v>
      </c>
      <c r="F145" s="59">
        <v>248382615</v>
      </c>
      <c r="G145" s="59">
        <v>514276098</v>
      </c>
      <c r="H145" s="33">
        <f>G145</f>
        <v>514276098</v>
      </c>
      <c r="I145" s="33">
        <f t="shared" ref="I145:L145" si="59">H145</f>
        <v>514276098</v>
      </c>
      <c r="J145" s="33">
        <f t="shared" si="59"/>
        <v>514276098</v>
      </c>
      <c r="K145" s="33">
        <f t="shared" si="59"/>
        <v>514276098</v>
      </c>
      <c r="L145" s="33">
        <f t="shared" si="59"/>
        <v>514276098</v>
      </c>
      <c r="O145" s="71"/>
    </row>
    <row r="146" spans="3:15" ht="15.75" customHeight="1" x14ac:dyDescent="0.25">
      <c r="C146" s="31" t="s">
        <v>64</v>
      </c>
      <c r="E146" s="59">
        <v>10492859</v>
      </c>
      <c r="F146" s="59">
        <v>7854699</v>
      </c>
      <c r="G146" s="59">
        <v>16267911</v>
      </c>
      <c r="H146" s="33">
        <f>G146</f>
        <v>16267911</v>
      </c>
      <c r="I146" s="33">
        <f t="shared" ref="I146:L146" si="60">H146</f>
        <v>16267911</v>
      </c>
      <c r="J146" s="33">
        <f t="shared" si="60"/>
        <v>16267911</v>
      </c>
      <c r="K146" s="33">
        <f t="shared" si="60"/>
        <v>16267911</v>
      </c>
      <c r="L146" s="33">
        <f t="shared" si="60"/>
        <v>16267911</v>
      </c>
    </row>
    <row r="147" spans="3:15" ht="15.75" customHeight="1" x14ac:dyDescent="0.25">
      <c r="C147" s="18" t="s">
        <v>65</v>
      </c>
      <c r="D147" s="26"/>
      <c r="E147" s="34">
        <f>SUM(E139:E146)</f>
        <v>2782175382</v>
      </c>
      <c r="F147" s="34">
        <f t="shared" ref="F147:L147" si="61">SUM(F139:F146)</f>
        <v>3174174652</v>
      </c>
      <c r="G147" s="34">
        <f t="shared" si="61"/>
        <v>4745136129</v>
      </c>
      <c r="H147" s="34">
        <f t="shared" si="61"/>
        <v>5300330731.1017971</v>
      </c>
      <c r="I147" s="34">
        <f t="shared" si="61"/>
        <v>6067895601.8772469</v>
      </c>
      <c r="J147" s="34">
        <f t="shared" si="61"/>
        <v>6758703985.5751524</v>
      </c>
      <c r="K147" s="34">
        <f t="shared" si="61"/>
        <v>7347426241.4599209</v>
      </c>
      <c r="L147" s="34">
        <f t="shared" si="61"/>
        <v>7859161740.805913</v>
      </c>
    </row>
    <row r="148" spans="3:15" ht="15.75" customHeight="1" x14ac:dyDescent="0.25">
      <c r="E148" s="43"/>
      <c r="F148" s="43"/>
      <c r="G148" s="43"/>
      <c r="H148" s="43"/>
      <c r="I148" s="43"/>
      <c r="J148" s="43"/>
      <c r="K148" s="43"/>
      <c r="L148" s="43"/>
    </row>
    <row r="149" spans="3:15" ht="15.75" customHeight="1" x14ac:dyDescent="0.25">
      <c r="C149" s="5" t="s">
        <v>66</v>
      </c>
      <c r="E149" s="43"/>
      <c r="F149" s="43"/>
      <c r="G149" s="43"/>
      <c r="H149" s="43"/>
      <c r="I149" s="43"/>
      <c r="J149" s="43"/>
      <c r="K149" s="43"/>
      <c r="L149" s="43"/>
    </row>
    <row r="150" spans="3:15" ht="15.75" customHeight="1" x14ac:dyDescent="0.25">
      <c r="C150" s="31" t="s">
        <v>68</v>
      </c>
      <c r="E150" s="59">
        <v>1129283746</v>
      </c>
      <c r="F150" s="59">
        <v>2282057066</v>
      </c>
      <c r="G150" s="59">
        <v>2886725728</v>
      </c>
      <c r="H150" s="33">
        <f>G150</f>
        <v>2886725728</v>
      </c>
      <c r="I150" s="33">
        <f t="shared" ref="I150:L150" si="62">H150</f>
        <v>2886725728</v>
      </c>
      <c r="J150" s="33">
        <f t="shared" si="62"/>
        <v>2886725728</v>
      </c>
      <c r="K150" s="33">
        <f t="shared" si="62"/>
        <v>2886725728</v>
      </c>
      <c r="L150" s="33">
        <f t="shared" si="62"/>
        <v>2886725728</v>
      </c>
    </row>
    <row r="151" spans="3:15" ht="15.75" customHeight="1" x14ac:dyDescent="0.25">
      <c r="C151" s="31" t="s">
        <v>69</v>
      </c>
      <c r="E151" s="59">
        <v>17059424</v>
      </c>
      <c r="F151" s="59">
        <v>19343101</v>
      </c>
      <c r="G151" s="59" t="s">
        <v>234</v>
      </c>
      <c r="H151" s="33" t="str">
        <f>G151</f>
        <v xml:space="preserve"> </v>
      </c>
      <c r="I151" s="33" t="str">
        <f t="shared" ref="I151:L151" si="63">H151</f>
        <v xml:space="preserve"> </v>
      </c>
      <c r="J151" s="33" t="str">
        <f t="shared" si="63"/>
        <v xml:space="preserve"> </v>
      </c>
      <c r="K151" s="33" t="str">
        <f t="shared" si="63"/>
        <v xml:space="preserve"> </v>
      </c>
      <c r="L151" s="33" t="str">
        <f t="shared" si="63"/>
        <v xml:space="preserve"> </v>
      </c>
    </row>
    <row r="152" spans="3:15" ht="15.75" customHeight="1" x14ac:dyDescent="0.25">
      <c r="C152" s="31" t="s">
        <v>70</v>
      </c>
      <c r="E152" s="59">
        <v>55143601</v>
      </c>
      <c r="F152" s="59">
        <v>75262582</v>
      </c>
      <c r="G152" s="59">
        <v>114366146</v>
      </c>
      <c r="H152" s="33">
        <f>G152</f>
        <v>114366146</v>
      </c>
      <c r="I152" s="33">
        <f t="shared" ref="I152:L152" si="64">H152</f>
        <v>114366146</v>
      </c>
      <c r="J152" s="33">
        <f t="shared" si="64"/>
        <v>114366146</v>
      </c>
      <c r="K152" s="33">
        <f t="shared" si="64"/>
        <v>114366146</v>
      </c>
      <c r="L152" s="33">
        <f t="shared" si="64"/>
        <v>114366146</v>
      </c>
    </row>
    <row r="153" spans="3:15" ht="15.75" customHeight="1" x14ac:dyDescent="0.25">
      <c r="C153" s="31" t="s">
        <v>71</v>
      </c>
      <c r="E153" s="59">
        <v>316014912</v>
      </c>
      <c r="F153" s="59">
        <v>302414061</v>
      </c>
      <c r="G153" s="59">
        <v>369666761</v>
      </c>
      <c r="H153" s="33">
        <f>G153</f>
        <v>369666761</v>
      </c>
      <c r="I153" s="33">
        <f t="shared" ref="I153:L153" si="65">H153</f>
        <v>369666761</v>
      </c>
      <c r="J153" s="33">
        <f t="shared" si="65"/>
        <v>369666761</v>
      </c>
      <c r="K153" s="33">
        <f t="shared" si="65"/>
        <v>369666761</v>
      </c>
      <c r="L153" s="33">
        <f t="shared" si="65"/>
        <v>369666761</v>
      </c>
    </row>
    <row r="154" spans="3:15" ht="15.75" customHeight="1" x14ac:dyDescent="0.25">
      <c r="C154" s="31" t="s">
        <v>72</v>
      </c>
      <c r="E154" s="59">
        <v>130944266</v>
      </c>
      <c r="F154" s="59">
        <v>230717192</v>
      </c>
      <c r="G154" s="59">
        <v>512767017</v>
      </c>
      <c r="H154" s="33">
        <f>G154</f>
        <v>512767017</v>
      </c>
      <c r="I154" s="33">
        <f t="shared" ref="I154:L154" si="66">H154</f>
        <v>512767017</v>
      </c>
      <c r="J154" s="33">
        <f t="shared" si="66"/>
        <v>512767017</v>
      </c>
      <c r="K154" s="33">
        <f t="shared" si="66"/>
        <v>512767017</v>
      </c>
      <c r="L154" s="33">
        <f t="shared" si="66"/>
        <v>512767017</v>
      </c>
    </row>
    <row r="155" spans="3:15" ht="15.75" customHeight="1" x14ac:dyDescent="0.25">
      <c r="C155" s="18" t="s">
        <v>67</v>
      </c>
      <c r="D155" s="26"/>
      <c r="E155" s="34">
        <f t="shared" ref="E155" si="67">SUM(E150:E154)</f>
        <v>1648445949</v>
      </c>
      <c r="F155" s="34">
        <f t="shared" ref="F155" si="68">SUM(F150:F154)</f>
        <v>2909794002</v>
      </c>
      <c r="G155" s="34">
        <f t="shared" ref="G155" si="69">SUM(G150:G154)</f>
        <v>3883525652</v>
      </c>
      <c r="H155" s="34">
        <f t="shared" ref="H155" si="70">SUM(H150:H154)</f>
        <v>3883525652</v>
      </c>
      <c r="I155" s="34">
        <f t="shared" ref="I155" si="71">SUM(I150:I154)</f>
        <v>3883525652</v>
      </c>
      <c r="J155" s="34">
        <f t="shared" ref="J155" si="72">SUM(J150:J154)</f>
        <v>3883525652</v>
      </c>
      <c r="K155" s="34">
        <f t="shared" ref="K155" si="73">SUM(K150:K154)</f>
        <v>3883525652</v>
      </c>
      <c r="L155" s="34">
        <f t="shared" ref="L155" si="74">SUM(L150:L154)</f>
        <v>3883525652</v>
      </c>
    </row>
    <row r="156" spans="3:15" ht="15.75" customHeight="1" x14ac:dyDescent="0.25">
      <c r="E156" s="43"/>
      <c r="F156" s="43"/>
      <c r="G156" s="43"/>
      <c r="H156" s="43"/>
      <c r="I156" s="43"/>
      <c r="J156" s="43"/>
      <c r="K156" s="43"/>
      <c r="L156" s="43"/>
    </row>
    <row r="157" spans="3:15" ht="15.75" customHeight="1" x14ac:dyDescent="0.25">
      <c r="C157" s="5" t="s">
        <v>86</v>
      </c>
      <c r="E157" s="44">
        <f t="shared" ref="E157:L157" si="75">E147+E155</f>
        <v>4430621331</v>
      </c>
      <c r="F157" s="44">
        <f t="shared" si="75"/>
        <v>6083968654</v>
      </c>
      <c r="G157" s="44">
        <f t="shared" si="75"/>
        <v>8628661781</v>
      </c>
      <c r="H157" s="44">
        <f t="shared" si="75"/>
        <v>9183856383.1017971</v>
      </c>
      <c r="I157" s="44">
        <f t="shared" si="75"/>
        <v>9951421253.8772469</v>
      </c>
      <c r="J157" s="44">
        <f t="shared" si="75"/>
        <v>10642229637.575153</v>
      </c>
      <c r="K157" s="44">
        <f t="shared" si="75"/>
        <v>11230951893.459921</v>
      </c>
      <c r="L157" s="44">
        <f t="shared" si="75"/>
        <v>11742687392.805912</v>
      </c>
    </row>
    <row r="158" spans="3:15" ht="15.75" customHeight="1" x14ac:dyDescent="0.25">
      <c r="E158" s="43"/>
      <c r="F158" s="43"/>
      <c r="G158" s="43"/>
      <c r="H158" s="43"/>
      <c r="I158" s="43"/>
      <c r="J158" s="43"/>
      <c r="K158" s="43"/>
      <c r="L158" s="43"/>
    </row>
    <row r="159" spans="3:15" ht="15.75" customHeight="1" x14ac:dyDescent="0.25">
      <c r="C159" s="5" t="s">
        <v>73</v>
      </c>
      <c r="E159" s="43"/>
      <c r="F159" s="43"/>
      <c r="G159" s="43"/>
      <c r="H159" s="43"/>
      <c r="I159" s="43"/>
      <c r="J159" s="43"/>
      <c r="K159" s="43"/>
      <c r="L159" s="43"/>
    </row>
    <row r="160" spans="3:15" ht="15.75" customHeight="1" x14ac:dyDescent="0.25">
      <c r="C160" s="31" t="s">
        <v>130</v>
      </c>
      <c r="E160" s="59">
        <v>140002731</v>
      </c>
      <c r="F160" s="59">
        <v>140002731</v>
      </c>
      <c r="G160" s="59">
        <v>280005462</v>
      </c>
      <c r="H160" s="33">
        <f>G160</f>
        <v>280005462</v>
      </c>
      <c r="I160" s="33">
        <f t="shared" ref="I160:L160" si="76">H160</f>
        <v>280005462</v>
      </c>
      <c r="J160" s="33">
        <f t="shared" si="76"/>
        <v>280005462</v>
      </c>
      <c r="K160" s="33">
        <f t="shared" si="76"/>
        <v>280005462</v>
      </c>
      <c r="L160" s="33">
        <f t="shared" si="76"/>
        <v>280005462</v>
      </c>
    </row>
    <row r="161" spans="2:12" ht="15.75" customHeight="1" x14ac:dyDescent="0.25">
      <c r="C161" s="31" t="s">
        <v>74</v>
      </c>
      <c r="E161" s="59">
        <v>72536289</v>
      </c>
      <c r="F161" s="59">
        <v>72536289</v>
      </c>
      <c r="G161" s="59">
        <v>140002729</v>
      </c>
      <c r="H161" s="33">
        <f>G161</f>
        <v>140002729</v>
      </c>
      <c r="I161" s="33">
        <f t="shared" ref="I161:L161" si="77">H161</f>
        <v>140002729</v>
      </c>
      <c r="J161" s="33">
        <f t="shared" si="77"/>
        <v>140002729</v>
      </c>
      <c r="K161" s="33">
        <f t="shared" si="77"/>
        <v>140002729</v>
      </c>
      <c r="L161" s="33">
        <f t="shared" si="77"/>
        <v>140002729</v>
      </c>
    </row>
    <row r="162" spans="2:12" ht="15.75" customHeight="1" x14ac:dyDescent="0.25">
      <c r="C162" s="31" t="s">
        <v>75</v>
      </c>
      <c r="E162" s="59">
        <v>-50615771</v>
      </c>
      <c r="F162" s="59">
        <v>-210241954</v>
      </c>
      <c r="G162" s="59">
        <v>-143568018</v>
      </c>
      <c r="H162" s="33">
        <f>G162</f>
        <v>-143568018</v>
      </c>
      <c r="I162" s="33">
        <f t="shared" ref="I162:L162" si="78">H162</f>
        <v>-143568018</v>
      </c>
      <c r="J162" s="33">
        <f t="shared" si="78"/>
        <v>-143568018</v>
      </c>
      <c r="K162" s="33">
        <f t="shared" si="78"/>
        <v>-143568018</v>
      </c>
      <c r="L162" s="33">
        <f t="shared" si="78"/>
        <v>-143568018</v>
      </c>
    </row>
    <row r="163" spans="2:12" ht="15.75" customHeight="1" x14ac:dyDescent="0.25">
      <c r="C163" s="31" t="s">
        <v>76</v>
      </c>
      <c r="E163" s="59">
        <v>-32132098</v>
      </c>
      <c r="F163" s="59">
        <v>-32132098</v>
      </c>
      <c r="G163" s="59">
        <v>-32132098</v>
      </c>
      <c r="H163" s="33">
        <f>G163</f>
        <v>-32132098</v>
      </c>
      <c r="I163" s="33">
        <f t="shared" ref="I163:L163" si="79">H163</f>
        <v>-32132098</v>
      </c>
      <c r="J163" s="33">
        <f t="shared" si="79"/>
        <v>-32132098</v>
      </c>
      <c r="K163" s="33">
        <f t="shared" si="79"/>
        <v>-32132098</v>
      </c>
      <c r="L163" s="33">
        <f t="shared" si="79"/>
        <v>-32132098</v>
      </c>
    </row>
    <row r="164" spans="2:12" ht="15.75" customHeight="1" x14ac:dyDescent="0.25">
      <c r="C164" s="31" t="s">
        <v>81</v>
      </c>
      <c r="E164" s="59">
        <v>0</v>
      </c>
      <c r="F164" s="59">
        <v>0</v>
      </c>
      <c r="G164" s="59">
        <v>-192608865</v>
      </c>
      <c r="H164" s="33">
        <f>G164</f>
        <v>-192608865</v>
      </c>
      <c r="I164" s="33">
        <f t="shared" ref="I164:L164" si="80">H164</f>
        <v>-192608865</v>
      </c>
      <c r="J164" s="33">
        <f t="shared" si="80"/>
        <v>-192608865</v>
      </c>
      <c r="K164" s="33">
        <f t="shared" si="80"/>
        <v>-192608865</v>
      </c>
      <c r="L164" s="33">
        <f t="shared" si="80"/>
        <v>-192608865</v>
      </c>
    </row>
    <row r="165" spans="2:12" ht="15.75" customHeight="1" x14ac:dyDescent="0.25">
      <c r="C165" s="31" t="s">
        <v>82</v>
      </c>
      <c r="E165" s="59">
        <v>3199422434</v>
      </c>
      <c r="F165" s="59">
        <v>4085319751</v>
      </c>
      <c r="G165" s="59">
        <v>5672826654</v>
      </c>
      <c r="H165" s="33">
        <f>G165+H99-(H99*H41)</f>
        <v>7536538306.1913013</v>
      </c>
      <c r="I165" s="33">
        <f t="shared" ref="I165:L165" si="81">H165+I99-(I99*I41)</f>
        <v>9808732328.5353279</v>
      </c>
      <c r="J165" s="33">
        <f t="shared" si="81"/>
        <v>12448560484.016808</v>
      </c>
      <c r="K165" s="33">
        <f t="shared" si="81"/>
        <v>15401694617.405426</v>
      </c>
      <c r="L165" s="33">
        <f t="shared" si="81"/>
        <v>18627163946.974869</v>
      </c>
    </row>
    <row r="166" spans="2:12" ht="15.75" customHeight="1" x14ac:dyDescent="0.25">
      <c r="C166" s="42" t="s">
        <v>83</v>
      </c>
      <c r="D166" s="30"/>
      <c r="E166" s="34">
        <f>SUM(E160:E165)</f>
        <v>3329213585</v>
      </c>
      <c r="F166" s="34">
        <f t="shared" ref="F166:L166" si="82">SUM(F160:F165)</f>
        <v>4055484719</v>
      </c>
      <c r="G166" s="34">
        <f t="shared" si="82"/>
        <v>5724525864</v>
      </c>
      <c r="H166" s="34">
        <f t="shared" si="82"/>
        <v>7588237516.1913013</v>
      </c>
      <c r="I166" s="34">
        <f t="shared" si="82"/>
        <v>9860431538.5353279</v>
      </c>
      <c r="J166" s="34">
        <f t="shared" si="82"/>
        <v>12500259694.016808</v>
      </c>
      <c r="K166" s="34">
        <f t="shared" si="82"/>
        <v>15453393827.405426</v>
      </c>
      <c r="L166" s="34">
        <f t="shared" si="82"/>
        <v>18678863156.974869</v>
      </c>
    </row>
    <row r="167" spans="2:12" ht="15.75" customHeight="1" x14ac:dyDescent="0.25">
      <c r="C167" s="31" t="s">
        <v>80</v>
      </c>
      <c r="E167" s="59">
        <v>73686956</v>
      </c>
      <c r="F167" s="59">
        <v>102084427</v>
      </c>
      <c r="G167" s="59">
        <v>367793335</v>
      </c>
      <c r="H167" s="33">
        <f>G167</f>
        <v>367793335</v>
      </c>
      <c r="I167" s="33">
        <f t="shared" ref="I167:L167" si="83">H167</f>
        <v>367793335</v>
      </c>
      <c r="J167" s="33">
        <f t="shared" si="83"/>
        <v>367793335</v>
      </c>
      <c r="K167" s="33">
        <f t="shared" si="83"/>
        <v>367793335</v>
      </c>
      <c r="L167" s="33">
        <f t="shared" si="83"/>
        <v>367793335</v>
      </c>
    </row>
    <row r="168" spans="2:12" ht="15.75" customHeight="1" x14ac:dyDescent="0.25">
      <c r="C168" s="18" t="s">
        <v>84</v>
      </c>
      <c r="D168" s="26"/>
      <c r="E168" s="34">
        <f>SUM(E166:E167)</f>
        <v>3402900541</v>
      </c>
      <c r="F168" s="34">
        <f t="shared" ref="F168:L168" si="84">SUM(F166:F167)</f>
        <v>4157569146</v>
      </c>
      <c r="G168" s="34">
        <f t="shared" si="84"/>
        <v>6092319199</v>
      </c>
      <c r="H168" s="34">
        <f t="shared" si="84"/>
        <v>7956030851.1913013</v>
      </c>
      <c r="I168" s="34">
        <f t="shared" si="84"/>
        <v>10228224873.535328</v>
      </c>
      <c r="J168" s="34">
        <f t="shared" si="84"/>
        <v>12868053029.016808</v>
      </c>
      <c r="K168" s="34">
        <f t="shared" si="84"/>
        <v>15821187162.405426</v>
      </c>
      <c r="L168" s="34">
        <f t="shared" si="84"/>
        <v>19046656491.974869</v>
      </c>
    </row>
    <row r="169" spans="2:12" ht="15.75" customHeight="1" x14ac:dyDescent="0.25">
      <c r="E169" s="33"/>
      <c r="F169" s="33"/>
      <c r="G169" s="33"/>
      <c r="H169" s="33"/>
      <c r="I169" s="33"/>
      <c r="J169" s="33"/>
      <c r="K169" s="33"/>
      <c r="L169" s="33"/>
    </row>
    <row r="170" spans="2:12" ht="15.75" customHeight="1" x14ac:dyDescent="0.25">
      <c r="C170" s="5" t="s">
        <v>87</v>
      </c>
      <c r="E170" s="32">
        <f t="shared" ref="E170:L170" si="85">E157+E168</f>
        <v>7833521872</v>
      </c>
      <c r="F170" s="32">
        <f t="shared" si="85"/>
        <v>10241537800</v>
      </c>
      <c r="G170" s="32">
        <f t="shared" si="85"/>
        <v>14720980980</v>
      </c>
      <c r="H170" s="32">
        <f t="shared" si="85"/>
        <v>17139887234.293098</v>
      </c>
      <c r="I170" s="32">
        <f t="shared" si="85"/>
        <v>20179646127.412575</v>
      </c>
      <c r="J170" s="32">
        <f t="shared" si="85"/>
        <v>23510282666.591961</v>
      </c>
      <c r="K170" s="32">
        <f t="shared" si="85"/>
        <v>27052139055.865349</v>
      </c>
      <c r="L170" s="32">
        <f t="shared" si="85"/>
        <v>30789343884.780781</v>
      </c>
    </row>
    <row r="171" spans="2:12" ht="15.75" customHeight="1" x14ac:dyDescent="0.25">
      <c r="E171" s="43"/>
      <c r="F171" s="43"/>
      <c r="G171" s="43"/>
      <c r="H171" s="43"/>
      <c r="I171" s="43"/>
      <c r="J171" s="43"/>
      <c r="K171" s="43"/>
      <c r="L171" s="43"/>
    </row>
    <row r="172" spans="2:12" ht="15.75" customHeight="1" x14ac:dyDescent="0.25">
      <c r="C172" s="1" t="s">
        <v>85</v>
      </c>
      <c r="E172" s="43">
        <f t="shared" ref="E172:L172" si="86">E134-E170</f>
        <v>0</v>
      </c>
      <c r="F172" s="43">
        <f t="shared" si="86"/>
        <v>0</v>
      </c>
      <c r="G172" s="43">
        <f t="shared" si="86"/>
        <v>17841111</v>
      </c>
      <c r="H172" s="43">
        <f t="shared" si="86"/>
        <v>0</v>
      </c>
      <c r="I172" s="43">
        <f t="shared" si="86"/>
        <v>0</v>
      </c>
      <c r="J172" s="43">
        <f t="shared" si="86"/>
        <v>0</v>
      </c>
      <c r="K172" s="43">
        <f t="shared" si="86"/>
        <v>0</v>
      </c>
      <c r="L172" s="43">
        <f t="shared" si="86"/>
        <v>0</v>
      </c>
    </row>
    <row r="173" spans="2:12" ht="15.75" customHeight="1" x14ac:dyDescent="0.25"/>
    <row r="174" spans="2:12" ht="15.75" customHeight="1" x14ac:dyDescent="0.25">
      <c r="B174" s="4"/>
      <c r="C174" s="3"/>
      <c r="D174" s="19"/>
      <c r="E174" s="10" t="str">
        <f>$E$11</f>
        <v>Historical</v>
      </c>
      <c r="F174" s="10"/>
      <c r="G174" s="28"/>
      <c r="H174" s="10" t="str">
        <f>$H$11</f>
        <v>Projected</v>
      </c>
      <c r="I174" s="10"/>
      <c r="J174" s="10"/>
      <c r="K174" s="10"/>
      <c r="L174" s="10"/>
    </row>
    <row r="175" spans="2:12" ht="15.75" customHeight="1" x14ac:dyDescent="0.25">
      <c r="B175" s="4" t="s">
        <v>45</v>
      </c>
      <c r="C175" s="3"/>
      <c r="D175" s="19" t="str">
        <f>$D$12</f>
        <v>Units</v>
      </c>
      <c r="E175" s="29">
        <f>E$12</f>
        <v>45291</v>
      </c>
      <c r="F175" s="29">
        <f t="shared" ref="F175:L175" si="87">F$12</f>
        <v>45657</v>
      </c>
      <c r="G175" s="29">
        <f t="shared" si="87"/>
        <v>46022</v>
      </c>
      <c r="H175" s="29">
        <f t="shared" si="87"/>
        <v>46387</v>
      </c>
      <c r="I175" s="29">
        <f t="shared" si="87"/>
        <v>46752</v>
      </c>
      <c r="J175" s="29">
        <f t="shared" si="87"/>
        <v>47118</v>
      </c>
      <c r="K175" s="29">
        <f t="shared" si="87"/>
        <v>47483</v>
      </c>
      <c r="L175" s="29">
        <f t="shared" si="87"/>
        <v>47848</v>
      </c>
    </row>
    <row r="176" spans="2:12" ht="15.75" customHeight="1" x14ac:dyDescent="0.25">
      <c r="B176" s="7" t="s">
        <v>91</v>
      </c>
      <c r="C176" s="2"/>
      <c r="D176" s="27"/>
      <c r="E176" s="2"/>
      <c r="F176" s="2"/>
      <c r="G176" s="2"/>
      <c r="H176" s="2"/>
      <c r="I176" s="2"/>
      <c r="J176" s="2"/>
      <c r="K176" s="2"/>
      <c r="L176" s="2"/>
    </row>
    <row r="177" spans="3:12" ht="15.75" customHeight="1" x14ac:dyDescent="0.25"/>
    <row r="178" spans="3:12" s="5" customFormat="1" ht="15.75" customHeight="1" x14ac:dyDescent="0.25">
      <c r="C178" s="47" t="s">
        <v>115</v>
      </c>
      <c r="D178" s="56"/>
      <c r="E178" s="60">
        <v>2050622094</v>
      </c>
      <c r="F178" s="60">
        <v>2163025380</v>
      </c>
      <c r="G178" s="60">
        <v>3703837580</v>
      </c>
      <c r="H178" s="57">
        <f>H97</f>
        <v>4225697152.6606679</v>
      </c>
      <c r="I178" s="57">
        <f t="shared" ref="I178:L178" si="88">I97</f>
        <v>5151871964.3258324</v>
      </c>
      <c r="J178" s="57">
        <f t="shared" si="88"/>
        <v>5985429294.8244801</v>
      </c>
      <c r="K178" s="57">
        <f t="shared" si="88"/>
        <v>6695805375.3716621</v>
      </c>
      <c r="L178" s="57">
        <f t="shared" si="88"/>
        <v>7313286122.3088312</v>
      </c>
    </row>
    <row r="179" spans="3:12" ht="15.75" customHeight="1" x14ac:dyDescent="0.25">
      <c r="C179" s="31" t="s">
        <v>159</v>
      </c>
      <c r="E179" s="59">
        <v>282779410</v>
      </c>
      <c r="F179" s="59">
        <v>373537518</v>
      </c>
      <c r="G179" s="59">
        <v>477976168</v>
      </c>
      <c r="H179" s="53">
        <f>H39*G128</f>
        <v>547302619.39999998</v>
      </c>
      <c r="I179" s="53">
        <f t="shared" ref="I179:L179" si="89">I39*H128</f>
        <v>629566081.88960016</v>
      </c>
      <c r="J179" s="53">
        <f t="shared" si="89"/>
        <v>737851629.23764014</v>
      </c>
      <c r="K179" s="53">
        <f t="shared" si="89"/>
        <v>866132209.84753609</v>
      </c>
      <c r="L179" s="53">
        <f t="shared" si="89"/>
        <v>1007853279.0558184</v>
      </c>
    </row>
    <row r="180" spans="3:12" ht="15.75" customHeight="1" x14ac:dyDescent="0.25">
      <c r="C180" s="31" t="s">
        <v>160</v>
      </c>
      <c r="E180" s="59">
        <v>59658833</v>
      </c>
      <c r="F180" s="59">
        <v>79887614</v>
      </c>
      <c r="G180" s="59">
        <v>-445181054</v>
      </c>
      <c r="H180" s="53">
        <v>0</v>
      </c>
      <c r="I180" s="53">
        <v>0</v>
      </c>
      <c r="J180" s="53">
        <v>0</v>
      </c>
      <c r="K180" s="53">
        <v>0</v>
      </c>
      <c r="L180" s="53">
        <v>0</v>
      </c>
    </row>
    <row r="181" spans="3:12" ht="15.75" customHeight="1" x14ac:dyDescent="0.25">
      <c r="C181" s="31" t="s">
        <v>161</v>
      </c>
      <c r="E181" s="59">
        <v>211931914</v>
      </c>
      <c r="F181" s="59">
        <v>402321688</v>
      </c>
      <c r="G181" s="59">
        <v>602686213</v>
      </c>
      <c r="H181" s="53">
        <f>-H93</f>
        <v>789518939.03000009</v>
      </c>
      <c r="I181" s="53">
        <f t="shared" ref="I181:L181" si="90">-I93</f>
        <v>986898673.78750014</v>
      </c>
      <c r="J181" s="53">
        <f t="shared" si="90"/>
        <v>1164540435.0692501</v>
      </c>
      <c r="K181" s="53">
        <f t="shared" si="90"/>
        <v>1315930691.6282525</v>
      </c>
      <c r="L181" s="53">
        <f t="shared" si="90"/>
        <v>1447523760.7910779</v>
      </c>
    </row>
    <row r="182" spans="3:12" ht="15.75" customHeight="1" x14ac:dyDescent="0.25">
      <c r="C182" s="31" t="s">
        <v>162</v>
      </c>
      <c r="E182" s="59">
        <v>-213587378</v>
      </c>
      <c r="F182" s="59">
        <v>-168265279</v>
      </c>
      <c r="G182" s="59">
        <v>-19400842</v>
      </c>
      <c r="H182" s="53">
        <f>-H92</f>
        <v>-575446672</v>
      </c>
      <c r="I182" s="53">
        <f t="shared" ref="I182:L182" si="91">-I92</f>
        <v>-575446672</v>
      </c>
      <c r="J182" s="53">
        <f t="shared" si="91"/>
        <v>-575446672</v>
      </c>
      <c r="K182" s="53">
        <f t="shared" si="91"/>
        <v>-575446672</v>
      </c>
      <c r="L182" s="53">
        <f t="shared" si="91"/>
        <v>-575446672</v>
      </c>
    </row>
    <row r="183" spans="3:12" ht="15.75" customHeight="1" x14ac:dyDescent="0.25">
      <c r="C183" s="31" t="s">
        <v>163</v>
      </c>
      <c r="E183" s="59">
        <v>-86541296</v>
      </c>
      <c r="F183" s="59">
        <v>-107925484</v>
      </c>
      <c r="G183" s="59">
        <v>1773888</v>
      </c>
      <c r="H183" s="53">
        <v>0</v>
      </c>
      <c r="I183" s="53">
        <v>0</v>
      </c>
      <c r="J183" s="53">
        <v>0</v>
      </c>
      <c r="K183" s="53">
        <v>0</v>
      </c>
      <c r="L183" s="53">
        <v>0</v>
      </c>
    </row>
    <row r="184" spans="3:12" s="5" customFormat="1" ht="15.75" customHeight="1" x14ac:dyDescent="0.25">
      <c r="C184" s="5" t="s">
        <v>158</v>
      </c>
      <c r="D184" s="56"/>
      <c r="E184" s="57">
        <f t="shared" ref="E184:H184" si="92">SUM(E178:E183)</f>
        <v>2304863577</v>
      </c>
      <c r="F184" s="57">
        <f t="shared" si="92"/>
        <v>2742581437</v>
      </c>
      <c r="G184" s="57">
        <f t="shared" si="92"/>
        <v>4321691953</v>
      </c>
      <c r="H184" s="57">
        <f t="shared" si="92"/>
        <v>4987072039.0906677</v>
      </c>
      <c r="I184" s="57">
        <f t="shared" ref="I184:L184" si="93">SUM(I178:I183)</f>
        <v>6192890048.0029325</v>
      </c>
      <c r="J184" s="57">
        <f t="shared" si="93"/>
        <v>7312374687.1313705</v>
      </c>
      <c r="K184" s="57">
        <f t="shared" si="93"/>
        <v>8302421604.8474503</v>
      </c>
      <c r="L184" s="57">
        <f t="shared" si="93"/>
        <v>9193216490.1557274</v>
      </c>
    </row>
    <row r="185" spans="3:12" s="5" customFormat="1" ht="15.75" customHeight="1" x14ac:dyDescent="0.25">
      <c r="D185" s="56"/>
      <c r="E185" s="57"/>
      <c r="F185" s="57"/>
      <c r="G185" s="57"/>
      <c r="H185" s="57"/>
      <c r="I185" s="57"/>
      <c r="J185" s="57"/>
      <c r="K185" s="57"/>
      <c r="L185" s="57"/>
    </row>
    <row r="186" spans="3:12" ht="15.75" customHeight="1" x14ac:dyDescent="0.25">
      <c r="C186" s="31" t="s">
        <v>31</v>
      </c>
      <c r="E186" s="59">
        <v>-890423339</v>
      </c>
      <c r="F186" s="59">
        <v>-1119014154</v>
      </c>
      <c r="G186" s="59">
        <v>696975720</v>
      </c>
      <c r="H186" s="53">
        <f>G119-H119</f>
        <v>-1347443126.0630083</v>
      </c>
      <c r="I186" s="53">
        <f t="shared" ref="I186:L186" si="94">H119-I119</f>
        <v>-915623294.26575279</v>
      </c>
      <c r="J186" s="53">
        <f t="shared" si="94"/>
        <v>-824060964.83917713</v>
      </c>
      <c r="K186" s="53">
        <f t="shared" si="94"/>
        <v>-702283066.70183086</v>
      </c>
      <c r="L186" s="53">
        <f t="shared" si="94"/>
        <v>-610446050.28697681</v>
      </c>
    </row>
    <row r="187" spans="3:12" ht="15.75" customHeight="1" x14ac:dyDescent="0.25">
      <c r="C187" s="31" t="s">
        <v>133</v>
      </c>
      <c r="E187" s="59">
        <v>-178345713</v>
      </c>
      <c r="F187" s="59">
        <v>51501837</v>
      </c>
      <c r="G187" s="59">
        <v>48097214</v>
      </c>
      <c r="H187" s="53">
        <f>G120-H120</f>
        <v>-1382175047.090565</v>
      </c>
      <c r="I187" s="53">
        <f t="shared" ref="I187:L187" si="95">H120-I120</f>
        <v>-406421652.52264118</v>
      </c>
      <c r="J187" s="53">
        <f t="shared" si="95"/>
        <v>-365779487.2703774</v>
      </c>
      <c r="K187" s="53">
        <f t="shared" si="95"/>
        <v>-311725407.48486519</v>
      </c>
      <c r="L187" s="53">
        <f t="shared" si="95"/>
        <v>-270961315.73684502</v>
      </c>
    </row>
    <row r="188" spans="3:12" ht="15.75" customHeight="1" x14ac:dyDescent="0.25">
      <c r="C188" s="31" t="s">
        <v>134</v>
      </c>
      <c r="E188" s="59">
        <v>302920324</v>
      </c>
      <c r="F188" s="59">
        <v>244761343</v>
      </c>
      <c r="G188" s="59">
        <v>602868471</v>
      </c>
      <c r="H188" s="53">
        <f>H141-G141</f>
        <v>1487944116.1017976</v>
      </c>
      <c r="I188" s="53">
        <f t="shared" ref="I188:L188" si="96">I141-H141</f>
        <v>767564870.77544928</v>
      </c>
      <c r="J188" s="53">
        <f t="shared" si="96"/>
        <v>690808383.69790554</v>
      </c>
      <c r="K188" s="53">
        <f t="shared" si="96"/>
        <v>588722255.88476849</v>
      </c>
      <c r="L188" s="53">
        <f t="shared" si="96"/>
        <v>511735499.34599209</v>
      </c>
    </row>
    <row r="189" spans="3:12" ht="15.75" customHeight="1" x14ac:dyDescent="0.25">
      <c r="C189" s="31" t="s">
        <v>137</v>
      </c>
      <c r="E189" s="59">
        <v>-2509629</v>
      </c>
      <c r="F189" s="59">
        <v>-48757877</v>
      </c>
      <c r="G189" s="59">
        <v>-23679679</v>
      </c>
      <c r="H189" s="53">
        <v>0</v>
      </c>
      <c r="I189" s="53">
        <f t="shared" ref="I189:L189" si="97">H189</f>
        <v>0</v>
      </c>
      <c r="J189" s="53">
        <f t="shared" si="97"/>
        <v>0</v>
      </c>
      <c r="K189" s="53">
        <f t="shared" si="97"/>
        <v>0</v>
      </c>
      <c r="L189" s="53">
        <f t="shared" si="97"/>
        <v>0</v>
      </c>
    </row>
    <row r="190" spans="3:12" ht="15.75" customHeight="1" x14ac:dyDescent="0.25">
      <c r="C190" s="31" t="s">
        <v>138</v>
      </c>
      <c r="E190" s="59"/>
      <c r="F190" s="59">
        <v>-6406578</v>
      </c>
      <c r="G190" s="59">
        <v>-1902200</v>
      </c>
      <c r="H190" s="53">
        <v>0</v>
      </c>
      <c r="I190" s="53">
        <f t="shared" ref="I190:L190" si="98">H190</f>
        <v>0</v>
      </c>
      <c r="J190" s="53">
        <f t="shared" si="98"/>
        <v>0</v>
      </c>
      <c r="K190" s="53">
        <f t="shared" si="98"/>
        <v>0</v>
      </c>
      <c r="L190" s="53">
        <f t="shared" si="98"/>
        <v>0</v>
      </c>
    </row>
    <row r="191" spans="3:12" ht="15.75" customHeight="1" x14ac:dyDescent="0.25">
      <c r="C191" s="31" t="s">
        <v>139</v>
      </c>
      <c r="E191" s="59">
        <v>-740128</v>
      </c>
      <c r="F191" s="59">
        <v>-1859182</v>
      </c>
      <c r="G191" s="59">
        <v>-8443305</v>
      </c>
      <c r="H191" s="53">
        <v>0</v>
      </c>
      <c r="I191" s="53">
        <f t="shared" ref="I191:L191" si="99">H191</f>
        <v>0</v>
      </c>
      <c r="J191" s="53">
        <f t="shared" si="99"/>
        <v>0</v>
      </c>
      <c r="K191" s="53">
        <f t="shared" si="99"/>
        <v>0</v>
      </c>
      <c r="L191" s="53">
        <f t="shared" si="99"/>
        <v>0</v>
      </c>
    </row>
    <row r="192" spans="3:12" ht="15.75" customHeight="1" x14ac:dyDescent="0.25">
      <c r="C192" s="31" t="s">
        <v>140</v>
      </c>
      <c r="E192" s="59"/>
      <c r="F192" s="59">
        <v>-75611527</v>
      </c>
      <c r="G192" s="59">
        <v>-184629685</v>
      </c>
      <c r="H192" s="53">
        <v>0</v>
      </c>
      <c r="I192" s="53">
        <f t="shared" ref="I192:L192" si="100">H192</f>
        <v>0</v>
      </c>
      <c r="J192" s="53">
        <f t="shared" si="100"/>
        <v>0</v>
      </c>
      <c r="K192" s="53">
        <f t="shared" si="100"/>
        <v>0</v>
      </c>
      <c r="L192" s="53">
        <f t="shared" si="100"/>
        <v>0</v>
      </c>
    </row>
    <row r="193" spans="2:12" s="5" customFormat="1" ht="15.75" customHeight="1" x14ac:dyDescent="0.25">
      <c r="C193" s="5" t="s">
        <v>88</v>
      </c>
      <c r="D193" s="56"/>
      <c r="E193" s="57">
        <f>SUM(E184:E192)</f>
        <v>1535765092</v>
      </c>
      <c r="F193" s="57">
        <f t="shared" ref="F193:L193" si="101">SUM(F184:F192)</f>
        <v>1787195299</v>
      </c>
      <c r="G193" s="57">
        <f t="shared" si="101"/>
        <v>5450978489</v>
      </c>
      <c r="H193" s="57">
        <f t="shared" si="101"/>
        <v>3745397982.0388923</v>
      </c>
      <c r="I193" s="57">
        <f t="shared" si="101"/>
        <v>5638409971.9899883</v>
      </c>
      <c r="J193" s="57">
        <f t="shared" si="101"/>
        <v>6813342618.7197218</v>
      </c>
      <c r="K193" s="57">
        <f t="shared" si="101"/>
        <v>7877135386.5455227</v>
      </c>
      <c r="L193" s="57">
        <f t="shared" si="101"/>
        <v>8823544623.4778976</v>
      </c>
    </row>
    <row r="194" spans="2:12" s="5" customFormat="1" ht="15.75" customHeight="1" x14ac:dyDescent="0.25">
      <c r="D194" s="56"/>
      <c r="E194" s="57"/>
      <c r="F194" s="53"/>
      <c r="G194" s="57"/>
      <c r="H194" s="57"/>
      <c r="I194" s="57"/>
      <c r="J194" s="57"/>
      <c r="K194" s="57"/>
      <c r="L194" s="57"/>
    </row>
    <row r="195" spans="2:12" ht="15.75" customHeight="1" x14ac:dyDescent="0.25">
      <c r="C195" s="31" t="s">
        <v>135</v>
      </c>
      <c r="E195" s="59">
        <v>-156953069</v>
      </c>
      <c r="F195" s="59">
        <v>-230918487</v>
      </c>
      <c r="G195" s="59">
        <v>-564286847</v>
      </c>
      <c r="H195" s="53">
        <f>H93</f>
        <v>-789518939.03000009</v>
      </c>
      <c r="I195" s="53">
        <f t="shared" ref="I195:L195" si="102">I93</f>
        <v>-986898673.78750014</v>
      </c>
      <c r="J195" s="53">
        <f t="shared" si="102"/>
        <v>-1164540435.0692501</v>
      </c>
      <c r="K195" s="53">
        <f t="shared" si="102"/>
        <v>-1315930691.6282525</v>
      </c>
      <c r="L195" s="53">
        <f t="shared" si="102"/>
        <v>-1447523760.7910779</v>
      </c>
    </row>
    <row r="196" spans="2:12" x14ac:dyDescent="0.25">
      <c r="C196" s="31" t="s">
        <v>136</v>
      </c>
      <c r="E196" s="59">
        <v>-329531910</v>
      </c>
      <c r="F196" s="59">
        <v>-589026271</v>
      </c>
      <c r="G196" s="59">
        <v>-575275777</v>
      </c>
      <c r="H196" s="53">
        <f>H98</f>
        <v>-1119511065.6751659</v>
      </c>
      <c r="I196" s="53">
        <f t="shared" ref="I196:L196" si="103">I98</f>
        <v>-1364881927.0857887</v>
      </c>
      <c r="J196" s="53">
        <f t="shared" si="103"/>
        <v>-1585715702.3553491</v>
      </c>
      <c r="K196" s="53">
        <f t="shared" si="103"/>
        <v>-1773915153.057297</v>
      </c>
      <c r="L196" s="53">
        <f t="shared" si="103"/>
        <v>-1937503906.3597603</v>
      </c>
    </row>
    <row r="197" spans="2:12" s="5" customFormat="1" ht="15.75" customHeight="1" x14ac:dyDescent="0.25">
      <c r="C197" s="18" t="s">
        <v>89</v>
      </c>
      <c r="D197" s="30"/>
      <c r="E197" s="54">
        <f>SUM(E193:E196)</f>
        <v>1049280113</v>
      </c>
      <c r="F197" s="54">
        <f t="shared" ref="F197:L197" si="104">SUM(F193:F196)</f>
        <v>967250541</v>
      </c>
      <c r="G197" s="54">
        <f>SUM(G193:G196)</f>
        <v>4311415865</v>
      </c>
      <c r="H197" s="54">
        <f t="shared" si="104"/>
        <v>1836367977.3337262</v>
      </c>
      <c r="I197" s="54">
        <f t="shared" si="104"/>
        <v>3286629371.1166992</v>
      </c>
      <c r="J197" s="54">
        <f t="shared" si="104"/>
        <v>4063086481.2951226</v>
      </c>
      <c r="K197" s="54">
        <f t="shared" si="104"/>
        <v>4787289541.8599739</v>
      </c>
      <c r="L197" s="54">
        <f t="shared" si="104"/>
        <v>5438516956.3270597</v>
      </c>
    </row>
    <row r="198" spans="2:12" ht="15.75" customHeight="1" x14ac:dyDescent="0.25"/>
    <row r="199" spans="2:12" ht="15.75" customHeight="1" x14ac:dyDescent="0.25">
      <c r="B199" s="7" t="s">
        <v>93</v>
      </c>
      <c r="C199" s="2"/>
      <c r="D199" s="27"/>
      <c r="E199" s="8">
        <f>EOMONTH(F199,-12)</f>
        <v>45291</v>
      </c>
      <c r="F199" s="8">
        <f>EOMONTH(G199,-12)</f>
        <v>45657</v>
      </c>
      <c r="G199" s="8">
        <f>Hist_Yr</f>
        <v>46022</v>
      </c>
      <c r="H199" s="8">
        <f>EOMONTH(G199,12)</f>
        <v>46387</v>
      </c>
      <c r="I199" s="8">
        <f>EOMONTH(H199,12)</f>
        <v>46752</v>
      </c>
      <c r="J199" s="8">
        <f t="shared" ref="J199:L199" si="105">EOMONTH(I199,12)</f>
        <v>47118</v>
      </c>
      <c r="K199" s="8">
        <f t="shared" si="105"/>
        <v>47483</v>
      </c>
      <c r="L199" s="8">
        <f t="shared" si="105"/>
        <v>47848</v>
      </c>
    </row>
    <row r="200" spans="2:12" ht="15.75" customHeight="1" x14ac:dyDescent="0.25">
      <c r="E200" s="55"/>
    </row>
    <row r="201" spans="2:12" ht="15.75" customHeight="1" x14ac:dyDescent="0.25">
      <c r="C201" s="31" t="s">
        <v>96</v>
      </c>
      <c r="E201" s="59">
        <v>-572147343</v>
      </c>
      <c r="F201" s="59">
        <v>-1201197616</v>
      </c>
      <c r="G201" s="59">
        <v>-1020200150</v>
      </c>
      <c r="H201" s="20">
        <f>-H37*H74</f>
        <v>-1369937244.2960002</v>
      </c>
      <c r="I201" s="20">
        <f t="shared" ref="I201:L201" si="106">-I37*I74</f>
        <v>-1712421555.3700001</v>
      </c>
      <c r="J201" s="20">
        <f t="shared" si="106"/>
        <v>-2020657435.3366003</v>
      </c>
      <c r="K201" s="20">
        <f t="shared" si="106"/>
        <v>-2283342901.9303579</v>
      </c>
      <c r="L201" s="20">
        <f t="shared" si="106"/>
        <v>-2511677192.1233935</v>
      </c>
    </row>
    <row r="202" spans="2:12" ht="15.75" customHeight="1" x14ac:dyDescent="0.25">
      <c r="C202" s="31" t="s">
        <v>97</v>
      </c>
      <c r="E202" s="59">
        <v>-2326936</v>
      </c>
      <c r="F202" s="59">
        <v>-44971763</v>
      </c>
      <c r="G202" s="59">
        <v>-61564140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</row>
    <row r="203" spans="2:12" ht="15.75" customHeight="1" x14ac:dyDescent="0.25">
      <c r="C203" s="31" t="s">
        <v>98</v>
      </c>
      <c r="E203" s="59">
        <v>6035664</v>
      </c>
      <c r="F203" s="59">
        <v>6096820</v>
      </c>
      <c r="G203" s="59">
        <v>33352073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</row>
    <row r="204" spans="2:12" ht="15.75" customHeight="1" x14ac:dyDescent="0.25">
      <c r="C204" s="31" t="s">
        <v>99</v>
      </c>
      <c r="E204" s="59">
        <v>215911491</v>
      </c>
      <c r="F204" s="59">
        <v>137960554</v>
      </c>
      <c r="G204" s="59">
        <v>438515575</v>
      </c>
      <c r="H204" s="20">
        <f>H92</f>
        <v>575446672</v>
      </c>
      <c r="I204" s="20">
        <f t="shared" ref="I204:L204" si="107">I92</f>
        <v>575446672</v>
      </c>
      <c r="J204" s="20">
        <f t="shared" si="107"/>
        <v>575446672</v>
      </c>
      <c r="K204" s="20">
        <f t="shared" si="107"/>
        <v>575446672</v>
      </c>
      <c r="L204" s="20">
        <f t="shared" si="107"/>
        <v>575446672</v>
      </c>
    </row>
    <row r="205" spans="2:12" ht="15.75" customHeight="1" x14ac:dyDescent="0.25">
      <c r="C205" s="31" t="s">
        <v>100</v>
      </c>
      <c r="E205" s="59">
        <v>-4664845933</v>
      </c>
      <c r="F205" s="59">
        <v>-1955683983</v>
      </c>
      <c r="G205" s="59">
        <v>-8476385549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</row>
    <row r="206" spans="2:12" ht="15.75" customHeight="1" x14ac:dyDescent="0.25">
      <c r="C206" s="31" t="s">
        <v>101</v>
      </c>
      <c r="E206" s="59">
        <v>5207775393</v>
      </c>
      <c r="F206" s="59">
        <v>1518125049</v>
      </c>
      <c r="G206" s="59">
        <v>5909043739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5.75" customHeight="1" x14ac:dyDescent="0.25">
      <c r="C207" s="31" t="s">
        <v>141</v>
      </c>
      <c r="E207" s="59"/>
      <c r="F207" s="59"/>
      <c r="G207" s="59">
        <v>-578992890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</row>
    <row r="208" spans="2:12" ht="15.75" customHeight="1" x14ac:dyDescent="0.25">
      <c r="C208" s="31" t="s">
        <v>142</v>
      </c>
      <c r="E208" s="59"/>
      <c r="F208" s="59"/>
      <c r="G208" s="59">
        <v>-385427600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</row>
    <row r="209" spans="2:12" ht="15.75" customHeight="1" x14ac:dyDescent="0.25">
      <c r="C209" s="31" t="s">
        <v>143</v>
      </c>
      <c r="E209" s="59"/>
      <c r="F209" s="59"/>
      <c r="G209" s="59">
        <v>2651493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</row>
    <row r="210" spans="2:12" ht="15.75" customHeight="1" x14ac:dyDescent="0.25">
      <c r="C210" s="31" t="s">
        <v>102</v>
      </c>
      <c r="E210" s="59">
        <v>-258696407</v>
      </c>
      <c r="F210" s="59"/>
      <c r="G210" s="59"/>
      <c r="H210" s="20">
        <v>0</v>
      </c>
      <c r="I210" s="20">
        <v>0</v>
      </c>
      <c r="J210" s="20">
        <v>0</v>
      </c>
      <c r="K210" s="20">
        <v>0</v>
      </c>
      <c r="L210" s="20">
        <v>0</v>
      </c>
    </row>
    <row r="211" spans="2:12" ht="15.75" customHeight="1" x14ac:dyDescent="0.25">
      <c r="C211" s="18" t="s">
        <v>94</v>
      </c>
      <c r="D211" s="26"/>
      <c r="E211" s="54">
        <f>SUM(E201:E210)</f>
        <v>-68294071</v>
      </c>
      <c r="F211" s="54">
        <f t="shared" ref="F211:H211" si="108">SUM(F201:F210)</f>
        <v>-1539670939</v>
      </c>
      <c r="G211" s="54">
        <f t="shared" si="108"/>
        <v>-4139007449</v>
      </c>
      <c r="H211" s="54">
        <f t="shared" si="108"/>
        <v>-794490572.29600024</v>
      </c>
      <c r="I211" s="54">
        <f t="shared" ref="I211:L211" si="109">SUM(I201:I210)</f>
        <v>-1136974883.3700001</v>
      </c>
      <c r="J211" s="54">
        <f t="shared" si="109"/>
        <v>-1445210763.3366003</v>
      </c>
      <c r="K211" s="54">
        <f t="shared" si="109"/>
        <v>-1707896229.9303579</v>
      </c>
      <c r="L211" s="54">
        <f t="shared" si="109"/>
        <v>-1936230520.1233935</v>
      </c>
    </row>
    <row r="212" spans="2:12" ht="15.75" customHeight="1" x14ac:dyDescent="0.25"/>
    <row r="213" spans="2:12" ht="15.75" customHeight="1" x14ac:dyDescent="0.25">
      <c r="B213" s="7" t="s">
        <v>95</v>
      </c>
      <c r="C213" s="2"/>
      <c r="D213" s="27"/>
      <c r="E213" s="8">
        <f>EOMONTH(F213,-12)</f>
        <v>45291</v>
      </c>
      <c r="F213" s="8">
        <f>EOMONTH(G213,-12)</f>
        <v>45657</v>
      </c>
      <c r="G213" s="8">
        <f>Hist_Yr</f>
        <v>46022</v>
      </c>
      <c r="H213" s="8">
        <f>EOMONTH(G213,12)</f>
        <v>46387</v>
      </c>
      <c r="I213" s="8">
        <f>EOMONTH(H213,12)</f>
        <v>46752</v>
      </c>
      <c r="J213" s="8">
        <f t="shared" ref="J213:L213" si="110">EOMONTH(I213,12)</f>
        <v>47118</v>
      </c>
      <c r="K213" s="8">
        <f t="shared" si="110"/>
        <v>47483</v>
      </c>
      <c r="L213" s="8">
        <f t="shared" si="110"/>
        <v>47848</v>
      </c>
    </row>
    <row r="214" spans="2:12" ht="15.75" customHeight="1" x14ac:dyDescent="0.25"/>
    <row r="215" spans="2:12" ht="15.75" customHeight="1" x14ac:dyDescent="0.25">
      <c r="C215" s="31" t="s">
        <v>103</v>
      </c>
      <c r="E215" s="59">
        <v>-699700000</v>
      </c>
      <c r="F215" s="59">
        <v>-700000000</v>
      </c>
      <c r="G215" s="59">
        <v>-800100000</v>
      </c>
      <c r="H215" s="20">
        <f>-H99*H41</f>
        <v>-1242474434.7942009</v>
      </c>
      <c r="I215" s="20">
        <f t="shared" ref="I215:L215" si="111">-I99*I41</f>
        <v>-1514796014.8960176</v>
      </c>
      <c r="J215" s="20">
        <f t="shared" si="111"/>
        <v>-1759885436.9876528</v>
      </c>
      <c r="K215" s="20">
        <f t="shared" si="111"/>
        <v>-1968756088.9257462</v>
      </c>
      <c r="L215" s="20">
        <f t="shared" si="111"/>
        <v>-2150312886.3796287</v>
      </c>
    </row>
    <row r="216" spans="2:12" ht="15.75" customHeight="1" x14ac:dyDescent="0.25">
      <c r="C216" s="31" t="s">
        <v>104</v>
      </c>
      <c r="E216" s="59">
        <v>-105184979</v>
      </c>
      <c r="F216" s="59">
        <v>0</v>
      </c>
      <c r="G216" s="59">
        <v>-192608865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</row>
    <row r="217" spans="2:12" ht="15.75" customHeight="1" x14ac:dyDescent="0.25">
      <c r="C217" s="31" t="s">
        <v>105</v>
      </c>
      <c r="E217" s="59">
        <v>24800009</v>
      </c>
      <c r="F217" s="59">
        <v>0</v>
      </c>
      <c r="G217" s="59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</row>
    <row r="218" spans="2:12" ht="15.75" customHeight="1" x14ac:dyDescent="0.25">
      <c r="C218" s="31" t="s">
        <v>106</v>
      </c>
      <c r="E218" s="59">
        <v>-31724663</v>
      </c>
      <c r="F218" s="59">
        <v>-39424688</v>
      </c>
      <c r="G218" s="59">
        <v>-59445803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5.75" customHeight="1" x14ac:dyDescent="0.25">
      <c r="C219" s="31" t="s">
        <v>107</v>
      </c>
      <c r="E219" s="59">
        <v>1166800225</v>
      </c>
      <c r="F219" s="59">
        <v>802325677</v>
      </c>
      <c r="G219" s="59">
        <v>1565170723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</row>
    <row r="220" spans="2:12" ht="15.75" customHeight="1" x14ac:dyDescent="0.25">
      <c r="C220" s="31" t="s">
        <v>108</v>
      </c>
      <c r="E220" s="59">
        <v>-936957728</v>
      </c>
      <c r="F220" s="59">
        <v>-193737275</v>
      </c>
      <c r="G220" s="59">
        <v>-450007937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</row>
    <row r="221" spans="2:12" ht="15.75" customHeight="1" x14ac:dyDescent="0.25">
      <c r="C221" s="18" t="s">
        <v>109</v>
      </c>
      <c r="D221" s="30"/>
      <c r="E221" s="54">
        <f>SUM(E215:E220)</f>
        <v>-581967136</v>
      </c>
      <c r="F221" s="21">
        <f t="shared" ref="F221:L221" si="112">SUM(F215:F220)</f>
        <v>-130836286</v>
      </c>
      <c r="G221" s="21">
        <f t="shared" si="112"/>
        <v>63008118</v>
      </c>
      <c r="H221" s="21">
        <f t="shared" si="112"/>
        <v>-1242474434.7942009</v>
      </c>
      <c r="I221" s="21">
        <f t="shared" si="112"/>
        <v>-1514796014.8960176</v>
      </c>
      <c r="J221" s="21">
        <f t="shared" si="112"/>
        <v>-1759885436.9876528</v>
      </c>
      <c r="K221" s="21">
        <f t="shared" si="112"/>
        <v>-1968756088.9257462</v>
      </c>
      <c r="L221" s="21">
        <f t="shared" si="112"/>
        <v>-2150312886.3796287</v>
      </c>
    </row>
    <row r="222" spans="2:12" ht="15.75" customHeight="1" x14ac:dyDescent="0.25">
      <c r="E222" s="55"/>
    </row>
    <row r="223" spans="2:12" x14ac:dyDescent="0.25">
      <c r="C223" s="31" t="s">
        <v>110</v>
      </c>
      <c r="E223" s="55">
        <f>E197+E211+E221</f>
        <v>399018906</v>
      </c>
      <c r="F223" s="55">
        <f t="shared" ref="F223:G223" si="113">F197+F211+F221</f>
        <v>-703256684</v>
      </c>
      <c r="G223" s="55">
        <f t="shared" si="113"/>
        <v>235416534</v>
      </c>
      <c r="H223" s="55">
        <f t="shared" ref="H223:L223" si="114">H197+H211+H221</f>
        <v>-200597029.75647497</v>
      </c>
      <c r="I223" s="55">
        <f t="shared" si="114"/>
        <v>634858472.85068178</v>
      </c>
      <c r="J223" s="55">
        <f t="shared" si="114"/>
        <v>857990280.97086954</v>
      </c>
      <c r="K223" s="55">
        <f t="shared" si="114"/>
        <v>1110637223.0038698</v>
      </c>
      <c r="L223" s="55">
        <f t="shared" si="114"/>
        <v>1351973549.8240376</v>
      </c>
    </row>
    <row r="224" spans="2:12" x14ac:dyDescent="0.25">
      <c r="C224" s="31" t="s">
        <v>152</v>
      </c>
      <c r="E224" s="55">
        <f>E118-E140</f>
        <v>413180334</v>
      </c>
      <c r="F224" s="55">
        <f>F118-F140</f>
        <v>-290075683</v>
      </c>
      <c r="G224" s="55">
        <f>G118-G140</f>
        <v>-54659149</v>
      </c>
      <c r="H224" s="55">
        <f t="shared" ref="H224:L224" si="115">H118-H140</f>
        <v>-169080359.75647449</v>
      </c>
      <c r="I224" s="55">
        <f t="shared" si="115"/>
        <v>465778113.09420681</v>
      </c>
      <c r="J224" s="55">
        <f t="shared" si="115"/>
        <v>1323768394.0650787</v>
      </c>
      <c r="K224" s="55">
        <f t="shared" si="115"/>
        <v>2434405617.0689468</v>
      </c>
      <c r="L224" s="55">
        <f t="shared" si="115"/>
        <v>3786379166.8929825</v>
      </c>
    </row>
    <row r="225" spans="3:12" ht="15.75" customHeight="1" x14ac:dyDescent="0.25">
      <c r="C225" s="31" t="s">
        <v>111</v>
      </c>
      <c r="E225" s="55"/>
      <c r="F225" s="55">
        <f>E224</f>
        <v>413180334</v>
      </c>
      <c r="G225" s="55">
        <f>F224</f>
        <v>-290075683</v>
      </c>
      <c r="H225" s="55">
        <f t="shared" ref="H225:L225" si="116">G224</f>
        <v>-54659149</v>
      </c>
      <c r="I225" s="55">
        <f t="shared" si="116"/>
        <v>-169080359.75647449</v>
      </c>
      <c r="J225" s="55">
        <f t="shared" si="116"/>
        <v>465778113.09420681</v>
      </c>
      <c r="K225" s="55">
        <f t="shared" si="116"/>
        <v>1323768394.0650787</v>
      </c>
      <c r="L225" s="55">
        <f t="shared" si="116"/>
        <v>2434405617.0689468</v>
      </c>
    </row>
    <row r="226" spans="3:12" ht="15.75" customHeight="1" x14ac:dyDescent="0.25">
      <c r="C226" s="31" t="s">
        <v>113</v>
      </c>
      <c r="E226" s="55"/>
      <c r="F226" s="55">
        <v>0</v>
      </c>
      <c r="G226" s="55">
        <v>0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</row>
    <row r="227" spans="3:12" ht="15.75" customHeight="1" x14ac:dyDescent="0.25">
      <c r="C227" s="18" t="s">
        <v>112</v>
      </c>
      <c r="D227" s="26"/>
      <c r="E227" s="54">
        <f>E223+E225+E226</f>
        <v>399018906</v>
      </c>
      <c r="F227" s="54">
        <f t="shared" ref="F227:G227" si="117">F223+F225+F226</f>
        <v>-290076350</v>
      </c>
      <c r="G227" s="54">
        <f t="shared" si="117"/>
        <v>-54659149</v>
      </c>
      <c r="H227" s="54">
        <f t="shared" ref="H227:L227" si="118">H223+H225+H226</f>
        <v>-255256178.75647497</v>
      </c>
      <c r="I227" s="54">
        <f t="shared" si="118"/>
        <v>465778113.09420729</v>
      </c>
      <c r="J227" s="54">
        <f t="shared" si="118"/>
        <v>1323768394.0650764</v>
      </c>
      <c r="K227" s="54">
        <f t="shared" si="118"/>
        <v>2434405617.0689487</v>
      </c>
      <c r="L227" s="54">
        <f t="shared" si="118"/>
        <v>3786379166.8929844</v>
      </c>
    </row>
    <row r="228" spans="3:12" ht="15.75" customHeight="1" x14ac:dyDescent="0.25">
      <c r="C228" s="5"/>
      <c r="E228" s="58"/>
      <c r="F228" s="58"/>
      <c r="G228" s="58"/>
      <c r="H228" s="58"/>
      <c r="I228" s="58"/>
      <c r="J228" s="58"/>
      <c r="K228" s="58"/>
      <c r="L228" s="58"/>
    </row>
    <row r="229" spans="3:12" ht="15.75" customHeight="1" x14ac:dyDescent="0.25">
      <c r="C229" s="5" t="s">
        <v>153</v>
      </c>
      <c r="E229" s="55"/>
      <c r="F229" s="33">
        <f>F227-F224</f>
        <v>-667</v>
      </c>
      <c r="G229" s="33">
        <f>G227-G224</f>
        <v>0</v>
      </c>
      <c r="H229" s="33">
        <f t="shared" ref="H229:L229" si="119">H227-H224</f>
        <v>-86175819.000000477</v>
      </c>
      <c r="I229" s="33">
        <f t="shared" si="119"/>
        <v>4.76837158203125E-7</v>
      </c>
      <c r="J229" s="33">
        <f t="shared" si="119"/>
        <v>-2.384185791015625E-6</v>
      </c>
      <c r="K229" s="33">
        <f t="shared" si="119"/>
        <v>0</v>
      </c>
      <c r="L229" s="33">
        <f t="shared" si="119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5AAA5-A0A0-4F9E-8D83-69AF3DB7FDC2}">
  <dimension ref="B1:L77"/>
  <sheetViews>
    <sheetView showGridLines="0" tabSelected="1" topLeftCell="A49" zoomScaleNormal="100" workbookViewId="0">
      <selection activeCell="H65" sqref="H65"/>
    </sheetView>
  </sheetViews>
  <sheetFormatPr defaultRowHeight="15.75" x14ac:dyDescent="0.25"/>
  <cols>
    <col min="1" max="2" width="2.7109375" style="1" customWidth="1"/>
    <col min="3" max="3" width="31.5703125" style="1" bestFit="1" customWidth="1"/>
    <col min="4" max="4" width="47.42578125" style="23" bestFit="1" customWidth="1"/>
    <col min="5" max="5" width="24.7109375" style="1" bestFit="1" customWidth="1"/>
    <col min="6" max="6" width="17.7109375" style="1" bestFit="1" customWidth="1"/>
    <col min="7" max="7" width="16.85546875" style="1" bestFit="1" customWidth="1"/>
    <col min="8" max="11" width="19.42578125" style="1" bestFit="1" customWidth="1"/>
    <col min="12" max="12" width="19.85546875" style="1" bestFit="1" customWidth="1"/>
    <col min="13" max="14" width="2.7109375" style="1" customWidth="1"/>
    <col min="15" max="16384" width="9.140625" style="1"/>
  </cols>
  <sheetData>
    <row r="1" spans="2:12" ht="15.75" customHeight="1" x14ac:dyDescent="0.25"/>
    <row r="2" spans="2:12" ht="15.75" customHeight="1" x14ac:dyDescent="0.3">
      <c r="B2" s="6" t="str">
        <f>Company_Name&amp;" - DCF"</f>
        <v>EDITA Food Industries (S.A.E.) - DCF</v>
      </c>
    </row>
    <row r="3" spans="2:12" ht="15.75" customHeight="1" x14ac:dyDescent="0.25"/>
    <row r="4" spans="2:12" ht="15.75" customHeight="1" x14ac:dyDescent="0.25"/>
    <row r="5" spans="2:12" ht="15.75" customHeight="1" x14ac:dyDescent="0.25">
      <c r="B5" s="4" t="s">
        <v>170</v>
      </c>
      <c r="C5" s="3"/>
      <c r="D5" s="24"/>
      <c r="E5" s="3"/>
      <c r="F5" s="3"/>
      <c r="G5" s="3"/>
      <c r="H5" s="3"/>
      <c r="I5" s="3"/>
      <c r="J5" s="3"/>
      <c r="K5" s="3"/>
      <c r="L5" s="3"/>
    </row>
    <row r="6" spans="2:12" ht="15.75" customHeight="1" x14ac:dyDescent="0.25"/>
    <row r="7" spans="2:12" ht="15.75" customHeight="1" x14ac:dyDescent="0.25">
      <c r="C7" s="1" t="s">
        <v>2</v>
      </c>
      <c r="D7" s="10" t="s">
        <v>0</v>
      </c>
      <c r="E7" s="9"/>
      <c r="F7" s="9"/>
      <c r="H7" s="1" t="s">
        <v>166</v>
      </c>
      <c r="I7" s="96">
        <f>L71</f>
        <v>4.5854243525784408</v>
      </c>
    </row>
    <row r="8" spans="2:12" ht="15.75" customHeight="1" x14ac:dyDescent="0.25">
      <c r="C8" s="1" t="s">
        <v>3</v>
      </c>
      <c r="D8" s="10" t="s">
        <v>5</v>
      </c>
      <c r="H8" s="1" t="s">
        <v>167</v>
      </c>
      <c r="I8" s="96">
        <v>29.24</v>
      </c>
      <c r="K8" s="1" t="s">
        <v>169</v>
      </c>
      <c r="L8" s="72">
        <f>I7/I8-1</f>
        <v>-0.84317974170388366</v>
      </c>
    </row>
    <row r="9" spans="2:12" ht="15.75" customHeight="1" x14ac:dyDescent="0.25">
      <c r="C9" s="1" t="s">
        <v>4</v>
      </c>
      <c r="D9" s="11">
        <v>46022</v>
      </c>
    </row>
    <row r="10" spans="2:12" ht="15.75" customHeight="1" x14ac:dyDescent="0.25">
      <c r="H10" s="1">
        <v>1</v>
      </c>
      <c r="I10" s="1">
        <v>2</v>
      </c>
      <c r="J10" s="1">
        <v>3</v>
      </c>
      <c r="K10" s="1">
        <v>4</v>
      </c>
      <c r="L10" s="1">
        <v>5</v>
      </c>
    </row>
    <row r="11" spans="2:12" ht="15.75" customHeight="1" x14ac:dyDescent="0.25">
      <c r="B11" s="4"/>
      <c r="C11" s="3"/>
      <c r="D11" s="24"/>
      <c r="E11" s="10" t="s">
        <v>14</v>
      </c>
      <c r="F11" s="9"/>
      <c r="G11" s="16"/>
      <c r="H11" s="10" t="s">
        <v>15</v>
      </c>
      <c r="I11" s="9"/>
      <c r="J11" s="9"/>
      <c r="K11" s="9"/>
      <c r="L11" s="9"/>
    </row>
    <row r="12" spans="2:12" ht="15.75" customHeight="1" x14ac:dyDescent="0.25">
      <c r="B12" s="4" t="s">
        <v>168</v>
      </c>
      <c r="C12" s="3"/>
      <c r="D12" s="19"/>
      <c r="E12" s="8">
        <f>EOMONTH(F12,-12)</f>
        <v>45291</v>
      </c>
      <c r="F12" s="8">
        <f>EOMONTH(G12,-12)</f>
        <v>45657</v>
      </c>
      <c r="G12" s="8">
        <f>Hist_Yr</f>
        <v>46022</v>
      </c>
      <c r="H12" s="8">
        <f>EOMONTH(G12,12)</f>
        <v>46387</v>
      </c>
      <c r="I12" s="8">
        <f>EOMONTH(H12,12)</f>
        <v>46752</v>
      </c>
      <c r="J12" s="8">
        <f t="shared" ref="J12:L12" si="0">EOMONTH(I12,12)</f>
        <v>47118</v>
      </c>
      <c r="K12" s="8">
        <f t="shared" si="0"/>
        <v>47483</v>
      </c>
      <c r="L12" s="8">
        <f t="shared" si="0"/>
        <v>47848</v>
      </c>
    </row>
    <row r="13" spans="2:12" ht="15.75" customHeight="1" x14ac:dyDescent="0.25">
      <c r="B13" s="67"/>
      <c r="C13" s="68"/>
      <c r="D13" s="88"/>
      <c r="E13" s="89"/>
      <c r="F13" s="89"/>
      <c r="G13" s="89"/>
      <c r="H13" s="89"/>
      <c r="I13" s="89"/>
      <c r="J13" s="89"/>
      <c r="K13" s="89"/>
      <c r="L13" s="89"/>
    </row>
    <row r="14" spans="2:12" ht="15.75" customHeight="1" x14ac:dyDescent="0.25">
      <c r="B14" s="5"/>
      <c r="C14" s="5" t="s">
        <v>189</v>
      </c>
      <c r="D14" s="90">
        <f>WACC!E20</f>
        <v>0.33821170904445891</v>
      </c>
      <c r="E14" s="91"/>
      <c r="F14" s="91"/>
      <c r="G14" s="91"/>
      <c r="H14" s="91"/>
      <c r="I14" s="91"/>
      <c r="J14" s="91"/>
      <c r="K14" s="91"/>
      <c r="L14" s="91"/>
    </row>
    <row r="15" spans="2:12" ht="15.75" customHeight="1" x14ac:dyDescent="0.25">
      <c r="B15" s="5"/>
      <c r="C15" s="5" t="s">
        <v>200</v>
      </c>
      <c r="D15" s="95">
        <v>0.05</v>
      </c>
      <c r="E15" s="91"/>
      <c r="F15" s="91"/>
      <c r="G15" s="91"/>
      <c r="H15" s="91"/>
      <c r="I15" s="91"/>
      <c r="J15" s="91"/>
      <c r="K15" s="91"/>
      <c r="L15" s="91"/>
    </row>
    <row r="16" spans="2:12" ht="15.75" customHeight="1" x14ac:dyDescent="0.25">
      <c r="B16" s="67"/>
      <c r="C16" s="68"/>
      <c r="D16" s="88"/>
      <c r="E16" s="89"/>
      <c r="F16" s="89"/>
      <c r="G16" s="89"/>
      <c r="H16" s="89"/>
      <c r="I16" s="89"/>
      <c r="J16" s="89"/>
      <c r="K16" s="89"/>
      <c r="L16" s="89"/>
    </row>
    <row r="17" spans="2:12" ht="15.75" customHeight="1" x14ac:dyDescent="0.25">
      <c r="B17" s="7" t="s">
        <v>7</v>
      </c>
      <c r="C17" s="17"/>
      <c r="D17" s="25"/>
      <c r="E17" s="8"/>
      <c r="F17" s="8"/>
      <c r="G17" s="8"/>
      <c r="H17" s="8"/>
      <c r="I17" s="8"/>
      <c r="J17" s="8"/>
      <c r="K17" s="8"/>
      <c r="L17" s="8"/>
    </row>
    <row r="18" spans="2:12" ht="15.75" customHeight="1" x14ac:dyDescent="0.25">
      <c r="B18" s="67"/>
      <c r="C18" s="68"/>
      <c r="D18" s="69"/>
      <c r="E18" s="68"/>
      <c r="F18" s="68"/>
      <c r="G18" s="68"/>
      <c r="H18" s="68"/>
      <c r="I18" s="68"/>
      <c r="J18" s="68"/>
      <c r="K18" s="68"/>
      <c r="L18" s="68"/>
    </row>
    <row r="19" spans="2:12" ht="15.75" customHeight="1" x14ac:dyDescent="0.25">
      <c r="C19" s="5" t="str">
        <f>'Operating Model'!C74</f>
        <v>Revenue</v>
      </c>
      <c r="E19" s="32">
        <v>12125997046</v>
      </c>
      <c r="F19" s="32">
        <v>16146545699</v>
      </c>
      <c r="G19" s="32">
        <v>20915072432</v>
      </c>
      <c r="H19" s="32">
        <f>'Operating Model'!H74</f>
        <v>27398744885.920002</v>
      </c>
      <c r="I19" s="32">
        <f>'Operating Model'!I74</f>
        <v>34248431107.400002</v>
      </c>
      <c r="J19" s="32">
        <f>'Operating Model'!J74</f>
        <v>40413148706.732002</v>
      </c>
      <c r="K19" s="32">
        <f>'Operating Model'!K74</f>
        <v>45666858038.607155</v>
      </c>
      <c r="L19" s="32">
        <f>'Operating Model'!L74</f>
        <v>50233543842.467873</v>
      </c>
    </row>
    <row r="20" spans="2:12" s="36" customFormat="1" ht="15.75" customHeight="1" x14ac:dyDescent="0.25">
      <c r="C20" s="37" t="str">
        <f>'Operating Model'!C75</f>
        <v>Revenue Growth:</v>
      </c>
      <c r="D20" s="23" t="s">
        <v>11</v>
      </c>
      <c r="E20" s="38" t="str">
        <f>IFERROR(+E19/D19-1,"N/A")</f>
        <v>N/A</v>
      </c>
      <c r="F20" s="38">
        <f>IFERROR(+F19/E19-1,"N/A")</f>
        <v>0.3315643767475811</v>
      </c>
      <c r="G20" s="38">
        <f t="shared" ref="G20" si="1">IFERROR(+G19/F19-1,"N/A")</f>
        <v>0.29532798047915154</v>
      </c>
      <c r="H20" s="38">
        <v>0.31</v>
      </c>
      <c r="I20" s="38">
        <v>0.25</v>
      </c>
      <c r="J20" s="38">
        <v>0.18</v>
      </c>
      <c r="K20" s="38">
        <v>0.13</v>
      </c>
      <c r="L20" s="38">
        <v>0.1</v>
      </c>
    </row>
    <row r="21" spans="2:12" ht="15.75" customHeight="1" x14ac:dyDescent="0.25">
      <c r="E21" s="45"/>
      <c r="F21" s="45"/>
      <c r="G21" s="45"/>
      <c r="H21" s="45"/>
      <c r="I21" s="45"/>
      <c r="J21" s="45"/>
      <c r="K21" s="45"/>
      <c r="L21" s="45"/>
    </row>
    <row r="22" spans="2:12" x14ac:dyDescent="0.25">
      <c r="C22" s="5" t="str">
        <f>'Operating Model'!C88</f>
        <v>Operating Income (EBIT)</v>
      </c>
      <c r="E22" s="39">
        <f>'Operating Model'!E88</f>
        <v>2004850308</v>
      </c>
      <c r="F22" s="39">
        <f>'Operating Model'!F88</f>
        <v>2296762907</v>
      </c>
      <c r="G22" s="39">
        <f>'Operating Model'!G88</f>
        <v>3740483615</v>
      </c>
      <c r="H22" s="39">
        <f>'Operating Model'!H88</f>
        <v>4439769419.6906681</v>
      </c>
      <c r="I22" s="39">
        <f>'Operating Model'!I88</f>
        <v>5563323966.1133327</v>
      </c>
      <c r="J22" s="39">
        <f>'Operating Model'!J88</f>
        <v>6574523057.8937302</v>
      </c>
      <c r="K22" s="39">
        <f>'Operating Model'!K88</f>
        <v>7436289394.9999151</v>
      </c>
      <c r="L22" s="39">
        <f>'Operating Model'!L88</f>
        <v>8185363211.0999088</v>
      </c>
    </row>
    <row r="23" spans="2:12" s="36" customFormat="1" ht="15.75" customHeight="1" x14ac:dyDescent="0.25">
      <c r="C23" s="37" t="str">
        <f>'Operating Model'!C89</f>
        <v>EBIT Margin %</v>
      </c>
      <c r="D23" s="23" t="str">
        <f>'Operating Model'!D88</f>
        <v>%</v>
      </c>
      <c r="E23" s="38">
        <f>'Operating Model'!E89</f>
        <v>0.16533488342398528</v>
      </c>
      <c r="F23" s="38">
        <f>'Operating Model'!F89</f>
        <v>0.14224484603801324</v>
      </c>
      <c r="G23" s="38">
        <f>'Operating Model'!G89</f>
        <v>0.17884153292613372</v>
      </c>
      <c r="H23" s="38">
        <f>'Operating Model'!H89</f>
        <v>0.16204280298884166</v>
      </c>
      <c r="I23" s="38">
        <f>'Operating Model'!I89</f>
        <v>0.16244025744324606</v>
      </c>
      <c r="J23" s="38">
        <f>'Operating Model'!J89</f>
        <v>0.16268277202559447</v>
      </c>
      <c r="K23" s="38">
        <f>'Operating Model'!K89</f>
        <v>0.16283777151283788</v>
      </c>
      <c r="L23" s="38">
        <f>'Operating Model'!L89</f>
        <v>0.16294616276265844</v>
      </c>
    </row>
    <row r="24" spans="2:12" ht="15.75" customHeight="1" x14ac:dyDescent="0.25">
      <c r="E24" s="45"/>
      <c r="F24" s="45"/>
      <c r="G24" s="45"/>
      <c r="H24" s="45"/>
      <c r="I24" s="45"/>
      <c r="J24" s="45"/>
      <c r="K24" s="45"/>
      <c r="L24" s="45"/>
    </row>
    <row r="25" spans="2:12" x14ac:dyDescent="0.25">
      <c r="C25" s="5" t="s">
        <v>171</v>
      </c>
      <c r="D25" s="1"/>
      <c r="E25" s="39">
        <f>'Operating Model'!E98</f>
        <v>-544046655</v>
      </c>
      <c r="F25" s="39">
        <f>'Operating Model'!F98</f>
        <v>-556297682</v>
      </c>
      <c r="G25" s="39">
        <f>'Operating Model'!G98</f>
        <v>-1008535910</v>
      </c>
      <c r="H25" s="39">
        <f>'Operating Model'!H98</f>
        <v>-1119511065.6751659</v>
      </c>
      <c r="I25" s="39">
        <f>'Operating Model'!I98</f>
        <v>-1364881927.0857887</v>
      </c>
      <c r="J25" s="39">
        <f>'Operating Model'!J98</f>
        <v>-1585715702.3553491</v>
      </c>
      <c r="K25" s="39">
        <f>'Operating Model'!K98</f>
        <v>-1773915153.057297</v>
      </c>
      <c r="L25" s="39">
        <f>'Operating Model'!L98</f>
        <v>-1937503906.3597603</v>
      </c>
    </row>
    <row r="26" spans="2:12" ht="15.75" customHeight="1" x14ac:dyDescent="0.25">
      <c r="C26" s="37" t="s">
        <v>172</v>
      </c>
      <c r="D26" s="1"/>
      <c r="E26" s="45">
        <f>-E25/E22</f>
        <v>0.27136522503903571</v>
      </c>
      <c r="F26" s="45">
        <f t="shared" ref="F26:L26" si="2">-F25/F22</f>
        <v>0.24220945065968014</v>
      </c>
      <c r="G26" s="45">
        <f t="shared" si="2"/>
        <v>0.26962714285275646</v>
      </c>
      <c r="H26" s="45">
        <f t="shared" si="2"/>
        <v>0.25215522696067527</v>
      </c>
      <c r="I26" s="45">
        <f t="shared" si="2"/>
        <v>0.24533569056905505</v>
      </c>
      <c r="J26" s="45">
        <f t="shared" si="2"/>
        <v>0.24119098653878057</v>
      </c>
      <c r="K26" s="45">
        <f t="shared" si="2"/>
        <v>0.23854842903909299</v>
      </c>
      <c r="L26" s="45">
        <f t="shared" si="2"/>
        <v>0.2367034737972743</v>
      </c>
    </row>
    <row r="27" spans="2:12" ht="15.75" customHeight="1" x14ac:dyDescent="0.25"/>
    <row r="28" spans="2:12" ht="15.75" customHeight="1" x14ac:dyDescent="0.25">
      <c r="B28" s="4" t="s">
        <v>45</v>
      </c>
      <c r="C28" s="4"/>
      <c r="D28" s="24"/>
      <c r="E28" s="8">
        <f>EOMONTH(F28,-12)</f>
        <v>45291</v>
      </c>
      <c r="F28" s="8">
        <f>EOMONTH(G28,-12)</f>
        <v>45657</v>
      </c>
      <c r="G28" s="8">
        <f>Hist_Yr</f>
        <v>46022</v>
      </c>
      <c r="H28" s="8">
        <f>EOMONTH(G28,12)</f>
        <v>46387</v>
      </c>
      <c r="I28" s="8">
        <f>EOMONTH(H28,12)</f>
        <v>46752</v>
      </c>
      <c r="J28" s="8">
        <f t="shared" ref="J28" si="3">EOMONTH(I28,12)</f>
        <v>47118</v>
      </c>
      <c r="K28" s="8">
        <f t="shared" ref="K28" si="4">EOMONTH(J28,12)</f>
        <v>47483</v>
      </c>
      <c r="L28" s="8">
        <f t="shared" ref="L28" si="5">EOMONTH(K28,12)</f>
        <v>47848</v>
      </c>
    </row>
    <row r="29" spans="2:12" ht="15.75" customHeight="1" x14ac:dyDescent="0.25"/>
    <row r="30" spans="2:12" ht="15.75" customHeight="1" x14ac:dyDescent="0.25">
      <c r="C30" s="1" t="s">
        <v>173</v>
      </c>
      <c r="E30" s="55">
        <f>'Operating Model'!E179</f>
        <v>282779410</v>
      </c>
      <c r="F30" s="55">
        <f>'Operating Model'!F179</f>
        <v>373537518</v>
      </c>
      <c r="G30" s="55">
        <f>'Operating Model'!G179</f>
        <v>477976168</v>
      </c>
      <c r="H30" s="55">
        <f>'Operating Model'!H179</f>
        <v>547302619.39999998</v>
      </c>
      <c r="I30" s="55">
        <f>'Operating Model'!I179</f>
        <v>629566081.88960016</v>
      </c>
      <c r="J30" s="55">
        <f>'Operating Model'!J179</f>
        <v>737851629.23764014</v>
      </c>
      <c r="K30" s="55">
        <f>'Operating Model'!K179</f>
        <v>866132209.84753609</v>
      </c>
      <c r="L30" s="55">
        <f>'Operating Model'!L179</f>
        <v>1007853279.0558184</v>
      </c>
    </row>
    <row r="31" spans="2:12" ht="15.75" customHeight="1" x14ac:dyDescent="0.25">
      <c r="C31" s="37" t="s">
        <v>175</v>
      </c>
      <c r="E31" s="12">
        <f>E30/E19</f>
        <v>2.3320095570473553E-2</v>
      </c>
      <c r="F31" s="12">
        <f t="shared" ref="F31:L31" si="6">F30/F19</f>
        <v>2.3134206223634209E-2</v>
      </c>
      <c r="G31" s="12">
        <f t="shared" si="6"/>
        <v>2.2853192096466177E-2</v>
      </c>
      <c r="H31" s="12">
        <f t="shared" si="6"/>
        <v>1.9975463170988333E-2</v>
      </c>
      <c r="I31" s="12">
        <f t="shared" si="6"/>
        <v>1.8382333483111607E-2</v>
      </c>
      <c r="J31" s="12">
        <f t="shared" si="6"/>
        <v>1.8257711978644446E-2</v>
      </c>
      <c r="K31" s="12">
        <f t="shared" si="6"/>
        <v>1.8966319275026552E-2</v>
      </c>
      <c r="L31" s="12">
        <f t="shared" si="6"/>
        <v>2.0063352134112637E-2</v>
      </c>
    </row>
    <row r="32" spans="2:12" ht="15.75" customHeight="1" x14ac:dyDescent="0.25"/>
    <row r="33" spans="2:12" x14ac:dyDescent="0.25">
      <c r="C33" s="1" t="s">
        <v>174</v>
      </c>
      <c r="E33" s="55">
        <f>'Operating Model'!E201</f>
        <v>-572147343</v>
      </c>
      <c r="F33" s="55">
        <f>'Operating Model'!F201</f>
        <v>-1201197616</v>
      </c>
      <c r="G33" s="55">
        <f>'Operating Model'!G201</f>
        <v>-1020200150</v>
      </c>
      <c r="H33" s="55">
        <f>'Operating Model'!H201</f>
        <v>-1369937244.2960002</v>
      </c>
      <c r="I33" s="55">
        <f>'Operating Model'!I201</f>
        <v>-1712421555.3700001</v>
      </c>
      <c r="J33" s="55">
        <f>'Operating Model'!J201</f>
        <v>-2020657435.3366003</v>
      </c>
      <c r="K33" s="55">
        <f>'Operating Model'!K201</f>
        <v>-2283342901.9303579</v>
      </c>
      <c r="L33" s="55">
        <f>'Operating Model'!L201</f>
        <v>-2511677192.1233935</v>
      </c>
    </row>
    <row r="34" spans="2:12" x14ac:dyDescent="0.25">
      <c r="C34" s="37" t="s">
        <v>175</v>
      </c>
      <c r="E34" s="12">
        <f>-E33/E19</f>
        <v>4.7183529802090306E-2</v>
      </c>
      <c r="F34" s="12">
        <f t="shared" ref="F34:L34" si="7">-F33/F19</f>
        <v>7.4393473278584504E-2</v>
      </c>
      <c r="G34" s="12">
        <f t="shared" si="7"/>
        <v>4.8778226961294038E-2</v>
      </c>
      <c r="H34" s="12">
        <f t="shared" si="7"/>
        <v>0.05</v>
      </c>
      <c r="I34" s="12">
        <f t="shared" si="7"/>
        <v>0.05</v>
      </c>
      <c r="J34" s="12">
        <f t="shared" si="7"/>
        <v>0.05</v>
      </c>
      <c r="K34" s="12">
        <f t="shared" si="7"/>
        <v>0.05</v>
      </c>
      <c r="L34" s="12">
        <f t="shared" si="7"/>
        <v>4.9999999999999996E-2</v>
      </c>
    </row>
    <row r="36" spans="2:12" x14ac:dyDescent="0.25">
      <c r="C36" s="1" t="s">
        <v>176</v>
      </c>
      <c r="E36" s="55">
        <f>'Operating Model'!E186+'Operating Model'!E187+'Operating Model'!E188</f>
        <v>-765848728</v>
      </c>
      <c r="F36" s="55">
        <f>'Operating Model'!F186+'Operating Model'!F187+'Operating Model'!F188</f>
        <v>-822750974</v>
      </c>
      <c r="G36" s="55">
        <f>'Operating Model'!G186+'Operating Model'!G187+'Operating Model'!G188</f>
        <v>1347941405</v>
      </c>
      <c r="H36" s="55"/>
      <c r="I36" s="55"/>
      <c r="J36" s="55"/>
      <c r="K36" s="55"/>
      <c r="L36" s="55"/>
    </row>
    <row r="37" spans="2:12" x14ac:dyDescent="0.25">
      <c r="C37" s="37" t="s">
        <v>175</v>
      </c>
      <c r="E37" s="12">
        <f>E36/E19</f>
        <v>-6.3157588204479267E-2</v>
      </c>
      <c r="F37" s="12">
        <f t="shared" ref="F37:G37" si="8">F36/F19</f>
        <v>-5.0955231498892993E-2</v>
      </c>
      <c r="G37" s="12">
        <f t="shared" si="8"/>
        <v>6.4448325932529568E-2</v>
      </c>
      <c r="H37" s="12"/>
      <c r="I37" s="12"/>
      <c r="J37" s="12"/>
      <c r="K37" s="12"/>
      <c r="L37" s="12"/>
    </row>
    <row r="39" spans="2:12" x14ac:dyDescent="0.25">
      <c r="B39" s="4" t="s">
        <v>177</v>
      </c>
      <c r="C39" s="4"/>
      <c r="D39" s="24"/>
      <c r="E39" s="8">
        <f>EOMONTH(F39,-12)</f>
        <v>45291</v>
      </c>
      <c r="F39" s="8">
        <f>EOMONTH(G39,-12)</f>
        <v>45657</v>
      </c>
      <c r="G39" s="8">
        <f>Hist_Yr</f>
        <v>46022</v>
      </c>
      <c r="H39" s="8">
        <f>EOMONTH(G39,12)</f>
        <v>46387</v>
      </c>
      <c r="I39" s="8">
        <f>EOMONTH(H39,12)</f>
        <v>46752</v>
      </c>
      <c r="J39" s="8">
        <f t="shared" ref="J39" si="9">EOMONTH(I39,12)</f>
        <v>47118</v>
      </c>
      <c r="K39" s="8">
        <f t="shared" ref="K39" si="10">EOMONTH(J39,12)</f>
        <v>47483</v>
      </c>
      <c r="L39" s="8">
        <f t="shared" ref="L39" si="11">EOMONTH(K39,12)</f>
        <v>47848</v>
      </c>
    </row>
    <row r="41" spans="2:12" x14ac:dyDescent="0.25">
      <c r="C41" s="1" t="str">
        <f>C19</f>
        <v>Revenue</v>
      </c>
      <c r="E41" s="43">
        <f>E19</f>
        <v>12125997046</v>
      </c>
      <c r="F41" s="43">
        <f t="shared" ref="F41:L42" si="12">F19</f>
        <v>16146545699</v>
      </c>
      <c r="G41" s="43">
        <f t="shared" si="12"/>
        <v>20915072432</v>
      </c>
      <c r="H41" s="43">
        <f t="shared" si="12"/>
        <v>27398744885.920002</v>
      </c>
      <c r="I41" s="43">
        <f t="shared" si="12"/>
        <v>34248431107.400002</v>
      </c>
      <c r="J41" s="43">
        <f t="shared" si="12"/>
        <v>40413148706.732002</v>
      </c>
      <c r="K41" s="43">
        <f t="shared" si="12"/>
        <v>45666858038.607155</v>
      </c>
      <c r="L41" s="43">
        <f t="shared" si="12"/>
        <v>50233543842.467873</v>
      </c>
    </row>
    <row r="42" spans="2:12" x14ac:dyDescent="0.25">
      <c r="C42" s="1" t="str">
        <f>C20</f>
        <v>Revenue Growth:</v>
      </c>
      <c r="E42" s="38" t="str">
        <f>E20</f>
        <v>N/A</v>
      </c>
      <c r="F42" s="45">
        <f t="shared" si="12"/>
        <v>0.3315643767475811</v>
      </c>
      <c r="G42" s="45">
        <f t="shared" si="12"/>
        <v>0.29532798047915154</v>
      </c>
      <c r="H42" s="45">
        <f t="shared" si="12"/>
        <v>0.31</v>
      </c>
      <c r="I42" s="45">
        <f t="shared" si="12"/>
        <v>0.25</v>
      </c>
      <c r="J42" s="45">
        <f t="shared" si="12"/>
        <v>0.18</v>
      </c>
      <c r="K42" s="45">
        <f t="shared" si="12"/>
        <v>0.13</v>
      </c>
      <c r="L42" s="45">
        <f t="shared" si="12"/>
        <v>0.1</v>
      </c>
    </row>
    <row r="44" spans="2:12" x14ac:dyDescent="0.25">
      <c r="C44" s="1" t="str">
        <f>C22</f>
        <v>Operating Income (EBIT)</v>
      </c>
      <c r="E44" s="43">
        <f>E22</f>
        <v>2004850308</v>
      </c>
      <c r="F44" s="43">
        <f t="shared" ref="F44:L44" si="13">F22</f>
        <v>2296762907</v>
      </c>
      <c r="G44" s="43">
        <f t="shared" si="13"/>
        <v>3740483615</v>
      </c>
      <c r="H44" s="43">
        <f t="shared" si="13"/>
        <v>4439769419.6906681</v>
      </c>
      <c r="I44" s="43">
        <f t="shared" si="13"/>
        <v>5563323966.1133327</v>
      </c>
      <c r="J44" s="43">
        <f t="shared" si="13"/>
        <v>6574523057.8937302</v>
      </c>
      <c r="K44" s="43">
        <f t="shared" si="13"/>
        <v>7436289394.9999151</v>
      </c>
      <c r="L44" s="43">
        <f t="shared" si="13"/>
        <v>8185363211.0999088</v>
      </c>
    </row>
    <row r="45" spans="2:12" x14ac:dyDescent="0.25">
      <c r="C45" s="1" t="str">
        <f>C23</f>
        <v>EBIT Margin %</v>
      </c>
      <c r="E45" s="45">
        <f>E23</f>
        <v>0.16533488342398528</v>
      </c>
      <c r="F45" s="45">
        <f t="shared" ref="F45:L45" si="14">F23</f>
        <v>0.14224484603801324</v>
      </c>
      <c r="G45" s="45">
        <f t="shared" si="14"/>
        <v>0.17884153292613372</v>
      </c>
      <c r="H45" s="45">
        <f t="shared" si="14"/>
        <v>0.16204280298884166</v>
      </c>
      <c r="I45" s="45">
        <f t="shared" si="14"/>
        <v>0.16244025744324606</v>
      </c>
      <c r="J45" s="45">
        <f t="shared" si="14"/>
        <v>0.16268277202559447</v>
      </c>
      <c r="K45" s="45">
        <f t="shared" si="14"/>
        <v>0.16283777151283788</v>
      </c>
      <c r="L45" s="45">
        <f t="shared" si="14"/>
        <v>0.16294616276265844</v>
      </c>
    </row>
    <row r="47" spans="2:12" x14ac:dyDescent="0.25">
      <c r="C47" s="1" t="str">
        <f>C25</f>
        <v>Taxes</v>
      </c>
      <c r="E47" s="43">
        <f>-E25</f>
        <v>544046655</v>
      </c>
      <c r="F47" s="43">
        <f t="shared" ref="F47:L47" si="15">-F25</f>
        <v>556297682</v>
      </c>
      <c r="G47" s="43">
        <f t="shared" si="15"/>
        <v>1008535910</v>
      </c>
      <c r="H47" s="43">
        <f t="shared" si="15"/>
        <v>1119511065.6751659</v>
      </c>
      <c r="I47" s="43">
        <f t="shared" si="15"/>
        <v>1364881927.0857887</v>
      </c>
      <c r="J47" s="43">
        <f t="shared" si="15"/>
        <v>1585715702.3553491</v>
      </c>
      <c r="K47" s="43">
        <f t="shared" si="15"/>
        <v>1773915153.057297</v>
      </c>
      <c r="L47" s="43">
        <f t="shared" si="15"/>
        <v>1937503906.3597603</v>
      </c>
    </row>
    <row r="48" spans="2:12" x14ac:dyDescent="0.25">
      <c r="C48" s="1" t="str">
        <f>C26</f>
        <v>% of EBIT</v>
      </c>
      <c r="E48" s="45">
        <f>E26</f>
        <v>0.27136522503903571</v>
      </c>
      <c r="F48" s="45">
        <f t="shared" ref="F48:L48" si="16">F26</f>
        <v>0.24220945065968014</v>
      </c>
      <c r="G48" s="45">
        <f t="shared" si="16"/>
        <v>0.26962714285275646</v>
      </c>
      <c r="H48" s="45">
        <f t="shared" si="16"/>
        <v>0.25215522696067527</v>
      </c>
      <c r="I48" s="45">
        <f t="shared" si="16"/>
        <v>0.24533569056905505</v>
      </c>
      <c r="J48" s="45">
        <f t="shared" si="16"/>
        <v>0.24119098653878057</v>
      </c>
      <c r="K48" s="45">
        <f t="shared" si="16"/>
        <v>0.23854842903909299</v>
      </c>
      <c r="L48" s="45">
        <f t="shared" si="16"/>
        <v>0.2367034737972743</v>
      </c>
    </row>
    <row r="49" spans="3:12" ht="16.5" thickBot="1" x14ac:dyDescent="0.3"/>
    <row r="50" spans="3:12" ht="16.5" thickBot="1" x14ac:dyDescent="0.3">
      <c r="C50" s="75" t="s">
        <v>178</v>
      </c>
      <c r="D50" s="73"/>
      <c r="E50" s="74"/>
      <c r="F50" s="74"/>
      <c r="G50" s="74"/>
      <c r="H50" s="85">
        <f>H44-H47</f>
        <v>3320258354.015502</v>
      </c>
      <c r="I50" s="85">
        <f t="shared" ref="I50:L50" si="17">I44-I47</f>
        <v>4198442039.027544</v>
      </c>
      <c r="J50" s="85">
        <f t="shared" si="17"/>
        <v>4988807355.5383816</v>
      </c>
      <c r="K50" s="85">
        <f t="shared" si="17"/>
        <v>5662374241.9426184</v>
      </c>
      <c r="L50" s="85">
        <f t="shared" si="17"/>
        <v>6247859304.7401485</v>
      </c>
    </row>
    <row r="52" spans="3:12" x14ac:dyDescent="0.25">
      <c r="C52" s="1" t="str">
        <f>C30</f>
        <v>D&amp;A</v>
      </c>
      <c r="H52" s="55">
        <f>H30</f>
        <v>547302619.39999998</v>
      </c>
      <c r="I52" s="55">
        <f t="shared" ref="I52:L52" si="18">I30</f>
        <v>629566081.88960016</v>
      </c>
      <c r="J52" s="55">
        <f t="shared" si="18"/>
        <v>737851629.23764014</v>
      </c>
      <c r="K52" s="55">
        <f t="shared" si="18"/>
        <v>866132209.84753609</v>
      </c>
      <c r="L52" s="55">
        <f t="shared" si="18"/>
        <v>1007853279.0558184</v>
      </c>
    </row>
    <row r="53" spans="3:12" x14ac:dyDescent="0.25">
      <c r="C53" s="1" t="str">
        <f>C31</f>
        <v>% of revenue</v>
      </c>
      <c r="H53" s="45">
        <f>H52/H41</f>
        <v>1.9975463170988333E-2</v>
      </c>
      <c r="I53" s="45">
        <f t="shared" ref="I53:L53" si="19">I52/I41</f>
        <v>1.8382333483111607E-2</v>
      </c>
      <c r="J53" s="45">
        <f t="shared" si="19"/>
        <v>1.8257711978644446E-2</v>
      </c>
      <c r="K53" s="45">
        <f t="shared" si="19"/>
        <v>1.8966319275026552E-2</v>
      </c>
      <c r="L53" s="45">
        <f t="shared" si="19"/>
        <v>2.0063352134112637E-2</v>
      </c>
    </row>
    <row r="55" spans="3:12" x14ac:dyDescent="0.25">
      <c r="C55" s="1" t="str">
        <f>C33</f>
        <v>CapEx</v>
      </c>
      <c r="H55" s="55">
        <f>-H33</f>
        <v>1369937244.2960002</v>
      </c>
      <c r="I55" s="55">
        <f t="shared" ref="I55:L55" si="20">-I33</f>
        <v>1712421555.3700001</v>
      </c>
      <c r="J55" s="55">
        <f t="shared" si="20"/>
        <v>2020657435.3366003</v>
      </c>
      <c r="K55" s="55">
        <f t="shared" si="20"/>
        <v>2283342901.9303579</v>
      </c>
      <c r="L55" s="55">
        <f t="shared" si="20"/>
        <v>2511677192.1233935</v>
      </c>
    </row>
    <row r="56" spans="3:12" x14ac:dyDescent="0.25">
      <c r="C56" s="1" t="str">
        <f>C34</f>
        <v>% of revenue</v>
      </c>
      <c r="H56" s="12">
        <f>-H55/H41</f>
        <v>-0.05</v>
      </c>
      <c r="I56" s="12">
        <f t="shared" ref="I56:L56" si="21">-I55/I41</f>
        <v>-0.05</v>
      </c>
      <c r="J56" s="12">
        <f t="shared" si="21"/>
        <v>-0.05</v>
      </c>
      <c r="K56" s="12">
        <f t="shared" si="21"/>
        <v>-0.05</v>
      </c>
      <c r="L56" s="12">
        <f t="shared" si="21"/>
        <v>-4.9999999999999996E-2</v>
      </c>
    </row>
    <row r="58" spans="3:12" x14ac:dyDescent="0.25">
      <c r="C58" s="1" t="str">
        <f>C36</f>
        <v>Change in NWC</v>
      </c>
      <c r="H58" s="55">
        <f>-H59*H41</f>
        <v>453581598.23856062</v>
      </c>
      <c r="I58" s="55">
        <f t="shared" ref="I58:L58" si="22">-I59*I41</f>
        <v>566976997.79820073</v>
      </c>
      <c r="J58" s="55">
        <f t="shared" si="22"/>
        <v>669032857.40187693</v>
      </c>
      <c r="K58" s="55">
        <f t="shared" si="22"/>
        <v>756007128.86412084</v>
      </c>
      <c r="L58" s="55">
        <f t="shared" si="22"/>
        <v>831607841.75053287</v>
      </c>
    </row>
    <row r="59" spans="3:12" x14ac:dyDescent="0.25">
      <c r="C59" s="1" t="str">
        <f>C37</f>
        <v>% of revenue</v>
      </c>
      <c r="H59" s="45">
        <f>AVERAGE(E37:G37)</f>
        <v>-1.6554831256947563E-2</v>
      </c>
      <c r="I59" s="45">
        <f>H59</f>
        <v>-1.6554831256947563E-2</v>
      </c>
      <c r="J59" s="45">
        <f t="shared" ref="J59:L59" si="23">I59</f>
        <v>-1.6554831256947563E-2</v>
      </c>
      <c r="K59" s="45">
        <f t="shared" si="23"/>
        <v>-1.6554831256947563E-2</v>
      </c>
      <c r="L59" s="45">
        <f t="shared" si="23"/>
        <v>-1.6554831256947563E-2</v>
      </c>
    </row>
    <row r="60" spans="3:12" ht="16.5" thickBot="1" x14ac:dyDescent="0.3"/>
    <row r="61" spans="3:12" ht="16.5" thickBot="1" x14ac:dyDescent="0.3">
      <c r="C61" s="75" t="s">
        <v>179</v>
      </c>
      <c r="D61" s="73"/>
      <c r="E61" s="74"/>
      <c r="F61" s="74"/>
      <c r="G61" s="74"/>
      <c r="H61" s="86">
        <f>H50+H52-H55-H58</f>
        <v>2044042130.8809414</v>
      </c>
      <c r="I61" s="86">
        <f t="shared" ref="I61:L61" si="24">I50+I52-I55-I58</f>
        <v>2548609567.7489433</v>
      </c>
      <c r="J61" s="86">
        <f t="shared" si="24"/>
        <v>3036968692.0375447</v>
      </c>
      <c r="K61" s="86">
        <f t="shared" si="24"/>
        <v>3489156420.9956756</v>
      </c>
      <c r="L61" s="86">
        <f t="shared" si="24"/>
        <v>3912427549.92204</v>
      </c>
    </row>
    <row r="62" spans="3:12" ht="16.5" thickBot="1" x14ac:dyDescent="0.3">
      <c r="C62" s="75" t="s">
        <v>180</v>
      </c>
      <c r="D62" s="73"/>
      <c r="E62" s="74"/>
      <c r="F62" s="74"/>
      <c r="G62" s="74"/>
      <c r="H62" s="92">
        <f>H61/(1+$D$14)^H10</f>
        <v>1527443017.4732785</v>
      </c>
      <c r="I62" s="92">
        <f t="shared" ref="I62:L62" si="25">I61/(1+$D$14)^I10</f>
        <v>1423159768.3976793</v>
      </c>
      <c r="J62" s="92">
        <f t="shared" si="25"/>
        <v>1267260324.6712043</v>
      </c>
      <c r="K62" s="92">
        <f t="shared" si="25"/>
        <v>1087980564.8843355</v>
      </c>
      <c r="L62" s="92">
        <f t="shared" si="25"/>
        <v>911637498.37984931</v>
      </c>
    </row>
    <row r="64" spans="3:12" x14ac:dyDescent="0.25">
      <c r="C64" s="1" t="s">
        <v>181</v>
      </c>
      <c r="L64" s="71">
        <f>(L61*(1+D15))/(D14-D15)</f>
        <v>14253580956.2978</v>
      </c>
    </row>
    <row r="65" spans="3:12" x14ac:dyDescent="0.25">
      <c r="C65" s="77" t="s">
        <v>182</v>
      </c>
      <c r="D65" s="50"/>
      <c r="E65" s="77"/>
      <c r="F65" s="77"/>
      <c r="G65" s="77"/>
      <c r="H65" s="77"/>
      <c r="I65" s="77"/>
      <c r="J65" s="77"/>
      <c r="K65" s="77"/>
      <c r="L65" s="93">
        <f>L64/(1+D14)^L10</f>
        <v>3321236935.4195228</v>
      </c>
    </row>
    <row r="66" spans="3:12" x14ac:dyDescent="0.25">
      <c r="C66" s="5" t="s">
        <v>183</v>
      </c>
      <c r="L66" s="71">
        <f>SUM(H62:L62,L65)</f>
        <v>9538718109.2258701</v>
      </c>
    </row>
    <row r="67" spans="3:12" x14ac:dyDescent="0.25">
      <c r="C67" s="1" t="s">
        <v>184</v>
      </c>
      <c r="L67" s="55">
        <f>'Operating Model'!G224</f>
        <v>-54659149</v>
      </c>
    </row>
    <row r="68" spans="3:12" x14ac:dyDescent="0.25">
      <c r="C68" s="77" t="s">
        <v>185</v>
      </c>
      <c r="D68" s="50"/>
      <c r="E68" s="77"/>
      <c r="F68" s="77"/>
      <c r="G68" s="77"/>
      <c r="H68" s="77"/>
      <c r="I68" s="77"/>
      <c r="J68" s="77"/>
      <c r="K68" s="77"/>
      <c r="L68" s="94">
        <f>'Operating Model'!G143+'Operating Model'!G150</f>
        <v>3700595014</v>
      </c>
    </row>
    <row r="69" spans="3:12" x14ac:dyDescent="0.25">
      <c r="C69" s="5" t="s">
        <v>186</v>
      </c>
      <c r="L69" s="55">
        <f>L66+L67-L68</f>
        <v>5783463946.2258701</v>
      </c>
    </row>
    <row r="70" spans="3:12" x14ac:dyDescent="0.25">
      <c r="C70" s="77" t="s">
        <v>187</v>
      </c>
      <c r="D70" s="50"/>
      <c r="E70" s="77"/>
      <c r="F70" s="77"/>
      <c r="G70" s="77"/>
      <c r="H70" s="77"/>
      <c r="I70" s="77"/>
      <c r="J70" s="77"/>
      <c r="K70" s="77"/>
      <c r="L70" s="77">
        <v>1261271259</v>
      </c>
    </row>
    <row r="71" spans="3:12" x14ac:dyDescent="0.25">
      <c r="C71" s="5" t="s">
        <v>188</v>
      </c>
      <c r="L71" s="71">
        <f>L69/L70</f>
        <v>4.5854243525784408</v>
      </c>
    </row>
    <row r="73" spans="3:12" x14ac:dyDescent="0.25">
      <c r="D73" s="107" t="s">
        <v>235</v>
      </c>
      <c r="E73" s="108"/>
      <c r="F73" s="108"/>
      <c r="G73" s="108"/>
    </row>
    <row r="74" spans="3:12" x14ac:dyDescent="0.25">
      <c r="D74" s="109" t="s">
        <v>236</v>
      </c>
      <c r="E74" s="109" t="s">
        <v>242</v>
      </c>
      <c r="F74" s="109" t="s">
        <v>237</v>
      </c>
      <c r="G74" s="109" t="s">
        <v>238</v>
      </c>
    </row>
    <row r="75" spans="3:12" x14ac:dyDescent="0.25">
      <c r="D75" s="110" t="s">
        <v>239</v>
      </c>
      <c r="E75" s="111">
        <f>($H$61/(1+0.3)^1+$I$61/(1+0.3)^2+$J$61/(1+0.3)^3+$K$61/(1+0.3)^4+$L$61/(1+0.3)^5+$L$61*(1+0.04)/(0.3-0.04)/(1+0.3)^5+$L$67-$L$68)/$L$70</f>
        <v>5.7067560135889357</v>
      </c>
      <c r="F75" s="111">
        <f>($H$61/(1+0.3)^1+$I$61/(1+0.3)^2+$J$61/(1+0.3)^3+$K$61/(1+0.3)^4+$L$61/(1+0.3)^5+$L$61*(1+0.05)/(0.3-0.05)/(1+0.3)^5+$L$67-$L$68)/$L$70</f>
        <v>5.8738462383023151</v>
      </c>
      <c r="G75" s="111">
        <f>($H$61/(1+0.3)^1+$I$61/(1+0.3)^2+$J$61/(1+0.3)^3+$K$61/(1+0.3)^4+$L$61/(1+0.3)^5+$L$61*(1+0.06)/(0.3-0.06)/(1+0.3)^5+$L$67-$L$68)/$L$70</f>
        <v>6.0548606484084759</v>
      </c>
    </row>
    <row r="76" spans="3:12" x14ac:dyDescent="0.25">
      <c r="D76" s="110" t="s">
        <v>240</v>
      </c>
      <c r="E76" s="111">
        <f>($H$61/(1+WACC!E20)^1+$I$61/(1+WACC!E20)^2+$J$61/(1+WACC!E20)^3+$K$61/(1+WACC!E20)^4+$L$61/(1+WACC!E20)^5+$L$61*(1+0.04)/(WACC!E20-0.04)/(1+WACC!E20)^5+$L$67-$L$68)/$L$70</f>
        <v>4.4728855747471599</v>
      </c>
      <c r="F76" s="112">
        <f>($H$61/(1+WACC!E20)^1+$I$61/(1+WACC!E20)^2+$J$61/(1+WACC!E20)^3+$K$61/(1+WACC!E20)^4+$L$61/(1+WACC!E20)^5+$L$61*(1+0.05)/(WACC!E20-0.05)/(1+WACC!E20)^5+$L$67-$L$68)/$L$70</f>
        <v>4.5854243525784408</v>
      </c>
      <c r="G76" s="111">
        <f>($H$61/(1+WACC!E20)^1+$I$61/(1+WACC!E20)^2+$J$61/(1+WACC!E20)^3+$K$61/(1+WACC!E20)^4+$L$61/(1+WACC!E20)^5+$L$61*(1+0.06)/(WACC!E20-0.06)/(1+WACC!E20)^5+$L$67-$L$68)/$L$70</f>
        <v>4.7060532843588723</v>
      </c>
    </row>
    <row r="77" spans="3:12" x14ac:dyDescent="0.25">
      <c r="D77" s="110" t="s">
        <v>241</v>
      </c>
      <c r="E77" s="111">
        <f>($H$61/(1+0.38)^1+$I$61/(1+0.38)^2+$J$61/(1+0.38)^3+$K$61/(1+0.38)^4+$L$61/(1+0.38)^5+$L$61*(1+0.04)/(0.38-0.04)/(1+0.38)^5+$L$67-$L$68)/$L$70</f>
        <v>3.452646224737562</v>
      </c>
      <c r="F77" s="111">
        <f>($H$61/(1+0.38)^1+$I$61/(1+0.38)^2+$J$61/(1+0.38)^3+$K$61/(1+0.38)^4+$L$61/(1+0.38)^5+$L$61*(1+0.05)/(0.38-0.05)/(1+0.38)^5+$L$67-$L$68)/$L$70</f>
        <v>3.52887669631837</v>
      </c>
      <c r="G77" s="111">
        <f>($H$61/(1+0.38)^1+$I$61/(1+0.38)^2+$J$61/(1+0.38)^3+$K$61/(1+0.38)^4+$L$61/(1+0.38)^5+$L$61*(1+0.06)/(0.38-0.06)/(1+0.38)^5+$L$67-$L$68)/$L$70</f>
        <v>3.6098715723729788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C100-30E9-40EA-8DAB-16D7A2A86659}">
  <dimension ref="C2:L20"/>
  <sheetViews>
    <sheetView showGridLines="0" workbookViewId="0">
      <selection activeCell="C20" sqref="C20:E20"/>
    </sheetView>
  </sheetViews>
  <sheetFormatPr defaultRowHeight="15" x14ac:dyDescent="0.25"/>
  <cols>
    <col min="1" max="2" width="2.7109375" customWidth="1"/>
    <col min="3" max="3" width="20.140625" bestFit="1" customWidth="1"/>
    <col min="5" max="5" width="13.85546875" bestFit="1" customWidth="1"/>
    <col min="13" max="14" width="2.7109375" customWidth="1"/>
  </cols>
  <sheetData>
    <row r="2" spans="3:12" s="76" customFormat="1" ht="21" x14ac:dyDescent="0.35">
      <c r="C2" s="78" t="s">
        <v>189</v>
      </c>
    </row>
    <row r="4" spans="3:12" ht="15.75" x14ac:dyDescent="0.25">
      <c r="C4" s="4" t="s">
        <v>189</v>
      </c>
      <c r="D4" s="3"/>
      <c r="E4" s="24"/>
      <c r="F4" s="3"/>
      <c r="G4" s="3"/>
      <c r="H4" s="3"/>
      <c r="I4" s="3"/>
      <c r="J4" s="3"/>
      <c r="K4" s="3"/>
      <c r="L4" s="3"/>
    </row>
    <row r="6" spans="3:12" x14ac:dyDescent="0.25">
      <c r="C6" t="s">
        <v>190</v>
      </c>
      <c r="E6" s="79">
        <f>'Operating Model'!G143+'Operating Model'!G150</f>
        <v>3700595014</v>
      </c>
    </row>
    <row r="7" spans="3:12" x14ac:dyDescent="0.25">
      <c r="C7" t="s">
        <v>191</v>
      </c>
      <c r="E7" s="80">
        <f>E6/E18</f>
        <v>9.1192208450007195E-2</v>
      </c>
    </row>
    <row r="8" spans="3:12" x14ac:dyDescent="0.25">
      <c r="C8" t="s">
        <v>192</v>
      </c>
      <c r="E8" s="87">
        <f>'Operating Model'!G65</f>
        <v>0.18965689839311861</v>
      </c>
    </row>
    <row r="9" spans="3:12" x14ac:dyDescent="0.25">
      <c r="C9" t="s">
        <v>193</v>
      </c>
      <c r="E9" s="83">
        <v>0.22500000000000001</v>
      </c>
    </row>
    <row r="11" spans="3:12" x14ac:dyDescent="0.25">
      <c r="C11" t="s">
        <v>186</v>
      </c>
      <c r="E11" s="79">
        <f>29.24*1261271259</f>
        <v>36879571613.159996</v>
      </c>
    </row>
    <row r="12" spans="3:12" x14ac:dyDescent="0.25">
      <c r="C12" t="s">
        <v>194</v>
      </c>
      <c r="E12" s="81">
        <f>E11/E18</f>
        <v>0.90880779154999281</v>
      </c>
    </row>
    <row r="13" spans="3:12" x14ac:dyDescent="0.25">
      <c r="C13" t="s">
        <v>195</v>
      </c>
      <c r="E13" s="82">
        <f>E14+(E15*E16)</f>
        <v>0.3574</v>
      </c>
    </row>
    <row r="14" spans="3:12" x14ac:dyDescent="0.25">
      <c r="C14" t="s">
        <v>196</v>
      </c>
      <c r="E14" s="83">
        <v>0.218</v>
      </c>
    </row>
    <row r="15" spans="3:12" x14ac:dyDescent="0.25">
      <c r="C15" t="s">
        <v>197</v>
      </c>
      <c r="E15" s="84">
        <v>1</v>
      </c>
    </row>
    <row r="16" spans="3:12" x14ac:dyDescent="0.25">
      <c r="C16" t="s">
        <v>198</v>
      </c>
      <c r="E16" s="83">
        <v>0.1394</v>
      </c>
    </row>
    <row r="18" spans="3:5" x14ac:dyDescent="0.25">
      <c r="C18" t="s">
        <v>199</v>
      </c>
      <c r="E18" s="79">
        <f>E6+E11</f>
        <v>40580166627.159996</v>
      </c>
    </row>
    <row r="20" spans="3:5" x14ac:dyDescent="0.25">
      <c r="C20" s="104" t="s">
        <v>189</v>
      </c>
      <c r="D20" s="105"/>
      <c r="E20" s="106">
        <f>(E12*E13)+(E7*(E8*(1-E9)))</f>
        <v>0.33821170904445891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5198-505F-4445-A097-A039CF5B2E66}">
  <dimension ref="C2:L46"/>
  <sheetViews>
    <sheetView showGridLines="0" topLeftCell="A3" workbookViewId="0">
      <selection activeCell="F38" sqref="F38"/>
    </sheetView>
  </sheetViews>
  <sheetFormatPr defaultRowHeight="15" x14ac:dyDescent="0.25"/>
  <cols>
    <col min="1" max="2" width="2.85546875" customWidth="1"/>
    <col min="3" max="3" width="56.140625" bestFit="1" customWidth="1"/>
    <col min="4" max="5" width="12.7109375" bestFit="1" customWidth="1"/>
    <col min="6" max="12" width="9.140625" customWidth="1"/>
    <col min="13" max="14" width="2.85546875" customWidth="1"/>
  </cols>
  <sheetData>
    <row r="2" spans="3:12" ht="18.75" x14ac:dyDescent="0.3">
      <c r="C2" s="6" t="str">
        <f>Company_Name&amp;" - Financial Ratios"</f>
        <v>EDITA Food Industries (S.A.E.) - Financial Ratios</v>
      </c>
    </row>
    <row r="3" spans="3:12" x14ac:dyDescent="0.25">
      <c r="C3" s="97" t="s">
        <v>201</v>
      </c>
    </row>
    <row r="5" spans="3:12" ht="15.75" x14ac:dyDescent="0.25">
      <c r="E5" s="10" t="s">
        <v>14</v>
      </c>
      <c r="F5" s="9"/>
      <c r="G5" s="16"/>
      <c r="H5" s="10" t="s">
        <v>15</v>
      </c>
      <c r="I5" s="9"/>
      <c r="J5" s="9"/>
      <c r="K5" s="9"/>
      <c r="L5" s="9"/>
    </row>
    <row r="6" spans="3:12" ht="15.75" x14ac:dyDescent="0.25">
      <c r="E6" s="8">
        <v>45291</v>
      </c>
      <c r="F6" s="8">
        <v>45657</v>
      </c>
      <c r="G6" s="8">
        <v>46022</v>
      </c>
      <c r="H6" s="8">
        <v>46387</v>
      </c>
      <c r="I6" s="8">
        <v>46752</v>
      </c>
      <c r="J6" s="8">
        <v>47118</v>
      </c>
      <c r="K6" s="8">
        <v>47483</v>
      </c>
      <c r="L6" s="8">
        <v>47848</v>
      </c>
    </row>
    <row r="7" spans="3:12" x14ac:dyDescent="0.25">
      <c r="C7" s="98" t="s">
        <v>202</v>
      </c>
      <c r="E7" s="81"/>
      <c r="F7" s="81"/>
      <c r="G7" s="81"/>
      <c r="H7" s="81"/>
      <c r="I7" s="81"/>
      <c r="J7" s="81"/>
      <c r="K7" s="81"/>
      <c r="L7" s="81"/>
    </row>
    <row r="8" spans="3:12" x14ac:dyDescent="0.25">
      <c r="C8" s="97" t="s">
        <v>8</v>
      </c>
      <c r="E8" s="66">
        <f>'Operating Model'!E79/'Operating Model'!E74</f>
        <v>0.3237084187064711</v>
      </c>
      <c r="F8" s="66">
        <f>'Operating Model'!F79/'Operating Model'!F74</f>
        <v>0.30889997582014711</v>
      </c>
      <c r="G8" s="66">
        <f>'Operating Model'!G79/'Operating Model'!G74</f>
        <v>0.34386958230162157</v>
      </c>
      <c r="H8" s="66">
        <f>'Operating Model'!H79/'Operating Model'!H74</f>
        <v>0.32549265894274665</v>
      </c>
      <c r="I8" s="66">
        <f>'Operating Model'!I79/'Operating Model'!I74</f>
        <v>0.32549265894274659</v>
      </c>
      <c r="J8" s="66">
        <f>'Operating Model'!J79/'Operating Model'!J74</f>
        <v>0.32549265894274654</v>
      </c>
      <c r="K8" s="66">
        <f>'Operating Model'!K79/'Operating Model'!K74</f>
        <v>0.32549265894274659</v>
      </c>
      <c r="L8" s="66">
        <f>'Operating Model'!L79/'Operating Model'!L74</f>
        <v>0.32549265894274665</v>
      </c>
    </row>
    <row r="9" spans="3:12" x14ac:dyDescent="0.25">
      <c r="C9" s="97" t="s">
        <v>207</v>
      </c>
      <c r="E9" s="66">
        <f>'Operating Model'!E88/'Operating Model'!E74</f>
        <v>0.16533488342398528</v>
      </c>
      <c r="F9" s="66">
        <f>'Operating Model'!F88/'Operating Model'!F74</f>
        <v>0.14224484603801324</v>
      </c>
      <c r="G9" s="66">
        <f>'Operating Model'!G88/'Operating Model'!G74</f>
        <v>0.17884153292613372</v>
      </c>
      <c r="H9" s="66">
        <f>'Operating Model'!H88/'Operating Model'!H74</f>
        <v>0.16204280298884166</v>
      </c>
      <c r="I9" s="66">
        <f>'Operating Model'!I88/'Operating Model'!I74</f>
        <v>0.16244025744324606</v>
      </c>
      <c r="J9" s="66">
        <f>'Operating Model'!J88/'Operating Model'!J74</f>
        <v>0.16268277202559447</v>
      </c>
      <c r="K9" s="66">
        <f>'Operating Model'!K88/'Operating Model'!K74</f>
        <v>0.16283777151283788</v>
      </c>
      <c r="L9" s="66">
        <f>'Operating Model'!L88/'Operating Model'!L74</f>
        <v>0.16294616276265844</v>
      </c>
    </row>
    <row r="10" spans="3:12" x14ac:dyDescent="0.25">
      <c r="C10" s="97" t="s">
        <v>208</v>
      </c>
      <c r="E10" s="66">
        <f>('Operating Model'!E88+'Operating Model'!E179)/'Operating Model'!E74</f>
        <v>0.18865497899445885</v>
      </c>
      <c r="F10" s="66">
        <f>('Operating Model'!F88+'Operating Model'!F179)/'Operating Model'!F74</f>
        <v>0.16537905226164745</v>
      </c>
      <c r="G10" s="66">
        <f>('Operating Model'!G88+'Operating Model'!G179)/'Operating Model'!G74</f>
        <v>0.20169472502259991</v>
      </c>
      <c r="H10" s="66">
        <f>('Operating Model'!H88+'Operating Model'!H179)/'Operating Model'!H74</f>
        <v>0.18201826615982999</v>
      </c>
      <c r="I10" s="66">
        <f>('Operating Model'!I88+'Operating Model'!I179)/'Operating Model'!I74</f>
        <v>0.18082259092635763</v>
      </c>
      <c r="J10" s="66">
        <f>('Operating Model'!J88+'Operating Model'!J179)/'Operating Model'!J74</f>
        <v>0.18094048400423893</v>
      </c>
      <c r="K10" s="66">
        <f>('Operating Model'!K88+'Operating Model'!K179)/'Operating Model'!K74</f>
        <v>0.18180409078786441</v>
      </c>
      <c r="L10" s="66">
        <f>('Operating Model'!L88+'Operating Model'!L179)/'Operating Model'!L74</f>
        <v>0.18300951489677109</v>
      </c>
    </row>
    <row r="11" spans="3:12" x14ac:dyDescent="0.25">
      <c r="C11" s="97" t="s">
        <v>209</v>
      </c>
      <c r="E11" s="66">
        <f>'Operating Model'!E99/'Operating Model'!E74</f>
        <v>0.1242434278422469</v>
      </c>
      <c r="F11" s="66">
        <f>'Operating Model'!F99/'Operating Model'!F74</f>
        <v>9.9509067013603347E-2</v>
      </c>
      <c r="G11" s="66">
        <f>'Operating Model'!G99/'Operating Model'!G74</f>
        <v>0.12886886616162019</v>
      </c>
      <c r="H11" s="66">
        <f>'Operating Model'!H99/'Operating Model'!H74</f>
        <v>0.113369648862337</v>
      </c>
      <c r="I11" s="66">
        <f>'Operating Model'!I99/'Operating Model'!I74</f>
        <v>0.11057411725998144</v>
      </c>
      <c r="J11" s="66">
        <f>'Operating Model'!J99/'Operating Model'!J74</f>
        <v>0.10886836916362889</v>
      </c>
      <c r="K11" s="66">
        <f>'Operating Model'!K99/'Operating Model'!K74</f>
        <v>0.107778166348851</v>
      </c>
      <c r="L11" s="66">
        <f>'Operating Model'!L99/'Operating Model'!L74</f>
        <v>0.10701578675809725</v>
      </c>
    </row>
    <row r="12" spans="3:12" x14ac:dyDescent="0.25">
      <c r="C12" s="97" t="s">
        <v>210</v>
      </c>
      <c r="E12" s="66"/>
      <c r="F12" s="66">
        <f>'Operating Model'!F99/AVERAGE('Operating Model'!E168,'Operating Model'!F168)</f>
        <v>0.42503383110250936</v>
      </c>
      <c r="G12" s="66">
        <f>'Operating Model'!G99/AVERAGE('Operating Model'!F168,'Operating Model'!G168)</f>
        <v>0.52591824989289671</v>
      </c>
      <c r="H12" s="66">
        <f>'Operating Model'!H99/AVERAGE('Operating Model'!G168,'Operating Model'!H168)</f>
        <v>0.44221365155165737</v>
      </c>
      <c r="I12" s="66">
        <f>'Operating Model'!I99/AVERAGE('Operating Model'!H168,'Operating Model'!I168)</f>
        <v>0.4165130643307618</v>
      </c>
      <c r="J12" s="66">
        <f>'Operating Model'!J99/AVERAGE('Operating Model'!I168,'Operating Model'!J168)</f>
        <v>0.38098897242511648</v>
      </c>
      <c r="K12" s="66">
        <f>'Operating Model'!K99/AVERAGE('Operating Model'!J168,'Operating Model'!K168)</f>
        <v>0.3431175025531667</v>
      </c>
      <c r="L12" s="66">
        <f>'Operating Model'!L99/AVERAGE('Operating Model'!K168,'Operating Model'!L168)</f>
        <v>0.30835185962374445</v>
      </c>
    </row>
    <row r="13" spans="3:12" x14ac:dyDescent="0.25">
      <c r="C13" s="97" t="s">
        <v>211</v>
      </c>
      <c r="E13" s="66"/>
      <c r="F13" s="66">
        <f>('Operating Model'!F88*(1-22.5%))/AVERAGE(('Operating Model'!E140+'Operating Model'!E143+'Operating Model'!E150+'Operating Model'!E168),('Operating Model'!F140+'Operating Model'!F143+'Operating Model'!F150+'Operating Model'!F168))</f>
        <v>0.2728468273417422</v>
      </c>
      <c r="G13" s="66">
        <f>('Operating Model'!G88*(1-22.5%))/AVERAGE(('Operating Model'!F140+'Operating Model'!F143+'Operating Model'!F150+'Operating Model'!F168),('Operating Model'!G140+'Operating Model'!G143+'Operating Model'!G150+'Operating Model'!G168))</f>
        <v>0.31881650960942876</v>
      </c>
      <c r="H13" s="66">
        <f>('Operating Model'!H88*(1-22.5%))/AVERAGE(('Operating Model'!G140+'Operating Model'!G143+'Operating Model'!G150+'Operating Model'!G168),('Operating Model'!H140+'Operating Model'!H143+'Operating Model'!H150+'Operating Model'!H168))</f>
        <v>0.29930089783616182</v>
      </c>
      <c r="I13" s="66">
        <f>('Operating Model'!I88*(1-22.5%))/AVERAGE(('Operating Model'!H140+'Operating Model'!H143+'Operating Model'!H150+'Operating Model'!H168),('Operating Model'!I140+'Operating Model'!I143+'Operating Model'!I150+'Operating Model'!I168))</f>
        <v>0.31786562059595613</v>
      </c>
      <c r="J13" s="66">
        <f>('Operating Model'!J88*(1-22.5%))/AVERAGE(('Operating Model'!I140+'Operating Model'!I143+'Operating Model'!I150+'Operating Model'!I168),('Operating Model'!J140+'Operating Model'!J143+'Operating Model'!J150+'Operating Model'!J168))</f>
        <v>0.31805274778311121</v>
      </c>
      <c r="K13" s="66">
        <f>('Operating Model'!K88*(1-22.5%))/AVERAGE(('Operating Model'!J140+'Operating Model'!J143+'Operating Model'!J150+'Operating Model'!J168),('Operating Model'!K140+'Operating Model'!K143+'Operating Model'!K150+'Operating Model'!K168))</f>
        <v>0.30627808411849961</v>
      </c>
      <c r="L13" s="66">
        <f>('Operating Model'!L88*(1-22.5%))/AVERAGE(('Operating Model'!K140+'Operating Model'!K143+'Operating Model'!K150+'Operating Model'!K168),('Operating Model'!L140+'Operating Model'!L143+'Operating Model'!L150+'Operating Model'!L168))</f>
        <v>0.28958611891009473</v>
      </c>
    </row>
    <row r="14" spans="3:12" x14ac:dyDescent="0.25">
      <c r="C14" s="97" t="s">
        <v>212</v>
      </c>
      <c r="E14" s="82"/>
      <c r="F14" s="82">
        <f>F13-WACC!$E$20</f>
        <v>-6.5364881702716704E-2</v>
      </c>
      <c r="G14" s="82">
        <f>G13-WACC!$E$20</f>
        <v>-1.9395199435030153E-2</v>
      </c>
      <c r="H14" s="82">
        <f>H13-WACC!$E$20</f>
        <v>-3.8910811208297091E-2</v>
      </c>
      <c r="I14" s="82">
        <f>I13-WACC!$E$20</f>
        <v>-2.0346088448502775E-2</v>
      </c>
      <c r="J14" s="82">
        <f>J13-WACC!$E$20</f>
        <v>-2.0158961261347697E-2</v>
      </c>
      <c r="K14" s="82">
        <f>K13-WACC!$E$20</f>
        <v>-3.1933624925959303E-2</v>
      </c>
      <c r="L14" s="82">
        <f>L13-WACC!$E$20</f>
        <v>-4.8625590134364183E-2</v>
      </c>
    </row>
    <row r="16" spans="3:12" x14ac:dyDescent="0.25">
      <c r="C16" s="98" t="s">
        <v>203</v>
      </c>
    </row>
    <row r="17" spans="3:12" x14ac:dyDescent="0.25">
      <c r="C17" s="97" t="s">
        <v>213</v>
      </c>
      <c r="E17" s="99">
        <f>'Operating Model'!E125/'Operating Model'!E147</f>
        <v>1.4389421619143634</v>
      </c>
      <c r="F17" s="99">
        <f>'Operating Model'!F125/'Operating Model'!F147</f>
        <v>1.6398675465826258</v>
      </c>
      <c r="G17" s="99">
        <f>'Operating Model'!G125/'Operating Model'!G147</f>
        <v>1.7568398038259947</v>
      </c>
      <c r="H17" s="99">
        <f>'Operating Model'!H125/'Operating Model'!H147</f>
        <v>1.8706143158610145</v>
      </c>
      <c r="I17" s="99">
        <f>'Operating Model'!I125/'Operating Model'!I147</f>
        <v>1.9564901479787093</v>
      </c>
      <c r="J17" s="99">
        <f>'Operating Model'!J125/'Operating Model'!J147</f>
        <v>2.0595085576798002</v>
      </c>
      <c r="K17" s="99">
        <f>'Operating Model'!K125/'Operating Model'!K147</f>
        <v>2.1836564079776593</v>
      </c>
      <c r="L17" s="99">
        <f>'Operating Model'!L125/'Operating Model'!L147</f>
        <v>2.3256469217645535</v>
      </c>
    </row>
    <row r="18" spans="3:12" x14ac:dyDescent="0.25">
      <c r="C18" s="97" t="s">
        <v>214</v>
      </c>
      <c r="E18" s="99">
        <f>('Operating Model'!E125-'Operating Model'!E119)/'Operating Model'!E147</f>
        <v>0.76789011822260456</v>
      </c>
      <c r="F18" s="99">
        <f>('Operating Model'!F125-'Operating Model'!F119)/'Operating Model'!F147</f>
        <v>0.68402047934947718</v>
      </c>
      <c r="G18" s="99">
        <f>('Operating Model'!G125-'Operating Model'!G119)/'Operating Model'!G147</f>
        <v>1.2689612713532332</v>
      </c>
      <c r="H18" s="99">
        <f>('Operating Model'!H125-'Operating Model'!H119)/'Operating Model'!H147</f>
        <v>1.1796209867897032</v>
      </c>
      <c r="I18" s="99">
        <f>('Operating Model'!I125-'Operating Model'!I119)/'Operating Model'!I147</f>
        <v>1.202008401471335</v>
      </c>
      <c r="J18" s="99">
        <f>('Operating Model'!J125-'Operating Model'!J119)/'Operating Model'!J147</f>
        <v>1.260216644955467</v>
      </c>
      <c r="K18" s="99">
        <f>('Operating Model'!K125-'Operating Model'!K119)/'Operating Model'!K147</f>
        <v>1.3528266313650503</v>
      </c>
      <c r="L18" s="99">
        <f>('Operating Model'!L125-'Operating Model'!L119)/'Operating Model'!L147</f>
        <v>1.4712419897102897</v>
      </c>
    </row>
    <row r="19" spans="3:12" x14ac:dyDescent="0.25">
      <c r="C19" s="97" t="s">
        <v>215</v>
      </c>
      <c r="E19" s="99">
        <f>('Operating Model'!E118+'Operating Model'!E121)/'Operating Model'!E147</f>
        <v>0.48750900240695177</v>
      </c>
      <c r="F19" s="99">
        <f>('Operating Model'!F118+'Operating Model'!F121)/'Operating Model'!F147</f>
        <v>0.41716680371247572</v>
      </c>
      <c r="G19" s="99">
        <f>('Operating Model'!G118+'Operating Model'!G121)/'Operating Model'!G147</f>
        <v>0.87713459948242511</v>
      </c>
      <c r="H19" s="99">
        <f>('Operating Model'!H118+'Operating Model'!H121)/'Operating Model'!H147</f>
        <v>0.76366967885457149</v>
      </c>
      <c r="I19" s="99">
        <f>('Operating Model'!I118+'Operating Model'!I121)/'Operating Model'!I147</f>
        <v>0.77169428205810697</v>
      </c>
      <c r="J19" s="99">
        <f>('Operating Model'!J118+'Operating Model'!J121)/'Operating Model'!J147</f>
        <v>0.819765243882565</v>
      </c>
      <c r="K19" s="99">
        <f>('Operating Model'!K118+'Operating Model'!K121)/'Operating Model'!K147</f>
        <v>0.90524050538101997</v>
      </c>
      <c r="L19" s="99">
        <f>('Operating Model'!L118+'Operating Model'!L121)/'Operating Model'!L147</f>
        <v>1.0183225206244837</v>
      </c>
    </row>
    <row r="21" spans="3:12" x14ac:dyDescent="0.25">
      <c r="C21" s="98" t="s">
        <v>204</v>
      </c>
    </row>
    <row r="22" spans="3:12" x14ac:dyDescent="0.25">
      <c r="C22" s="97" t="s">
        <v>216</v>
      </c>
      <c r="E22" s="101">
        <f>('Operating Model'!E140+'Operating Model'!E143+'Operating Model'!E150)/1000000</f>
        <v>2023.7637110000001</v>
      </c>
      <c r="F22" s="101">
        <f>('Operating Model'!F140+'Operating Model'!F143+'Operating Model'!F150)/1000000</f>
        <v>3463.3161759999998</v>
      </c>
      <c r="G22" s="101">
        <f>('Operating Model'!G140+'Operating Model'!G143+'Operating Model'!G150)/1000000</f>
        <v>4472.0193570000001</v>
      </c>
      <c r="H22" s="101">
        <f>('Operating Model'!H140+'Operating Model'!H143+'Operating Model'!H150)/1000000</f>
        <v>4472.0193570000001</v>
      </c>
      <c r="I22" s="101">
        <f>('Operating Model'!I140+'Operating Model'!I143+'Operating Model'!I150)/1000000</f>
        <v>4472.0193570000001</v>
      </c>
      <c r="J22" s="101">
        <f>('Operating Model'!J140+'Operating Model'!J143+'Operating Model'!J150)/1000000</f>
        <v>4472.0193570000001</v>
      </c>
      <c r="K22" s="101">
        <f>('Operating Model'!K140+'Operating Model'!K143+'Operating Model'!K150)/1000000</f>
        <v>4472.0193570000001</v>
      </c>
      <c r="L22" s="101">
        <f>('Operating Model'!L140+'Operating Model'!L143+'Operating Model'!L150)/1000000</f>
        <v>4472.0193570000001</v>
      </c>
    </row>
    <row r="23" spans="3:12" x14ac:dyDescent="0.25">
      <c r="C23" s="97" t="s">
        <v>217</v>
      </c>
      <c r="E23" s="101">
        <f>('Operating Model'!E140+'Operating Model'!E143+'Operating Model'!E150-'Operating Model'!E118-'Operating Model'!E121)/1000000</f>
        <v>667.42816600000003</v>
      </c>
      <c r="F23" s="101">
        <f>('Operating Model'!F140+'Operating Model'!F143+'Operating Model'!F150-'Operating Model'!F118-'Operating Model'!F121)/1000000</f>
        <v>2139.155882</v>
      </c>
      <c r="G23" s="101">
        <f>('Operating Model'!G140+'Operating Model'!G143+'Operating Model'!G150-'Operating Model'!G118-'Operating Model'!G121)/1000000</f>
        <v>309.89627899999999</v>
      </c>
      <c r="H23" s="101">
        <f>('Operating Model'!H140+'Operating Model'!H143+'Operating Model'!H150-'Operating Model'!H118-'Operating Model'!H121)/1000000</f>
        <v>424.31748975647452</v>
      </c>
      <c r="I23" s="101">
        <f>('Operating Model'!I140+'Operating Model'!I143+'Operating Model'!I150-'Operating Model'!I118-'Operating Model'!I121)/1000000</f>
        <v>-210.54098309420681</v>
      </c>
      <c r="J23" s="101">
        <f>('Operating Model'!J140+'Operating Model'!J143+'Operating Model'!J150-'Operating Model'!J118-'Operating Model'!J121)/1000000</f>
        <v>-1068.5312640650786</v>
      </c>
      <c r="K23" s="101">
        <f>('Operating Model'!K140+'Operating Model'!K143+'Operating Model'!K150-'Operating Model'!K118-'Operating Model'!K121)/1000000</f>
        <v>-2179.1684870689469</v>
      </c>
      <c r="L23" s="101">
        <f>('Operating Model'!L140+'Operating Model'!L143+'Operating Model'!L150-'Operating Model'!L118-'Operating Model'!L121)/1000000</f>
        <v>-3531.1420368929826</v>
      </c>
    </row>
    <row r="24" spans="3:12" x14ac:dyDescent="0.25">
      <c r="C24" s="97" t="s">
        <v>218</v>
      </c>
      <c r="E24" s="99">
        <f>('Operating Model'!E140+'Operating Model'!E143+'Operating Model'!E150)/'Operating Model'!E168</f>
        <v>0.59471726740661157</v>
      </c>
      <c r="F24" s="99">
        <f>('Operating Model'!F140+'Operating Model'!F143+'Operating Model'!F150)/'Operating Model'!F168</f>
        <v>0.83301469064731226</v>
      </c>
      <c r="G24" s="99">
        <f>('Operating Model'!G140+'Operating Model'!G143+'Operating Model'!G150)/'Operating Model'!G168</f>
        <v>0.73404219492209832</v>
      </c>
      <c r="H24" s="99">
        <f>('Operating Model'!H140+'Operating Model'!H143+'Operating Model'!H150)/'Operating Model'!H168</f>
        <v>0.56209175663646138</v>
      </c>
      <c r="I24" s="99">
        <f>('Operating Model'!I140+'Operating Model'!I143+'Operating Model'!I150)/'Operating Model'!I168</f>
        <v>0.43722340995561937</v>
      </c>
      <c r="J24" s="99">
        <f>('Operating Model'!J140+'Operating Model'!J143+'Operating Model'!J150)/'Operating Model'!J168</f>
        <v>0.34752882560522735</v>
      </c>
      <c r="K24" s="99">
        <f>('Operating Model'!K140+'Operating Model'!K143+'Operating Model'!K150)/'Operating Model'!K168</f>
        <v>0.28266016393678017</v>
      </c>
      <c r="L24" s="99">
        <f>('Operating Model'!L140+'Operating Model'!L143+'Operating Model'!L150)/'Operating Model'!L168</f>
        <v>0.2347928813061885</v>
      </c>
    </row>
    <row r="25" spans="3:12" x14ac:dyDescent="0.25">
      <c r="C25" s="97" t="s">
        <v>219</v>
      </c>
      <c r="E25" s="99">
        <f>('Operating Model'!E140+'Operating Model'!E143+'Operating Model'!E150)/('Operating Model'!E88+'Operating Model'!E179)</f>
        <v>0.88465528099945767</v>
      </c>
      <c r="F25" s="99">
        <f>('Operating Model'!F140+'Operating Model'!F143+'Operating Model'!F150)/('Operating Model'!F88+'Operating Model'!F179)</f>
        <v>1.2969762291821527</v>
      </c>
      <c r="G25" s="99">
        <f>('Operating Model'!G140+'Operating Model'!G143+'Operating Model'!G150)/('Operating Model'!G88+'Operating Model'!G179)</f>
        <v>1.0601071450347404</v>
      </c>
      <c r="H25" s="99">
        <f>('Operating Model'!H140+'Operating Model'!H143+'Operating Model'!H150)/('Operating Model'!H88+'Operating Model'!H179)</f>
        <v>0.89672242990406426</v>
      </c>
      <c r="I25" s="99">
        <f>('Operating Model'!I140+'Operating Model'!I143+'Operating Model'!I150)/('Operating Model'!I88+'Operating Model'!I179)</f>
        <v>0.72212154944396689</v>
      </c>
      <c r="J25" s="99">
        <f>('Operating Model'!J140+'Operating Model'!J143+'Operating Model'!J150)/('Operating Model'!J88+'Operating Model'!J179)</f>
        <v>0.61156868299843148</v>
      </c>
      <c r="K25" s="99">
        <f>('Operating Model'!K140+'Operating Model'!K143+'Operating Model'!K150)/('Operating Model'!K88+'Operating Model'!K179)</f>
        <v>0.53864035938490129</v>
      </c>
      <c r="L25" s="99">
        <f>('Operating Model'!L140+'Operating Model'!L143+'Operating Model'!L150)/('Operating Model'!L88+'Operating Model'!L179)</f>
        <v>0.48644773695786714</v>
      </c>
    </row>
    <row r="26" spans="3:12" x14ac:dyDescent="0.25">
      <c r="C26" s="97" t="s">
        <v>220</v>
      </c>
      <c r="E26" s="99">
        <f>('Operating Model'!E140+'Operating Model'!E143+'Operating Model'!E150-'Operating Model'!E118-'Operating Model'!E121)/('Operating Model'!E88+'Operating Model'!E179)</f>
        <v>0.29175533118336594</v>
      </c>
      <c r="F26" s="99">
        <f>('Operating Model'!F140+'Operating Model'!F143+'Operating Model'!F150-'Operating Model'!F118-'Operating Model'!F121)/('Operating Model'!F88+'Operating Model'!F179)</f>
        <v>0.80109184044338377</v>
      </c>
      <c r="G26" s="99">
        <f>('Operating Model'!G140+'Operating Model'!G143+'Operating Model'!G150-'Operating Model'!G118-'Operating Model'!G121)/('Operating Model'!G88+'Operating Model'!G179)</f>
        <v>7.3461949370443952E-2</v>
      </c>
      <c r="H26" s="99">
        <f>('Operating Model'!H140+'Operating Model'!H143+'Operating Model'!H150-'Operating Model'!H118-'Operating Model'!H121)/('Operating Model'!H88+'Operating Model'!H179)</f>
        <v>8.5083489155661704E-2</v>
      </c>
      <c r="I26" s="99">
        <f>('Operating Model'!I140+'Operating Model'!I143+'Operating Model'!I150-'Operating Model'!I118-'Operating Model'!I121)/('Operating Model'!I88+'Operating Model'!I179)</f>
        <v>-3.3997209939501755E-2</v>
      </c>
      <c r="J26" s="99">
        <f>('Operating Model'!J140+'Operating Model'!J143+'Operating Model'!J150-'Operating Model'!J118-'Operating Model'!J121)/('Operating Model'!J88+'Operating Model'!J179)</f>
        <v>-0.14612643768727082</v>
      </c>
      <c r="K26" s="99">
        <f>('Operating Model'!K140+'Operating Model'!K143+'Operating Model'!K150-'Operating Model'!K118-'Operating Model'!K121)/('Operating Model'!K88+'Operating Model'!K179)</f>
        <v>-0.26247384086067344</v>
      </c>
      <c r="L26" s="99">
        <f>('Operating Model'!L140+'Operating Model'!L143+'Operating Model'!L150-'Operating Model'!L118-'Operating Model'!L121)/('Operating Model'!L88+'Operating Model'!L179)</f>
        <v>-0.38410300036708556</v>
      </c>
    </row>
    <row r="27" spans="3:12" x14ac:dyDescent="0.25">
      <c r="C27" s="97" t="s">
        <v>221</v>
      </c>
      <c r="E27" s="99">
        <f>'Operating Model'!E88/'Operating Model'!E181</f>
        <v>9.4598792138497831</v>
      </c>
      <c r="F27" s="99">
        <f>'Operating Model'!F88/'Operating Model'!F181</f>
        <v>5.7087722971573935</v>
      </c>
      <c r="G27" s="99">
        <f>'Operating Model'!G88/'Operating Model'!G181</f>
        <v>6.2063533797810635</v>
      </c>
      <c r="H27" s="99">
        <f>'Operating Model'!H88/'Operating Model'!H181</f>
        <v>5.6233855835622535</v>
      </c>
      <c r="I27" s="99">
        <f>'Operating Model'!I88/'Operating Model'!I181</f>
        <v>5.6371784803018512</v>
      </c>
      <c r="J27" s="99">
        <f>'Operating Model'!J88/'Operating Model'!J181</f>
        <v>5.6455944850921149</v>
      </c>
      <c r="K27" s="99">
        <f>'Operating Model'!K88/'Operating Model'!K181</f>
        <v>5.6509734458725207</v>
      </c>
      <c r="L27" s="99">
        <f>'Operating Model'!L88/'Operating Model'!L181</f>
        <v>5.6547349569077703</v>
      </c>
    </row>
    <row r="28" spans="3:12" x14ac:dyDescent="0.25">
      <c r="C28" s="97"/>
    </row>
    <row r="29" spans="3:12" x14ac:dyDescent="0.25">
      <c r="C29" s="98" t="s">
        <v>205</v>
      </c>
    </row>
    <row r="30" spans="3:12" x14ac:dyDescent="0.25">
      <c r="C30" s="97" t="s">
        <v>222</v>
      </c>
      <c r="E30" s="99"/>
      <c r="F30" s="99">
        <f>'Operating Model'!F74/AVERAGE('Operating Model'!E134:F134)</f>
        <v>1.7866104999932639</v>
      </c>
      <c r="G30" s="99">
        <f>'Operating Model'!G74/AVERAGE('Operating Model'!F134:G134)</f>
        <v>1.6745213057987485</v>
      </c>
      <c r="H30" s="99">
        <f>'Operating Model'!H74/AVERAGE('Operating Model'!G134:H134)</f>
        <v>1.7189368996304617</v>
      </c>
      <c r="I30" s="99">
        <f>'Operating Model'!I74/AVERAGE('Operating Model'!H134:I134)</f>
        <v>1.835415827709304</v>
      </c>
      <c r="J30" s="99">
        <f>'Operating Model'!J74/AVERAGE('Operating Model'!I134:J134)</f>
        <v>1.849998378220191</v>
      </c>
      <c r="K30" s="99">
        <f>'Operating Model'!K74/AVERAGE('Operating Model'!J134:K134)</f>
        <v>1.8063556484409533</v>
      </c>
      <c r="L30" s="99">
        <f>'Operating Model'!L74/AVERAGE('Operating Model'!K134:L134)</f>
        <v>1.7369383110047463</v>
      </c>
    </row>
    <row r="31" spans="3:12" x14ac:dyDescent="0.25">
      <c r="C31" s="97" t="s">
        <v>223</v>
      </c>
      <c r="E31" s="100">
        <f>'Operating Model'!E29</f>
        <v>23.480571848227711</v>
      </c>
      <c r="F31" s="100">
        <f>'Operating Model'!F29</f>
        <v>19.147727873717766</v>
      </c>
      <c r="G31" s="100">
        <f>'Operating Model'!G29</f>
        <v>22.342809190563933</v>
      </c>
      <c r="H31" s="100">
        <f>'Operating Model'!H29</f>
        <v>21.657036304169804</v>
      </c>
      <c r="I31" s="100">
        <f>'Operating Model'!I29</f>
        <v>21.657036304169804</v>
      </c>
      <c r="J31" s="100">
        <f>'Operating Model'!J29</f>
        <v>21.657036304169804</v>
      </c>
      <c r="K31" s="100">
        <f>'Operating Model'!K29</f>
        <v>21.657036304169804</v>
      </c>
      <c r="L31" s="100">
        <f>'Operating Model'!L29</f>
        <v>21.657036304169804</v>
      </c>
    </row>
    <row r="32" spans="3:12" x14ac:dyDescent="0.25">
      <c r="C32" s="97" t="s">
        <v>224</v>
      </c>
      <c r="E32" s="100">
        <f>'Operating Model'!E31</f>
        <v>83.09638522228893</v>
      </c>
      <c r="F32" s="100">
        <f>'Operating Model'!F31</f>
        <v>99.241098161781579</v>
      </c>
      <c r="G32" s="100">
        <f>'Operating Model'!G31</f>
        <v>61.574898491526561</v>
      </c>
      <c r="H32" s="100">
        <f>'Operating Model'!H31</f>
        <v>72.335641856907742</v>
      </c>
      <c r="I32" s="100">
        <f>'Operating Model'!I31</f>
        <v>72.335641856907742</v>
      </c>
      <c r="J32" s="100">
        <f>'Operating Model'!J31</f>
        <v>72.335641856907742</v>
      </c>
      <c r="K32" s="100">
        <f>'Operating Model'!K31</f>
        <v>72.335641856907742</v>
      </c>
      <c r="L32" s="100">
        <f>'Operating Model'!L31</f>
        <v>72.335641856907742</v>
      </c>
    </row>
    <row r="33" spans="3:12" x14ac:dyDescent="0.25">
      <c r="C33" s="97" t="s">
        <v>225</v>
      </c>
      <c r="E33" s="100">
        <f>'Operating Model'!E33</f>
        <v>61.594585299476222</v>
      </c>
      <c r="F33" s="100">
        <f>'Operating Model'!F33</f>
        <v>53.42699039038515</v>
      </c>
      <c r="G33" s="100">
        <f>'Operating Model'!G33</f>
        <v>66.894823582878274</v>
      </c>
      <c r="H33" s="100">
        <f>'Operating Model'!H33</f>
        <v>60.638799757579882</v>
      </c>
      <c r="I33" s="100">
        <f>'Operating Model'!I33</f>
        <v>60.638799757579882</v>
      </c>
      <c r="J33" s="100">
        <f>'Operating Model'!J33</f>
        <v>60.638799757579882</v>
      </c>
      <c r="K33" s="100">
        <f>'Operating Model'!K33</f>
        <v>60.638799757579882</v>
      </c>
      <c r="L33" s="100">
        <f>'Operating Model'!L33</f>
        <v>60.638799757579882</v>
      </c>
    </row>
    <row r="34" spans="3:12" x14ac:dyDescent="0.25">
      <c r="C34" s="97" t="s">
        <v>226</v>
      </c>
      <c r="E34" s="100">
        <f>E31+E32-E33</f>
        <v>44.98237177104042</v>
      </c>
      <c r="F34" s="100">
        <f t="shared" ref="F34:L34" si="0">F31+F32-F33</f>
        <v>64.961835645114206</v>
      </c>
      <c r="G34" s="100">
        <f t="shared" si="0"/>
        <v>17.02288409921222</v>
      </c>
      <c r="H34" s="100">
        <f t="shared" si="0"/>
        <v>33.353878403497667</v>
      </c>
      <c r="I34" s="100">
        <f t="shared" si="0"/>
        <v>33.353878403497667</v>
      </c>
      <c r="J34" s="100">
        <f t="shared" si="0"/>
        <v>33.353878403497667</v>
      </c>
      <c r="K34" s="100">
        <f t="shared" si="0"/>
        <v>33.353878403497667</v>
      </c>
      <c r="L34" s="100">
        <f t="shared" si="0"/>
        <v>33.353878403497667</v>
      </c>
    </row>
    <row r="35" spans="3:12" x14ac:dyDescent="0.25">
      <c r="C35" s="97"/>
    </row>
    <row r="36" spans="3:12" x14ac:dyDescent="0.25">
      <c r="C36" s="98" t="s">
        <v>206</v>
      </c>
    </row>
    <row r="37" spans="3:12" x14ac:dyDescent="0.25">
      <c r="C37" s="97" t="s">
        <v>227</v>
      </c>
      <c r="E37" s="102">
        <v>1261271259</v>
      </c>
    </row>
    <row r="38" spans="3:12" x14ac:dyDescent="0.25">
      <c r="C38" s="97" t="s">
        <v>114</v>
      </c>
      <c r="F38" s="66">
        <f>'Operating Model'!F74/'Operating Model'!E74-1</f>
        <v>0.3315643767475811</v>
      </c>
      <c r="G38" s="66">
        <f>'Operating Model'!G74/'Operating Model'!F74-1</f>
        <v>0.29532798047915154</v>
      </c>
      <c r="H38" s="66">
        <f>'Operating Model'!H74/'Operating Model'!G74-1</f>
        <v>0.31000000000000005</v>
      </c>
      <c r="I38" s="66">
        <f>'Operating Model'!I74/'Operating Model'!H74-1</f>
        <v>0.25</v>
      </c>
      <c r="J38" s="66">
        <f>'Operating Model'!J74/'Operating Model'!I74-1</f>
        <v>0.17999999999999994</v>
      </c>
      <c r="K38" s="66">
        <f>'Operating Model'!K74/'Operating Model'!J74-1</f>
        <v>0.12999999999999989</v>
      </c>
      <c r="L38" s="66">
        <f>'Operating Model'!L74/'Operating Model'!K74-1</f>
        <v>0.10000000000000009</v>
      </c>
    </row>
    <row r="39" spans="3:12" x14ac:dyDescent="0.25">
      <c r="C39" s="97" t="s">
        <v>228</v>
      </c>
      <c r="F39" s="66">
        <f>('Operating Model'!F88+'Operating Model'!F179)/('Operating Model'!E88+'Operating Model'!E179)-1</f>
        <v>0.16727825486309755</v>
      </c>
      <c r="G39" s="66">
        <f>('Operating Model'!G88+'Operating Model'!G179)/('Operating Model'!F88+'Operating Model'!F179)-1</f>
        <v>0.57976973059126857</v>
      </c>
      <c r="H39" s="66">
        <f>('Operating Model'!H88+'Operating Model'!H179)/('Operating Model'!G88+'Operating Model'!G179)-1</f>
        <v>0.18220210589374441</v>
      </c>
      <c r="I39" s="66">
        <f>('Operating Model'!I88+'Operating Model'!I179)/('Operating Model'!H88+'Operating Model'!H179)-1</f>
        <v>0.24178876893306933</v>
      </c>
      <c r="J39" s="66">
        <f>('Operating Model'!J88+'Operating Model'!J179)/('Operating Model'!I88+'Operating Model'!I179)-1</f>
        <v>0.18076933878221313</v>
      </c>
      <c r="K39" s="66">
        <f>('Operating Model'!K88+'Operating Model'!K179)/('Operating Model'!J88+'Operating Model'!J179)-1</f>
        <v>0.13539335169167521</v>
      </c>
      <c r="L39" s="66">
        <f>('Operating Model'!L88+'Operating Model'!L179)/('Operating Model'!K88+'Operating Model'!K179)-1</f>
        <v>0.10729338110078346</v>
      </c>
    </row>
    <row r="40" spans="3:12" x14ac:dyDescent="0.25">
      <c r="C40" s="97" t="s">
        <v>229</v>
      </c>
      <c r="E40" s="99">
        <f>'Operating Model'!E99/Ratios!$E$37</f>
        <v>1.194489629609486</v>
      </c>
      <c r="F40" s="99">
        <f>'Operating Model'!F99/Ratios!$E$37</f>
        <v>1.273895434098685</v>
      </c>
      <c r="G40" s="99">
        <f>'Operating Model'!G99/Ratios!$E$37</f>
        <v>2.1369722419085107</v>
      </c>
      <c r="H40" s="99">
        <f>'Operating Model'!H99/Ratios!$E$37</f>
        <v>2.4627423044970076</v>
      </c>
      <c r="I40" s="99">
        <f>'Operating Model'!I99/Ratios!$E$37</f>
        <v>3.0025183006568801</v>
      </c>
      <c r="J40" s="99">
        <f>'Operating Model'!J99/Ratios!$E$37</f>
        <v>3.4883166972007658</v>
      </c>
      <c r="K40" s="99">
        <f>'Operating Model'!K99/Ratios!$E$37</f>
        <v>3.9023248862553883</v>
      </c>
      <c r="L40" s="99">
        <f>'Operating Model'!L99/Ratios!$E$37</f>
        <v>4.2621935428951776</v>
      </c>
    </row>
    <row r="41" spans="3:12" x14ac:dyDescent="0.25">
      <c r="C41" s="97" t="s">
        <v>230</v>
      </c>
      <c r="F41" s="66">
        <f>F40/E40-1</f>
        <v>6.6476763398238159E-2</v>
      </c>
      <c r="G41" s="66">
        <f t="shared" ref="G41:L41" si="1">G40/F40-1</f>
        <v>0.67750993111964131</v>
      </c>
      <c r="H41" s="66">
        <f t="shared" si="1"/>
        <v>0.15244468608424921</v>
      </c>
      <c r="I41" s="66">
        <f t="shared" si="1"/>
        <v>0.21917680756700886</v>
      </c>
      <c r="J41" s="66">
        <f t="shared" si="1"/>
        <v>0.16179698103342277</v>
      </c>
      <c r="K41" s="66">
        <f t="shared" si="1"/>
        <v>0.11868423225071489</v>
      </c>
      <c r="L41" s="66">
        <f t="shared" si="1"/>
        <v>9.2219040476948511E-2</v>
      </c>
    </row>
    <row r="42" spans="3:12" x14ac:dyDescent="0.25">
      <c r="C42" s="97" t="s">
        <v>231</v>
      </c>
      <c r="E42" s="103">
        <f>-'Operating Model'!E215/Ratios!$E$37</f>
        <v>0.55475774541533418</v>
      </c>
      <c r="F42" s="103">
        <f>-'Operating Model'!F215/Ratios!$E$37</f>
        <v>0.55499560067276532</v>
      </c>
      <c r="G42" s="103">
        <f>-'Operating Model'!G215/Ratios!$E$37</f>
        <v>0.63435997156897084</v>
      </c>
      <c r="H42" s="103">
        <f>-'Operating Model'!H215/Ratios!$E$37</f>
        <v>0.98509692179880304</v>
      </c>
      <c r="I42" s="103">
        <f>-'Operating Model'!I215/Ratios!$E$37</f>
        <v>1.201007320262752</v>
      </c>
      <c r="J42" s="103">
        <f>-'Operating Model'!J215/Ratios!$E$37</f>
        <v>1.3953266788803065</v>
      </c>
      <c r="K42" s="103">
        <f>-'Operating Model'!K215/Ratios!$E$37</f>
        <v>1.5609299545021553</v>
      </c>
      <c r="L42" s="103">
        <f>-'Operating Model'!L215/Ratios!$E$37</f>
        <v>1.7048774171580712</v>
      </c>
    </row>
    <row r="43" spans="3:12" x14ac:dyDescent="0.25">
      <c r="C43" s="97" t="s">
        <v>232</v>
      </c>
      <c r="E43" s="66">
        <f>-'Operating Model'!E215/'Operating Model'!E99</f>
        <v>0.46443077584248338</v>
      </c>
      <c r="F43" s="66">
        <f>-'Operating Model'!F215/'Operating Model'!F99</f>
        <v>0.43566809788076488</v>
      </c>
      <c r="G43" s="66">
        <f>-'Operating Model'!G215/'Operating Model'!G99</f>
        <v>0.29684988842083865</v>
      </c>
      <c r="H43" s="66">
        <f>-'Operating Model'!H215/'Operating Model'!H99</f>
        <v>0.4</v>
      </c>
      <c r="I43" s="66">
        <f>-'Operating Model'!I215/'Operating Model'!I99</f>
        <v>0.4</v>
      </c>
      <c r="J43" s="66">
        <f>-'Operating Model'!J215/'Operating Model'!J99</f>
        <v>0.4</v>
      </c>
      <c r="K43" s="66">
        <f>-'Operating Model'!K215/'Operating Model'!K99</f>
        <v>0.4</v>
      </c>
      <c r="L43" s="66">
        <f>-'Operating Model'!L215/'Operating Model'!L99</f>
        <v>0.40000000000000008</v>
      </c>
    </row>
    <row r="44" spans="3:12" x14ac:dyDescent="0.25">
      <c r="C44" s="97" t="s">
        <v>233</v>
      </c>
      <c r="E44" s="87">
        <f>E42/DCF!$I$8</f>
        <v>1.8972563112699528E-2</v>
      </c>
      <c r="F44" s="87">
        <f>F42/DCF!$I$8</f>
        <v>1.8980697697426996E-2</v>
      </c>
      <c r="G44" s="87">
        <f>G42/DCF!$I$8</f>
        <v>2.1694937468159058E-2</v>
      </c>
      <c r="H44" s="87">
        <f>H42/DCF!$I$8</f>
        <v>3.3690045205157428E-2</v>
      </c>
      <c r="I44" s="87">
        <f>I42/DCF!$I$8</f>
        <v>4.1074121760012045E-2</v>
      </c>
      <c r="J44" s="87">
        <f>J42/DCF!$I$8</f>
        <v>4.7719790659381207E-2</v>
      </c>
      <c r="K44" s="87">
        <f>K42/DCF!$I$8</f>
        <v>5.3383377376954699E-2</v>
      </c>
      <c r="L44" s="87">
        <f>L42/DCF!$I$8</f>
        <v>5.8306341216076307E-2</v>
      </c>
    </row>
    <row r="45" spans="3:12" x14ac:dyDescent="0.25">
      <c r="C45" s="97"/>
    </row>
    <row r="46" spans="3:12" x14ac:dyDescent="0.25">
      <c r="C46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Operating Model</vt:lpstr>
      <vt:lpstr>DCF</vt:lpstr>
      <vt:lpstr>WACC</vt:lpstr>
      <vt:lpstr>Ratios</vt:lpstr>
      <vt:lpstr>DCF!Company_Name</vt:lpstr>
      <vt:lpstr>Company_Name</vt:lpstr>
      <vt:lpstr>DCF!Hist_Yr</vt:lpstr>
      <vt:lpstr>Hist_Yr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WAEL</dc:creator>
  <cp:lastModifiedBy>HARB</cp:lastModifiedBy>
  <dcterms:created xsi:type="dcterms:W3CDTF">2015-06-05T18:17:20Z</dcterms:created>
  <dcterms:modified xsi:type="dcterms:W3CDTF">2026-05-09T19:12:50Z</dcterms:modified>
</cp:coreProperties>
</file>