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ser\Desktop\SWDY - CA\"/>
    </mc:Choice>
  </mc:AlternateContent>
  <xr:revisionPtr revIDLastSave="0" documentId="13_ncr:1_{B413C225-03A6-4DF5-AE0B-0BEC51143988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SM" sheetId="1" r:id="rId1"/>
    <sheet name="DCF" sheetId="2" r:id="rId2"/>
    <sheet name="WACC" sheetId="3" r:id="rId3"/>
  </sheets>
  <definedNames>
    <definedName name="CIQWBGuid" localSheetId="1" hidden="1">"DCF_complete.xlsx"</definedName>
    <definedName name="CIQWBGuid" localSheetId="2" hidden="1">"DCF_complete.xlsx"</definedName>
    <definedName name="CIQWBGuid" hidden="1">"a611639b-bab1-425e-aaa5-008c326fdfdb"</definedName>
    <definedName name="Company_Name">FSM!$D$5</definedName>
    <definedName name="Hist_Yr">FSM!#REF!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localSheetId="1" hidden="1">43549.6880671296</definedName>
    <definedName name="IQ_NAMES_REVISION_DATE_" localSheetId="2" hidden="1">43549.6880671296</definedName>
    <definedName name="IQ_NAMES_REVISION_DATE_" hidden="1">43588.5561574074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MLNK841c85bef3244d5c8fb6b3f84988d79e" localSheetId="1" hidden="1">#REF!</definedName>
    <definedName name="MLNK841c85bef3244d5c8fb6b3f84988d79e" localSheetId="2" hidden="1">#REF!</definedName>
    <definedName name="MLNK841c85bef3244d5c8fb6b3f84988d79e" hidden="1">#REF!</definedName>
    <definedName name="MLNKa7775792bf444a4785f8ed5c82461a24" localSheetId="1" hidden="1">#REF!</definedName>
    <definedName name="MLNKa7775792bf444a4785f8ed5c82461a24" localSheetId="2" hidden="1">#REF!</definedName>
    <definedName name="MLNKa7775792bf444a4785f8ed5c82461a24" hidden="1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8" i="2" l="1"/>
  <c r="C11" i="3"/>
  <c r="C13" i="3" s="1"/>
  <c r="D7" i="1"/>
  <c r="C63" i="2"/>
  <c r="C64" i="2"/>
  <c r="C60" i="2"/>
  <c r="C62" i="2"/>
  <c r="I61" i="2"/>
  <c r="C18" i="3" s="1"/>
  <c r="C72" i="2" l="1"/>
  <c r="D72" i="2"/>
  <c r="I22" i="2" l="1"/>
  <c r="H22" i="2"/>
  <c r="G22" i="2"/>
  <c r="F22" i="2"/>
  <c r="E22" i="2"/>
  <c r="C7" i="3" s="1"/>
  <c r="D14" i="2"/>
  <c r="G154" i="1"/>
  <c r="G108" i="1"/>
  <c r="H108" i="1" s="1"/>
  <c r="I108" i="1" s="1"/>
  <c r="J108" i="1" s="1"/>
  <c r="K108" i="1" s="1"/>
  <c r="G107" i="1"/>
  <c r="H107" i="1" s="1"/>
  <c r="I107" i="1" s="1"/>
  <c r="J107" i="1" s="1"/>
  <c r="K107" i="1" s="1"/>
  <c r="G106" i="1"/>
  <c r="H106" i="1" s="1"/>
  <c r="I106" i="1" s="1"/>
  <c r="J106" i="1" s="1"/>
  <c r="K106" i="1" s="1"/>
  <c r="G105" i="1"/>
  <c r="H105" i="1" s="1"/>
  <c r="I105" i="1" s="1"/>
  <c r="J105" i="1" s="1"/>
  <c r="K105" i="1" s="1"/>
  <c r="G99" i="1"/>
  <c r="G208" i="1" s="1"/>
  <c r="G98" i="1"/>
  <c r="H98" i="1" s="1"/>
  <c r="I98" i="1" s="1"/>
  <c r="J98" i="1" s="1"/>
  <c r="K98" i="1" s="1"/>
  <c r="G97" i="1"/>
  <c r="H97" i="1" s="1"/>
  <c r="I97" i="1" s="1"/>
  <c r="G96" i="1"/>
  <c r="H96" i="1" s="1"/>
  <c r="I96" i="1" s="1"/>
  <c r="J96" i="1" s="1"/>
  <c r="G79" i="1"/>
  <c r="H79" i="1" s="1"/>
  <c r="I79" i="1" s="1"/>
  <c r="J79" i="1" s="1"/>
  <c r="K79" i="1" s="1"/>
  <c r="G78" i="1"/>
  <c r="H78" i="1" s="1"/>
  <c r="I78" i="1" s="1"/>
  <c r="J78" i="1" s="1"/>
  <c r="K78" i="1" s="1"/>
  <c r="G77" i="1"/>
  <c r="H77" i="1" s="1"/>
  <c r="I77" i="1" s="1"/>
  <c r="J77" i="1" s="1"/>
  <c r="K77" i="1" s="1"/>
  <c r="G76" i="1"/>
  <c r="H76" i="1" s="1"/>
  <c r="I76" i="1" s="1"/>
  <c r="J76" i="1" s="1"/>
  <c r="K76" i="1" s="1"/>
  <c r="G74" i="1"/>
  <c r="H74" i="1" s="1"/>
  <c r="I74" i="1" s="1"/>
  <c r="J74" i="1" s="1"/>
  <c r="K74" i="1" s="1"/>
  <c r="G73" i="1"/>
  <c r="H73" i="1" s="1"/>
  <c r="G67" i="1"/>
  <c r="H67" i="1" s="1"/>
  <c r="I67" i="1" s="1"/>
  <c r="J67" i="1" s="1"/>
  <c r="F265" i="1"/>
  <c r="E265" i="1"/>
  <c r="F261" i="1" s="1"/>
  <c r="D265" i="1"/>
  <c r="E261" i="1" s="1"/>
  <c r="F262" i="1"/>
  <c r="E262" i="1"/>
  <c r="D262" i="1"/>
  <c r="G95" i="1"/>
  <c r="H95" i="1" s="1"/>
  <c r="G87" i="1"/>
  <c r="E267" i="1" l="1"/>
  <c r="H99" i="1"/>
  <c r="I99" i="1" s="1"/>
  <c r="J99" i="1" s="1"/>
  <c r="K99" i="1" s="1"/>
  <c r="K208" i="1" s="1"/>
  <c r="F267" i="1"/>
  <c r="I95" i="1"/>
  <c r="J95" i="1" s="1"/>
  <c r="K95" i="1" s="1"/>
  <c r="G100" i="1"/>
  <c r="E264" i="1"/>
  <c r="F264" i="1"/>
  <c r="H87" i="1"/>
  <c r="G261" i="1"/>
  <c r="G262" i="1" s="1"/>
  <c r="K96" i="1"/>
  <c r="J97" i="1"/>
  <c r="K97" i="1" s="1"/>
  <c r="I73" i="1"/>
  <c r="K67" i="1"/>
  <c r="I208" i="1" l="1"/>
  <c r="I100" i="1"/>
  <c r="H208" i="1"/>
  <c r="J208" i="1"/>
  <c r="H100" i="1"/>
  <c r="J100" i="1"/>
  <c r="K100" i="1"/>
  <c r="G28" i="1"/>
  <c r="G263" i="1"/>
  <c r="I87" i="1"/>
  <c r="J87" i="1" s="1"/>
  <c r="J73" i="1"/>
  <c r="K87" i="1" l="1"/>
  <c r="G125" i="1"/>
  <c r="G265" i="1"/>
  <c r="G145" i="1"/>
  <c r="K73" i="1"/>
  <c r="H261" i="1" l="1"/>
  <c r="G75" i="1"/>
  <c r="H262" i="1" l="1"/>
  <c r="H263" i="1" l="1"/>
  <c r="H145" i="1" s="1"/>
  <c r="H28" i="1"/>
  <c r="H125" i="1" s="1"/>
  <c r="H265" i="1" l="1"/>
  <c r="I261" i="1" s="1"/>
  <c r="H75" i="1" l="1"/>
  <c r="I262" i="1"/>
  <c r="I263" i="1" l="1"/>
  <c r="I28" i="1"/>
  <c r="I125" i="1" s="1"/>
  <c r="I145" i="1" l="1"/>
  <c r="I265" i="1"/>
  <c r="J261" i="1" l="1"/>
  <c r="I75" i="1"/>
  <c r="J262" i="1" l="1"/>
  <c r="J263" i="1" l="1"/>
  <c r="J28" i="1"/>
  <c r="J125" i="1" s="1"/>
  <c r="J145" i="1" l="1"/>
  <c r="J265" i="1"/>
  <c r="K261" i="1" l="1"/>
  <c r="J75" i="1"/>
  <c r="K262" i="1" l="1"/>
  <c r="K263" i="1" l="1"/>
  <c r="K28" i="1"/>
  <c r="K125" i="1" s="1"/>
  <c r="K145" i="1" l="1"/>
  <c r="K265" i="1"/>
  <c r="K75" i="1" s="1"/>
  <c r="F49" i="1" l="1"/>
  <c r="E49" i="1"/>
  <c r="D49" i="1"/>
  <c r="F48" i="1"/>
  <c r="E48" i="1"/>
  <c r="D48" i="1"/>
  <c r="F45" i="1"/>
  <c r="E45" i="1"/>
  <c r="D45" i="1"/>
  <c r="G183" i="1" l="1"/>
  <c r="H183" i="1" s="1"/>
  <c r="I183" i="1" s="1"/>
  <c r="J183" i="1" s="1"/>
  <c r="K183" i="1" s="1"/>
  <c r="G182" i="1"/>
  <c r="H182" i="1" s="1"/>
  <c r="I182" i="1" s="1"/>
  <c r="J182" i="1" s="1"/>
  <c r="K182" i="1" s="1"/>
  <c r="G181" i="1"/>
  <c r="F252" i="1"/>
  <c r="E252" i="1"/>
  <c r="F251" i="1"/>
  <c r="E251" i="1"/>
  <c r="D252" i="1"/>
  <c r="D251" i="1"/>
  <c r="F249" i="1"/>
  <c r="G246" i="1" s="1"/>
  <c r="E249" i="1"/>
  <c r="F246" i="1" s="1"/>
  <c r="F247" i="1"/>
  <c r="E247" i="1"/>
  <c r="D249" i="1"/>
  <c r="E246" i="1" s="1"/>
  <c r="D247" i="1"/>
  <c r="F240" i="1"/>
  <c r="F254" i="1" s="1"/>
  <c r="E240" i="1"/>
  <c r="E254" i="1" s="1"/>
  <c r="E54" i="1" s="1"/>
  <c r="F243" i="1"/>
  <c r="G239" i="1" s="1"/>
  <c r="E243" i="1"/>
  <c r="F239" i="1" s="1"/>
  <c r="D243" i="1"/>
  <c r="E239" i="1" s="1"/>
  <c r="D240" i="1"/>
  <c r="D254" i="1" s="1"/>
  <c r="D54" i="1" s="1"/>
  <c r="F231" i="1"/>
  <c r="E231" i="1"/>
  <c r="F230" i="1"/>
  <c r="E230" i="1"/>
  <c r="D231" i="1"/>
  <c r="D230" i="1"/>
  <c r="F226" i="1"/>
  <c r="E226" i="1"/>
  <c r="D226" i="1"/>
  <c r="F221" i="1"/>
  <c r="C57" i="2" s="1"/>
  <c r="D221" i="1"/>
  <c r="E220" i="1" s="1"/>
  <c r="E221" i="1"/>
  <c r="F208" i="1"/>
  <c r="E208" i="1"/>
  <c r="F207" i="1"/>
  <c r="E207" i="1"/>
  <c r="F206" i="1"/>
  <c r="E206" i="1"/>
  <c r="F205" i="1"/>
  <c r="E205" i="1"/>
  <c r="F204" i="1"/>
  <c r="E204" i="1"/>
  <c r="D208" i="1"/>
  <c r="D207" i="1"/>
  <c r="D206" i="1"/>
  <c r="D205" i="1"/>
  <c r="D204" i="1"/>
  <c r="D166" i="1"/>
  <c r="E163" i="1" s="1"/>
  <c r="F200" i="1"/>
  <c r="E200" i="1"/>
  <c r="F199" i="1"/>
  <c r="E199" i="1"/>
  <c r="F198" i="1"/>
  <c r="E198" i="1"/>
  <c r="F197" i="1"/>
  <c r="E197" i="1"/>
  <c r="F196" i="1"/>
  <c r="E196" i="1"/>
  <c r="D200" i="1"/>
  <c r="D199" i="1"/>
  <c r="D198" i="1"/>
  <c r="D197" i="1"/>
  <c r="D196" i="1"/>
  <c r="F166" i="1"/>
  <c r="G163" i="1" s="1"/>
  <c r="G165" i="1" s="1"/>
  <c r="E166" i="1"/>
  <c r="F163" i="1" s="1"/>
  <c r="F175" i="1"/>
  <c r="F35" i="1" s="1"/>
  <c r="D25" i="2" s="1"/>
  <c r="E175" i="1"/>
  <c r="E35" i="1" s="1"/>
  <c r="D175" i="1"/>
  <c r="D35" i="1" s="1"/>
  <c r="F174" i="1"/>
  <c r="G174" i="1" s="1"/>
  <c r="H174" i="1" s="1"/>
  <c r="I174" i="1" s="1"/>
  <c r="J174" i="1" s="1"/>
  <c r="K174" i="1" s="1"/>
  <c r="E174" i="1"/>
  <c r="D174" i="1"/>
  <c r="F168" i="1"/>
  <c r="F52" i="1" s="1"/>
  <c r="E168" i="1"/>
  <c r="E52" i="1" s="1"/>
  <c r="D168" i="1"/>
  <c r="D52" i="1" s="1"/>
  <c r="F189" i="1"/>
  <c r="F188" i="1"/>
  <c r="F187" i="1"/>
  <c r="F184" i="1"/>
  <c r="F185" i="1" s="1"/>
  <c r="E184" i="1"/>
  <c r="E185" i="1" s="1"/>
  <c r="F46" i="1"/>
  <c r="E46" i="1"/>
  <c r="D46" i="1"/>
  <c r="C19" i="3" l="1"/>
  <c r="C65" i="2"/>
  <c r="G254" i="1"/>
  <c r="H254" i="1" s="1"/>
  <c r="I254" i="1" s="1"/>
  <c r="J254" i="1" s="1"/>
  <c r="K254" i="1" s="1"/>
  <c r="F54" i="1"/>
  <c r="G184" i="1"/>
  <c r="G16" i="1" s="1"/>
  <c r="E227" i="1"/>
  <c r="E228" i="1" s="1"/>
  <c r="G123" i="1"/>
  <c r="G231" i="1"/>
  <c r="G25" i="1" s="1"/>
  <c r="G220" i="1"/>
  <c r="G221" i="1"/>
  <c r="E222" i="1"/>
  <c r="E223" i="1" s="1"/>
  <c r="D248" i="1"/>
  <c r="E242" i="1"/>
  <c r="E248" i="1"/>
  <c r="F209" i="1"/>
  <c r="F248" i="1"/>
  <c r="H181" i="1"/>
  <c r="F242" i="1"/>
  <c r="F201" i="1"/>
  <c r="D209" i="1"/>
  <c r="F220" i="1"/>
  <c r="F222" i="1" s="1"/>
  <c r="F223" i="1" s="1"/>
  <c r="C6" i="3" s="1"/>
  <c r="C8" i="3" s="1"/>
  <c r="E201" i="1"/>
  <c r="F227" i="1"/>
  <c r="F228" i="1" s="1"/>
  <c r="D201" i="1"/>
  <c r="E209" i="1"/>
  <c r="F169" i="1"/>
  <c r="F53" i="1" s="1"/>
  <c r="E169" i="1"/>
  <c r="E53" i="1" s="1"/>
  <c r="F211" i="1" l="1"/>
  <c r="D32" i="2" s="1"/>
  <c r="G63" i="1"/>
  <c r="E14" i="2"/>
  <c r="E15" i="2" s="1"/>
  <c r="G173" i="1"/>
  <c r="G175" i="1" s="1"/>
  <c r="G35" i="1" s="1"/>
  <c r="E25" i="2" s="1"/>
  <c r="D33" i="2"/>
  <c r="G66" i="1"/>
  <c r="C70" i="2"/>
  <c r="D70" i="2"/>
  <c r="E18" i="3"/>
  <c r="E19" i="3"/>
  <c r="G164" i="1"/>
  <c r="G19" i="1"/>
  <c r="G89" i="1"/>
  <c r="G205" i="1" s="1"/>
  <c r="G65" i="1"/>
  <c r="G22" i="1"/>
  <c r="G64" i="1"/>
  <c r="G198" i="1" s="1"/>
  <c r="G43" i="1"/>
  <c r="G23" i="1"/>
  <c r="G90" i="1"/>
  <c r="G206" i="1" s="1"/>
  <c r="G17" i="1"/>
  <c r="G18" i="1" s="1"/>
  <c r="G21" i="1"/>
  <c r="G91" i="1"/>
  <c r="G20" i="1"/>
  <c r="G88" i="1"/>
  <c r="G204" i="1" s="1"/>
  <c r="G62" i="1"/>
  <c r="G129" i="1" s="1"/>
  <c r="G222" i="1"/>
  <c r="G230" i="1" s="1"/>
  <c r="G26" i="1" s="1"/>
  <c r="G27" i="1" s="1"/>
  <c r="G232" i="1" s="1"/>
  <c r="H220" i="1"/>
  <c r="H221" i="1"/>
  <c r="G137" i="1"/>
  <c r="G207" i="1"/>
  <c r="G130" i="1"/>
  <c r="G197" i="1"/>
  <c r="G124" i="1"/>
  <c r="G144" i="1"/>
  <c r="G200" i="1"/>
  <c r="G132" i="1"/>
  <c r="G134" i="1"/>
  <c r="G131" i="1"/>
  <c r="G199" i="1"/>
  <c r="F212" i="1"/>
  <c r="D211" i="1"/>
  <c r="D212" i="1" s="1"/>
  <c r="H184" i="1"/>
  <c r="H16" i="1" s="1"/>
  <c r="F14" i="2" s="1"/>
  <c r="F15" i="2" s="1"/>
  <c r="I181" i="1"/>
  <c r="E211" i="1"/>
  <c r="F47" i="1"/>
  <c r="E47" i="1"/>
  <c r="D47" i="1"/>
  <c r="F43" i="1"/>
  <c r="E43" i="1"/>
  <c r="F92" i="1"/>
  <c r="E92" i="1"/>
  <c r="D92" i="1"/>
  <c r="F100" i="1"/>
  <c r="E100" i="1"/>
  <c r="D100" i="1"/>
  <c r="F110" i="1"/>
  <c r="F112" i="1" s="1"/>
  <c r="E110" i="1"/>
  <c r="E112" i="1" s="1"/>
  <c r="D110" i="1"/>
  <c r="D112" i="1" s="1"/>
  <c r="F69" i="1"/>
  <c r="E69" i="1"/>
  <c r="D69" i="1"/>
  <c r="F80" i="1"/>
  <c r="E80" i="1"/>
  <c r="D80" i="1"/>
  <c r="G24" i="1" l="1"/>
  <c r="E18" i="2" s="1"/>
  <c r="G136" i="1"/>
  <c r="G196" i="1"/>
  <c r="G143" i="1"/>
  <c r="E27" i="2"/>
  <c r="E28" i="2" s="1"/>
  <c r="G133" i="1"/>
  <c r="G146" i="1"/>
  <c r="G92" i="1"/>
  <c r="G102" i="1" s="1"/>
  <c r="G166" i="1"/>
  <c r="H163" i="1" s="1"/>
  <c r="G135" i="1"/>
  <c r="G168" i="1"/>
  <c r="H222" i="1"/>
  <c r="H230" i="1" s="1"/>
  <c r="H26" i="1" s="1"/>
  <c r="E213" i="1"/>
  <c r="G209" i="1"/>
  <c r="E212" i="1"/>
  <c r="G36" i="1"/>
  <c r="G29" i="1"/>
  <c r="I221" i="1"/>
  <c r="I220" i="1"/>
  <c r="H91" i="1"/>
  <c r="H89" i="1"/>
  <c r="H63" i="1"/>
  <c r="H66" i="1"/>
  <c r="H64" i="1"/>
  <c r="H62" i="1"/>
  <c r="H65" i="1"/>
  <c r="H90" i="1"/>
  <c r="H88" i="1"/>
  <c r="H164" i="1"/>
  <c r="H173" i="1"/>
  <c r="G201" i="1"/>
  <c r="H23" i="1"/>
  <c r="H19" i="1"/>
  <c r="H22" i="1"/>
  <c r="H21" i="1"/>
  <c r="H17" i="1"/>
  <c r="H18" i="1" s="1"/>
  <c r="H20" i="1"/>
  <c r="F213" i="1"/>
  <c r="H43" i="1"/>
  <c r="I184" i="1"/>
  <c r="I16" i="1" s="1"/>
  <c r="G14" i="2" s="1"/>
  <c r="G15" i="2" s="1"/>
  <c r="J181" i="1"/>
  <c r="E102" i="1"/>
  <c r="E114" i="1" s="1"/>
  <c r="F82" i="1"/>
  <c r="F102" i="1"/>
  <c r="F114" i="1" s="1"/>
  <c r="D82" i="1"/>
  <c r="E82" i="1"/>
  <c r="D102" i="1"/>
  <c r="D114" i="1" s="1"/>
  <c r="G37" i="1" l="1"/>
  <c r="E16" i="2"/>
  <c r="E17" i="2" s="1"/>
  <c r="H143" i="1"/>
  <c r="F27" i="2"/>
  <c r="F28" i="2" s="1"/>
  <c r="G169" i="1"/>
  <c r="E21" i="2"/>
  <c r="E19" i="2"/>
  <c r="E23" i="2"/>
  <c r="G72" i="1"/>
  <c r="G80" i="1" s="1"/>
  <c r="G211" i="1"/>
  <c r="E32" i="2" s="1"/>
  <c r="H168" i="1"/>
  <c r="I222" i="1"/>
  <c r="I230" i="1" s="1"/>
  <c r="I26" i="1" s="1"/>
  <c r="H24" i="1"/>
  <c r="F18" i="2" s="1"/>
  <c r="H129" i="1"/>
  <c r="H196" i="1"/>
  <c r="J221" i="1"/>
  <c r="J220" i="1"/>
  <c r="H136" i="1"/>
  <c r="H198" i="1"/>
  <c r="G212" i="1"/>
  <c r="G213" i="1"/>
  <c r="H144" i="1"/>
  <c r="H146" i="1" s="1"/>
  <c r="H124" i="1"/>
  <c r="H130" i="1"/>
  <c r="H197" i="1"/>
  <c r="H165" i="1"/>
  <c r="H166" i="1" s="1"/>
  <c r="H206" i="1"/>
  <c r="H135" i="1"/>
  <c r="H131" i="1"/>
  <c r="H199" i="1"/>
  <c r="H132" i="1"/>
  <c r="H200" i="1"/>
  <c r="H134" i="1"/>
  <c r="H205" i="1"/>
  <c r="G30" i="1"/>
  <c r="G31" i="1" s="1"/>
  <c r="I91" i="1"/>
  <c r="I89" i="1"/>
  <c r="I66" i="1"/>
  <c r="I64" i="1"/>
  <c r="I62" i="1"/>
  <c r="I90" i="1"/>
  <c r="I63" i="1"/>
  <c r="I88" i="1"/>
  <c r="I65" i="1"/>
  <c r="I173" i="1"/>
  <c r="I164" i="1"/>
  <c r="H204" i="1"/>
  <c r="H133" i="1"/>
  <c r="H92" i="1"/>
  <c r="H102" i="1" s="1"/>
  <c r="H137" i="1"/>
  <c r="H207" i="1"/>
  <c r="F116" i="1"/>
  <c r="I19" i="1"/>
  <c r="I20" i="1"/>
  <c r="I21" i="1"/>
  <c r="I17" i="1"/>
  <c r="I18" i="1" s="1"/>
  <c r="I22" i="1"/>
  <c r="I23" i="1"/>
  <c r="I43" i="1"/>
  <c r="K181" i="1"/>
  <c r="K184" i="1" s="1"/>
  <c r="K16" i="1" s="1"/>
  <c r="I14" i="2" s="1"/>
  <c r="J184" i="1"/>
  <c r="J16" i="1" s="1"/>
  <c r="H14" i="2" s="1"/>
  <c r="H15" i="2" s="1"/>
  <c r="E116" i="1"/>
  <c r="D116" i="1"/>
  <c r="I143" i="1" l="1"/>
  <c r="G27" i="2"/>
  <c r="G28" i="2" s="1"/>
  <c r="F21" i="2"/>
  <c r="F19" i="2"/>
  <c r="F23" i="2"/>
  <c r="E33" i="2"/>
  <c r="E26" i="2"/>
  <c r="E30" i="2" s="1"/>
  <c r="I15" i="2"/>
  <c r="J222" i="1"/>
  <c r="J230" i="1" s="1"/>
  <c r="J26" i="1" s="1"/>
  <c r="H209" i="1"/>
  <c r="I168" i="1"/>
  <c r="I163" i="1"/>
  <c r="H72" i="1"/>
  <c r="H80" i="1" s="1"/>
  <c r="G122" i="1"/>
  <c r="G126" i="1" s="1"/>
  <c r="G138" i="1" s="1"/>
  <c r="G139" i="1" s="1"/>
  <c r="I132" i="1"/>
  <c r="I200" i="1"/>
  <c r="I205" i="1"/>
  <c r="I134" i="1"/>
  <c r="J66" i="1"/>
  <c r="J64" i="1"/>
  <c r="J62" i="1"/>
  <c r="J91" i="1"/>
  <c r="J90" i="1"/>
  <c r="J88" i="1"/>
  <c r="J89" i="1"/>
  <c r="J65" i="1"/>
  <c r="J63" i="1"/>
  <c r="J164" i="1"/>
  <c r="J173" i="1"/>
  <c r="I198" i="1"/>
  <c r="I136" i="1"/>
  <c r="I131" i="1"/>
  <c r="I199" i="1"/>
  <c r="I207" i="1"/>
  <c r="I137" i="1"/>
  <c r="K220" i="1"/>
  <c r="K221" i="1"/>
  <c r="I92" i="1"/>
  <c r="I102" i="1" s="1"/>
  <c r="I204" i="1"/>
  <c r="I133" i="1"/>
  <c r="K66" i="1"/>
  <c r="K64" i="1"/>
  <c r="K62" i="1"/>
  <c r="K90" i="1"/>
  <c r="K88" i="1"/>
  <c r="K65" i="1"/>
  <c r="K63" i="1"/>
  <c r="K91" i="1"/>
  <c r="K89" i="1"/>
  <c r="K164" i="1"/>
  <c r="K173" i="1"/>
  <c r="I130" i="1"/>
  <c r="I197" i="1"/>
  <c r="H201" i="1"/>
  <c r="H211" i="1" s="1"/>
  <c r="F32" i="2" s="1"/>
  <c r="F26" i="2" s="1"/>
  <c r="I124" i="1"/>
  <c r="I144" i="1"/>
  <c r="I146" i="1" s="1"/>
  <c r="I24" i="1"/>
  <c r="G18" i="2" s="1"/>
  <c r="I206" i="1"/>
  <c r="I135" i="1"/>
  <c r="I129" i="1"/>
  <c r="I196" i="1"/>
  <c r="H123" i="1"/>
  <c r="H175" i="1"/>
  <c r="H35" i="1" s="1"/>
  <c r="H169" i="1"/>
  <c r="J21" i="1"/>
  <c r="J17" i="1"/>
  <c r="J18" i="1" s="1"/>
  <c r="J22" i="1"/>
  <c r="J20" i="1"/>
  <c r="J23" i="1"/>
  <c r="J19" i="1"/>
  <c r="K17" i="1"/>
  <c r="K18" i="1" s="1"/>
  <c r="K22" i="1"/>
  <c r="K20" i="1"/>
  <c r="K23" i="1"/>
  <c r="K19" i="1"/>
  <c r="K21" i="1"/>
  <c r="K43" i="1"/>
  <c r="K168" i="1"/>
  <c r="J43" i="1"/>
  <c r="J168" i="1"/>
  <c r="K39" i="1"/>
  <c r="J39" i="1"/>
  <c r="I39" i="1"/>
  <c r="H39" i="1"/>
  <c r="G39" i="1"/>
  <c r="F39" i="1"/>
  <c r="F40" i="1" s="1"/>
  <c r="E39" i="1"/>
  <c r="E40" i="1" s="1"/>
  <c r="D39" i="1"/>
  <c r="D40" i="1" s="1"/>
  <c r="F27" i="1"/>
  <c r="F232" i="1" s="1"/>
  <c r="E27" i="1"/>
  <c r="E232" i="1" s="1"/>
  <c r="D27" i="1"/>
  <c r="D232" i="1" s="1"/>
  <c r="F18" i="1"/>
  <c r="E18" i="1"/>
  <c r="D18" i="1"/>
  <c r="J143" i="1" l="1"/>
  <c r="H27" i="2"/>
  <c r="H28" i="2" s="1"/>
  <c r="F33" i="2"/>
  <c r="K143" i="1"/>
  <c r="I27" i="2"/>
  <c r="I28" i="2" s="1"/>
  <c r="G21" i="2"/>
  <c r="G19" i="2"/>
  <c r="G23" i="2"/>
  <c r="H36" i="1"/>
  <c r="F25" i="2"/>
  <c r="F30" i="2" s="1"/>
  <c r="F38" i="2" s="1"/>
  <c r="K222" i="1"/>
  <c r="K230" i="1" s="1"/>
  <c r="K26" i="1" s="1"/>
  <c r="J205" i="1"/>
  <c r="J134" i="1"/>
  <c r="K207" i="1"/>
  <c r="K137" i="1"/>
  <c r="K197" i="1"/>
  <c r="K130" i="1"/>
  <c r="I209" i="1"/>
  <c r="J135" i="1"/>
  <c r="J206" i="1"/>
  <c r="K205" i="1"/>
  <c r="K134" i="1"/>
  <c r="J204" i="1"/>
  <c r="J133" i="1"/>
  <c r="J92" i="1"/>
  <c r="J102" i="1" s="1"/>
  <c r="H212" i="1"/>
  <c r="H213" i="1"/>
  <c r="K131" i="1"/>
  <c r="K199" i="1"/>
  <c r="J207" i="1"/>
  <c r="J137" i="1"/>
  <c r="I201" i="1"/>
  <c r="K92" i="1"/>
  <c r="K102" i="1" s="1"/>
  <c r="K133" i="1"/>
  <c r="K204" i="1"/>
  <c r="J124" i="1"/>
  <c r="J144" i="1"/>
  <c r="J129" i="1"/>
  <c r="J196" i="1"/>
  <c r="J146" i="1"/>
  <c r="K124" i="1"/>
  <c r="K144" i="1"/>
  <c r="K129" i="1"/>
  <c r="K196" i="1"/>
  <c r="J197" i="1"/>
  <c r="J130" i="1"/>
  <c r="J132" i="1"/>
  <c r="J200" i="1"/>
  <c r="K132" i="1"/>
  <c r="K200" i="1"/>
  <c r="K135" i="1"/>
  <c r="K206" i="1"/>
  <c r="J198" i="1"/>
  <c r="J136" i="1"/>
  <c r="K136" i="1"/>
  <c r="K198" i="1"/>
  <c r="J131" i="1"/>
  <c r="J199" i="1"/>
  <c r="I165" i="1"/>
  <c r="I166" i="1" s="1"/>
  <c r="K24" i="1"/>
  <c r="I18" i="2" s="1"/>
  <c r="J24" i="1"/>
  <c r="H18" i="2" s="1"/>
  <c r="D24" i="1"/>
  <c r="D44" i="1"/>
  <c r="E24" i="1"/>
  <c r="E44" i="1"/>
  <c r="F24" i="1"/>
  <c r="D18" i="2" s="1"/>
  <c r="F44" i="1"/>
  <c r="O99" i="2"/>
  <c r="N99" i="2" s="1"/>
  <c r="M99" i="2" s="1"/>
  <c r="G99" i="2"/>
  <c r="H99" i="2" s="1"/>
  <c r="I99" i="2" s="1"/>
  <c r="O90" i="2"/>
  <c r="P90" i="2" s="1"/>
  <c r="Q90" i="2" s="1"/>
  <c r="G90" i="2"/>
  <c r="F90" i="2" s="1"/>
  <c r="E90" i="2" s="1"/>
  <c r="K146" i="1" l="1"/>
  <c r="H21" i="2"/>
  <c r="H19" i="2"/>
  <c r="H23" i="2"/>
  <c r="I21" i="2"/>
  <c r="I19" i="2"/>
  <c r="I23" i="2"/>
  <c r="D23" i="2"/>
  <c r="D19" i="2"/>
  <c r="H37" i="1"/>
  <c r="F16" i="2"/>
  <c r="F17" i="2" s="1"/>
  <c r="J163" i="1"/>
  <c r="I72" i="1"/>
  <c r="I80" i="1" s="1"/>
  <c r="I211" i="1"/>
  <c r="G32" i="2" s="1"/>
  <c r="J201" i="1"/>
  <c r="J209" i="1"/>
  <c r="I175" i="1"/>
  <c r="I35" i="1" s="1"/>
  <c r="I123" i="1"/>
  <c r="I169" i="1"/>
  <c r="K209" i="1"/>
  <c r="K201" i="1"/>
  <c r="K211" i="1" s="1"/>
  <c r="F29" i="1"/>
  <c r="F50" i="1" s="1"/>
  <c r="D22" i="2" s="1"/>
  <c r="D21" i="2" s="1"/>
  <c r="F36" i="1"/>
  <c r="D29" i="1"/>
  <c r="D50" i="1" s="1"/>
  <c r="D36" i="1"/>
  <c r="D37" i="1" s="1"/>
  <c r="E29" i="1"/>
  <c r="E50" i="1" s="1"/>
  <c r="E36" i="1"/>
  <c r="E37" i="1" s="1"/>
  <c r="F99" i="2"/>
  <c r="E99" i="2" s="1"/>
  <c r="H90" i="2"/>
  <c r="I90" i="2" s="1"/>
  <c r="N90" i="2"/>
  <c r="M90" i="2" s="1"/>
  <c r="P99" i="2"/>
  <c r="Q99" i="2" s="1"/>
  <c r="G33" i="2" l="1"/>
  <c r="G26" i="2"/>
  <c r="F37" i="1"/>
  <c r="D16" i="2"/>
  <c r="D17" i="2" s="1"/>
  <c r="K212" i="1"/>
  <c r="I32" i="2"/>
  <c r="I33" i="2" s="1"/>
  <c r="I36" i="1"/>
  <c r="G25" i="2"/>
  <c r="G30" i="2" s="1"/>
  <c r="G38" i="2" s="1"/>
  <c r="E31" i="1"/>
  <c r="E255" i="1" s="1"/>
  <c r="J211" i="1"/>
  <c r="I212" i="1"/>
  <c r="I213" i="1"/>
  <c r="J165" i="1"/>
  <c r="J166" i="1" s="1"/>
  <c r="F31" i="1"/>
  <c r="D31" i="1"/>
  <c r="E21" i="3"/>
  <c r="H4" i="2" s="1"/>
  <c r="J213" i="1" l="1"/>
  <c r="H32" i="2"/>
  <c r="I37" i="1"/>
  <c r="G16" i="2"/>
  <c r="G17" i="2" s="1"/>
  <c r="E51" i="1"/>
  <c r="K163" i="1"/>
  <c r="J72" i="1"/>
  <c r="J80" i="1" s="1"/>
  <c r="J175" i="1"/>
  <c r="J35" i="1" s="1"/>
  <c r="J123" i="1"/>
  <c r="J169" i="1"/>
  <c r="K213" i="1"/>
  <c r="J212" i="1"/>
  <c r="D51" i="1"/>
  <c r="D255" i="1"/>
  <c r="F51" i="1"/>
  <c r="G51" i="1" s="1"/>
  <c r="F255" i="1"/>
  <c r="G255" i="1" s="1"/>
  <c r="H255" i="1" s="1"/>
  <c r="I255" i="1" s="1"/>
  <c r="J255" i="1" s="1"/>
  <c r="K255" i="1" s="1"/>
  <c r="L102" i="2"/>
  <c r="D93" i="2"/>
  <c r="D102" i="2"/>
  <c r="L93" i="2"/>
  <c r="J36" i="1" l="1"/>
  <c r="H25" i="2"/>
  <c r="I26" i="2"/>
  <c r="H33" i="2"/>
  <c r="H26" i="2"/>
  <c r="H51" i="1"/>
  <c r="I51" i="1" s="1"/>
  <c r="J51" i="1" s="1"/>
  <c r="K51" i="1" s="1"/>
  <c r="G33" i="1"/>
  <c r="K165" i="1"/>
  <c r="K166" i="1" s="1"/>
  <c r="K72" i="1" s="1"/>
  <c r="K80" i="1" s="1"/>
  <c r="L94" i="2"/>
  <c r="L95" i="2" s="1"/>
  <c r="L92" i="2"/>
  <c r="L91" i="2" s="1"/>
  <c r="D92" i="2"/>
  <c r="D91" i="2" s="1"/>
  <c r="D94" i="2"/>
  <c r="D95" i="2" s="1"/>
  <c r="D103" i="2"/>
  <c r="D104" i="2" s="1"/>
  <c r="D101" i="2"/>
  <c r="D100" i="2" s="1"/>
  <c r="L101" i="2"/>
  <c r="L100" i="2" s="1"/>
  <c r="L103" i="2"/>
  <c r="L104" i="2" s="1"/>
  <c r="H30" i="2" l="1"/>
  <c r="H38" i="2" s="1"/>
  <c r="J37" i="1"/>
  <c r="H16" i="2"/>
  <c r="H17" i="2" s="1"/>
  <c r="K175" i="1"/>
  <c r="K35" i="1" s="1"/>
  <c r="K123" i="1"/>
  <c r="K169" i="1"/>
  <c r="G32" i="1"/>
  <c r="G247" i="1"/>
  <c r="B3" i="2"/>
  <c r="Q130" i="2"/>
  <c r="O130" i="2"/>
  <c r="G130" i="2"/>
  <c r="Q129" i="2"/>
  <c r="O129" i="2"/>
  <c r="G129" i="2"/>
  <c r="Q128" i="2"/>
  <c r="O128" i="2"/>
  <c r="G128" i="2"/>
  <c r="D130" i="2"/>
  <c r="E129" i="2"/>
  <c r="C129" i="2"/>
  <c r="B129" i="2"/>
  <c r="E128" i="2"/>
  <c r="C128" i="2"/>
  <c r="B128" i="2"/>
  <c r="K36" i="1" l="1"/>
  <c r="I25" i="2"/>
  <c r="I30" i="2" s="1"/>
  <c r="I38" i="2" s="1"/>
  <c r="G240" i="1"/>
  <c r="G40" i="1"/>
  <c r="G248" i="1"/>
  <c r="G249" i="1" s="1"/>
  <c r="P129" i="2"/>
  <c r="D128" i="2"/>
  <c r="P128" i="2"/>
  <c r="P130" i="2"/>
  <c r="D129" i="2"/>
  <c r="C43" i="2" l="1"/>
  <c r="C44" i="2" s="1"/>
  <c r="K37" i="1"/>
  <c r="I16" i="2"/>
  <c r="H246" i="1"/>
  <c r="G111" i="1"/>
  <c r="G241" i="1"/>
  <c r="G150" i="1" s="1"/>
  <c r="G151" i="1" s="1"/>
  <c r="G153" i="1" s="1"/>
  <c r="G155" i="1" s="1"/>
  <c r="B3" i="3"/>
  <c r="B35" i="2"/>
  <c r="I42" i="2" l="1"/>
  <c r="I44" i="2" s="1"/>
  <c r="I51" i="2" s="1"/>
  <c r="I17" i="2"/>
  <c r="C51" i="2"/>
  <c r="G243" i="1"/>
  <c r="G109" i="1" s="1"/>
  <c r="G68" i="1"/>
  <c r="G157" i="1" s="1"/>
  <c r="C12" i="2"/>
  <c r="D37" i="2"/>
  <c r="D12" i="2"/>
  <c r="E12" i="2" s="1"/>
  <c r="D5" i="2"/>
  <c r="C14" i="2" l="1"/>
  <c r="C16" i="2"/>
  <c r="C18" i="2"/>
  <c r="H154" i="1"/>
  <c r="G226" i="1"/>
  <c r="G69" i="1"/>
  <c r="G82" i="1" s="1"/>
  <c r="H239" i="1"/>
  <c r="C38" i="2"/>
  <c r="E38" i="2" s="1"/>
  <c r="F12" i="2"/>
  <c r="G110" i="1" l="1"/>
  <c r="G112" i="1" s="1"/>
  <c r="G114" i="1" s="1"/>
  <c r="G116" i="1" s="1"/>
  <c r="H231" i="1"/>
  <c r="H25" i="1" s="1"/>
  <c r="H27" i="1" s="1"/>
  <c r="G227" i="1"/>
  <c r="G12" i="2"/>
  <c r="H232" i="1" l="1"/>
  <c r="H29" i="1"/>
  <c r="H30" i="1" s="1"/>
  <c r="H31" i="1" s="1"/>
  <c r="H12" i="2"/>
  <c r="H122" i="1" l="1"/>
  <c r="H126" i="1" s="1"/>
  <c r="H138" i="1" s="1"/>
  <c r="H139" i="1" s="1"/>
  <c r="H33" i="1"/>
  <c r="H247" i="1" s="1"/>
  <c r="H248" i="1" s="1"/>
  <c r="H249" i="1" s="1"/>
  <c r="I12" i="2"/>
  <c r="H32" i="1" l="1"/>
  <c r="H240" i="1" s="1"/>
  <c r="I246" i="1"/>
  <c r="H111" i="1"/>
  <c r="B43" i="2"/>
  <c r="E44" i="2"/>
  <c r="B44" i="2"/>
  <c r="H40" i="1" l="1"/>
  <c r="H241" i="1"/>
  <c r="H150" i="1" s="1"/>
  <c r="F13" i="1"/>
  <c r="F14" i="1"/>
  <c r="H243" i="1" l="1"/>
  <c r="H151" i="1"/>
  <c r="F235" i="1"/>
  <c r="F258" i="1"/>
  <c r="F236" i="1"/>
  <c r="F259" i="1"/>
  <c r="F217" i="1"/>
  <c r="F193" i="1"/>
  <c r="F216" i="1"/>
  <c r="F192" i="1"/>
  <c r="F179" i="1"/>
  <c r="F161" i="1"/>
  <c r="F178" i="1"/>
  <c r="F160" i="1"/>
  <c r="F58" i="1"/>
  <c r="G13" i="1"/>
  <c r="F57" i="1"/>
  <c r="E13" i="1"/>
  <c r="I239" i="1" l="1"/>
  <c r="H109" i="1"/>
  <c r="H110" i="1" s="1"/>
  <c r="H112" i="1" s="1"/>
  <c r="H114" i="1" s="1"/>
  <c r="H153" i="1"/>
  <c r="H155" i="1" s="1"/>
  <c r="E235" i="1"/>
  <c r="E258" i="1"/>
  <c r="G235" i="1"/>
  <c r="G258" i="1"/>
  <c r="G216" i="1"/>
  <c r="G192" i="1"/>
  <c r="E216" i="1"/>
  <c r="E192" i="1"/>
  <c r="G178" i="1"/>
  <c r="E160" i="1"/>
  <c r="E178" i="1"/>
  <c r="D13" i="1"/>
  <c r="E57" i="1"/>
  <c r="H13" i="1"/>
  <c r="G160" i="1"/>
  <c r="G119" i="1"/>
  <c r="G57" i="1"/>
  <c r="H68" i="1" l="1"/>
  <c r="D235" i="1"/>
  <c r="D258" i="1"/>
  <c r="H235" i="1"/>
  <c r="H258" i="1"/>
  <c r="D192" i="1"/>
  <c r="D216" i="1"/>
  <c r="H192" i="1"/>
  <c r="H216" i="1"/>
  <c r="H178" i="1"/>
  <c r="D178" i="1"/>
  <c r="D160" i="1"/>
  <c r="I13" i="1"/>
  <c r="H57" i="1"/>
  <c r="H160" i="1"/>
  <c r="H119" i="1"/>
  <c r="D57" i="1"/>
  <c r="H157" i="1" l="1"/>
  <c r="I154" i="1"/>
  <c r="H226" i="1"/>
  <c r="H69" i="1"/>
  <c r="H82" i="1" s="1"/>
  <c r="H116" i="1" s="1"/>
  <c r="I235" i="1"/>
  <c r="I258" i="1"/>
  <c r="I216" i="1"/>
  <c r="I192" i="1"/>
  <c r="I178" i="1"/>
  <c r="J13" i="1"/>
  <c r="I57" i="1"/>
  <c r="I160" i="1"/>
  <c r="I119" i="1"/>
  <c r="I231" i="1" l="1"/>
  <c r="I25" i="1" s="1"/>
  <c r="I27" i="1" s="1"/>
  <c r="H227" i="1"/>
  <c r="J235" i="1"/>
  <c r="J258" i="1"/>
  <c r="J216" i="1"/>
  <c r="J192" i="1"/>
  <c r="J178" i="1"/>
  <c r="K13" i="1"/>
  <c r="J57" i="1"/>
  <c r="J160" i="1"/>
  <c r="J119" i="1"/>
  <c r="I29" i="1" l="1"/>
  <c r="I30" i="1" s="1"/>
  <c r="I31" i="1" s="1"/>
  <c r="I232" i="1"/>
  <c r="K235" i="1"/>
  <c r="K258" i="1"/>
  <c r="K216" i="1"/>
  <c r="K192" i="1"/>
  <c r="K178" i="1"/>
  <c r="K160" i="1"/>
  <c r="K119" i="1"/>
  <c r="K57" i="1"/>
  <c r="I33" i="1" l="1"/>
  <c r="I247" i="1" s="1"/>
  <c r="I248" i="1" s="1"/>
  <c r="I249" i="1" s="1"/>
  <c r="J246" i="1" s="1"/>
  <c r="I122" i="1"/>
  <c r="I126" i="1" s="1"/>
  <c r="I138" i="1" s="1"/>
  <c r="I139" i="1" s="1"/>
  <c r="C2" i="1"/>
  <c r="G14" i="1"/>
  <c r="I32" i="1" l="1"/>
  <c r="I240" i="1" s="1"/>
  <c r="I241" i="1" s="1"/>
  <c r="I150" i="1" s="1"/>
  <c r="I151" i="1" s="1"/>
  <c r="I111" i="1"/>
  <c r="G236" i="1"/>
  <c r="G259" i="1"/>
  <c r="G217" i="1"/>
  <c r="G193" i="1"/>
  <c r="G179" i="1"/>
  <c r="G161" i="1"/>
  <c r="G120" i="1"/>
  <c r="G58" i="1"/>
  <c r="H14" i="1"/>
  <c r="E14" i="1"/>
  <c r="I40" i="1" l="1"/>
  <c r="I153" i="1"/>
  <c r="I243" i="1"/>
  <c r="E236" i="1"/>
  <c r="E259" i="1"/>
  <c r="H236" i="1"/>
  <c r="H259" i="1"/>
  <c r="E217" i="1"/>
  <c r="E193" i="1"/>
  <c r="H193" i="1"/>
  <c r="H217" i="1"/>
  <c r="H179" i="1"/>
  <c r="E179" i="1"/>
  <c r="E161" i="1"/>
  <c r="H161" i="1"/>
  <c r="H120" i="1"/>
  <c r="H58" i="1"/>
  <c r="E58" i="1"/>
  <c r="D14" i="1"/>
  <c r="I14" i="1"/>
  <c r="J239" i="1" l="1"/>
  <c r="I109" i="1"/>
  <c r="I110" i="1" s="1"/>
  <c r="I112" i="1" s="1"/>
  <c r="I114" i="1" s="1"/>
  <c r="I155" i="1"/>
  <c r="D236" i="1"/>
  <c r="D259" i="1"/>
  <c r="I236" i="1"/>
  <c r="I259" i="1"/>
  <c r="D193" i="1"/>
  <c r="D217" i="1"/>
  <c r="I217" i="1"/>
  <c r="I193" i="1"/>
  <c r="I179" i="1"/>
  <c r="D179" i="1"/>
  <c r="D161" i="1"/>
  <c r="I161" i="1"/>
  <c r="I120" i="1"/>
  <c r="I58" i="1"/>
  <c r="D58" i="1"/>
  <c r="J14" i="1"/>
  <c r="I68" i="1" l="1"/>
  <c r="J236" i="1"/>
  <c r="J259" i="1"/>
  <c r="J217" i="1"/>
  <c r="J193" i="1"/>
  <c r="J179" i="1"/>
  <c r="J161" i="1"/>
  <c r="J120" i="1"/>
  <c r="J58" i="1"/>
  <c r="K14" i="1"/>
  <c r="I226" i="1" l="1"/>
  <c r="I69" i="1"/>
  <c r="I82" i="1" s="1"/>
  <c r="I116" i="1" s="1"/>
  <c r="J154" i="1"/>
  <c r="I157" i="1"/>
  <c r="K236" i="1"/>
  <c r="K259" i="1"/>
  <c r="K217" i="1"/>
  <c r="K193" i="1"/>
  <c r="K179" i="1"/>
  <c r="K161" i="1"/>
  <c r="K120" i="1"/>
  <c r="K58" i="1"/>
  <c r="J231" i="1" l="1"/>
  <c r="J25" i="1" s="1"/>
  <c r="J27" i="1" s="1"/>
  <c r="I227" i="1"/>
  <c r="J232" i="1" l="1"/>
  <c r="J29" i="1"/>
  <c r="J30" i="1" s="1"/>
  <c r="J31" i="1" s="1"/>
  <c r="J122" i="1" l="1"/>
  <c r="J126" i="1" s="1"/>
  <c r="J138" i="1" s="1"/>
  <c r="J139" i="1" s="1"/>
  <c r="J33" i="1"/>
  <c r="J247" i="1" s="1"/>
  <c r="J248" i="1" s="1"/>
  <c r="J249" i="1" s="1"/>
  <c r="J32" i="1" l="1"/>
  <c r="J240" i="1"/>
  <c r="J40" i="1"/>
  <c r="K246" i="1"/>
  <c r="J111" i="1"/>
  <c r="J241" i="1" l="1"/>
  <c r="J150" i="1" s="1"/>
  <c r="J151" i="1" s="1"/>
  <c r="J153" i="1" s="1"/>
  <c r="J155" i="1" s="1"/>
  <c r="J68" i="1" s="1"/>
  <c r="J243" i="1"/>
  <c r="K239" i="1" l="1"/>
  <c r="J109" i="1"/>
  <c r="J110" i="1" s="1"/>
  <c r="J112" i="1" s="1"/>
  <c r="J114" i="1" s="1"/>
  <c r="J157" i="1"/>
  <c r="K154" i="1"/>
  <c r="J69" i="1"/>
  <c r="J82" i="1" s="1"/>
  <c r="J226" i="1"/>
  <c r="J116" i="1" l="1"/>
  <c r="K231" i="1"/>
  <c r="K25" i="1" s="1"/>
  <c r="K27" i="1" s="1"/>
  <c r="J227" i="1"/>
  <c r="K29" i="1" l="1"/>
  <c r="K30" i="1" s="1"/>
  <c r="K31" i="1" s="1"/>
  <c r="K33" i="1" s="1"/>
  <c r="K247" i="1" s="1"/>
  <c r="K232" i="1"/>
  <c r="K122" i="1" l="1"/>
  <c r="K126" i="1" s="1"/>
  <c r="K138" i="1" s="1"/>
  <c r="K139" i="1" s="1"/>
  <c r="K32" i="1"/>
  <c r="K240" i="1" s="1"/>
  <c r="K248" i="1"/>
  <c r="K249" i="1" s="1"/>
  <c r="K111" i="1" s="1"/>
  <c r="K40" i="1" l="1"/>
  <c r="K241" i="1"/>
  <c r="K150" i="1" s="1"/>
  <c r="K151" i="1" l="1"/>
  <c r="K243" i="1"/>
  <c r="K109" i="1" s="1"/>
  <c r="K110" i="1" s="1"/>
  <c r="K112" i="1" s="1"/>
  <c r="K114" i="1" s="1"/>
  <c r="K153" i="1" l="1"/>
  <c r="K155" i="1" s="1"/>
  <c r="K68" i="1" l="1"/>
  <c r="K157" i="1" l="1"/>
  <c r="K69" i="1"/>
  <c r="K82" i="1" s="1"/>
  <c r="K116" i="1" s="1"/>
  <c r="K226" i="1"/>
  <c r="K227" i="1" s="1"/>
  <c r="H7" i="2"/>
  <c r="H8" i="2"/>
  <c r="E37" i="2"/>
  <c r="F37" i="2"/>
  <c r="G37" i="2"/>
  <c r="H37" i="2"/>
  <c r="I37" i="2"/>
  <c r="E39" i="2"/>
  <c r="F39" i="2"/>
  <c r="G39" i="2"/>
  <c r="H39" i="2"/>
  <c r="I39" i="2"/>
  <c r="C45" i="2"/>
  <c r="I45" i="2"/>
  <c r="C46" i="2"/>
  <c r="I46" i="2"/>
  <c r="C47" i="2"/>
  <c r="I47" i="2"/>
  <c r="C49" i="2"/>
  <c r="I49" i="2"/>
  <c r="C50" i="2"/>
  <c r="I50" i="2"/>
  <c r="C69" i="2"/>
  <c r="D69" i="2"/>
  <c r="C71" i="2"/>
  <c r="D71" i="2"/>
  <c r="C73" i="2"/>
  <c r="D73" i="2"/>
  <c r="C77" i="2"/>
  <c r="D77" i="2"/>
  <c r="C78" i="2"/>
  <c r="D78" i="2"/>
  <c r="C79" i="2"/>
  <c r="D79" i="2"/>
  <c r="C82" i="2"/>
  <c r="D82" i="2"/>
  <c r="C83" i="2"/>
  <c r="D83" i="2"/>
  <c r="C84" i="2"/>
  <c r="D84" i="2"/>
  <c r="D90" i="2"/>
  <c r="L90" i="2"/>
  <c r="D99" i="2"/>
  <c r="L9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Ahmed WAEL</author>
  </authors>
  <commentList>
    <comment ref="F173" authorId="0" shapeId="0" xr:uid="{5F332379-F6CA-479A-829C-A660F8B2BDFE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investment-property dep + intangible amort + ROU amort, pulled from the CFS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Wall Street Prep</author>
  </authors>
  <commentList>
    <comment ref="I51" authorId="0" shapeId="0" xr:uid="{8E543FE1-4D2A-4B6A-90B5-A9DA78F47853}">
      <text>
        <r>
          <rPr>
            <b/>
            <sz val="9"/>
            <color indexed="81"/>
            <rFont val="Tahoma"/>
            <family val="2"/>
          </rPr>
          <t>Ahmed Wael</t>
        </r>
        <r>
          <rPr>
            <sz val="9"/>
            <color indexed="81"/>
            <rFont val="Tahoma"/>
            <family val="2"/>
          </rPr>
          <t xml:space="preserve">
Implied g = [r -FCF(t)/TV]/(1+FCF(t)/TV)</t>
        </r>
      </text>
    </comment>
  </commentList>
</comments>
</file>

<file path=xl/sharedStrings.xml><?xml version="1.0" encoding="utf-8"?>
<sst xmlns="http://schemas.openxmlformats.org/spreadsheetml/2006/main" count="361" uniqueCount="287">
  <si>
    <t>Company Name</t>
  </si>
  <si>
    <t>Ticker</t>
  </si>
  <si>
    <t>Last Historical Year</t>
  </si>
  <si>
    <t>ASSETS</t>
  </si>
  <si>
    <t>Current Assets</t>
  </si>
  <si>
    <t>Total Current Assets</t>
  </si>
  <si>
    <t>Non-Current Assets</t>
  </si>
  <si>
    <t>Total Non-Current Assets</t>
  </si>
  <si>
    <t>Total Assets</t>
  </si>
  <si>
    <t>LIABILITIES AND EQUITY</t>
  </si>
  <si>
    <t>Current Liabilities</t>
  </si>
  <si>
    <t>Provisions</t>
  </si>
  <si>
    <t>Total Current Liabilities</t>
  </si>
  <si>
    <t>Non-Current Liabilities</t>
  </si>
  <si>
    <t>Total Non-Current Liabilities</t>
  </si>
  <si>
    <t>Total Liabilities</t>
  </si>
  <si>
    <t>Equity</t>
  </si>
  <si>
    <t>Retained earnings</t>
  </si>
  <si>
    <t>Total Equity</t>
  </si>
  <si>
    <t>Total Liabilites &amp; Equity</t>
  </si>
  <si>
    <t>Balance Check</t>
  </si>
  <si>
    <t>Cash Generated from Operations</t>
  </si>
  <si>
    <t>CASH FLOWS FROM INVESTING ACTIVITIES</t>
  </si>
  <si>
    <t>CASH FLOWS FROM FINANCING ACTIVITIES</t>
  </si>
  <si>
    <t>Reconciliation Check vs BS Cash</t>
  </si>
  <si>
    <t>Depreciation &amp; amortization</t>
  </si>
  <si>
    <t>EBITDA</t>
  </si>
  <si>
    <t>Revenue growth</t>
  </si>
  <si>
    <t>Gross profit margin</t>
  </si>
  <si>
    <t>Tax rate</t>
  </si>
  <si>
    <t>Growth Rates &amp; Margins</t>
  </si>
  <si>
    <t>Latest Closing Share Price</t>
  </si>
  <si>
    <t>Latest Closing Share Price Date</t>
  </si>
  <si>
    <t>Shares outstanding</t>
  </si>
  <si>
    <t>Net income</t>
  </si>
  <si>
    <t>PROPERTY, PLANT &amp; EQUIPMENT</t>
  </si>
  <si>
    <t>Beginning of period</t>
  </si>
  <si>
    <t>Plus: Capital expenditures</t>
  </si>
  <si>
    <t>Less: Depreciation</t>
  </si>
  <si>
    <t>End of period</t>
  </si>
  <si>
    <t>IMPUTING TOTAL DEPRECIATION &amp; AMORTIZATION</t>
  </si>
  <si>
    <t>D&amp;A not related to PP&amp;E</t>
  </si>
  <si>
    <t>as % of revenue</t>
  </si>
  <si>
    <t xml:space="preserve">Depreciation &amp; Amortization - Total </t>
  </si>
  <si>
    <t>Dividend payout ratio</t>
  </si>
  <si>
    <t>% growth</t>
  </si>
  <si>
    <t>Basic EPS (EGP)</t>
  </si>
  <si>
    <t>INCOME STATEMENT</t>
  </si>
  <si>
    <t xml:space="preserve">Fiscal year  </t>
  </si>
  <si>
    <t>Fiscal year end date</t>
  </si>
  <si>
    <t>BALANCE SHEET</t>
  </si>
  <si>
    <t>CASH FLOW STATEMENT</t>
  </si>
  <si>
    <t>Discounted Cash Flow Valuation</t>
  </si>
  <si>
    <t>Most recent fiscal year end</t>
  </si>
  <si>
    <t>Discount rate (WACC)</t>
  </si>
  <si>
    <t>Link from WACC</t>
  </si>
  <si>
    <t>End of first fiscal year</t>
  </si>
  <si>
    <t>Share price (Public Co)</t>
  </si>
  <si>
    <t>Most recent quarter end date</t>
  </si>
  <si>
    <t>Share price date</t>
  </si>
  <si>
    <t xml:space="preserve">Valuation date </t>
  </si>
  <si>
    <t>Portion of First Year Cash Flows</t>
  </si>
  <si>
    <t>Unlevered Free Cash Flows</t>
  </si>
  <si>
    <t>LTM</t>
  </si>
  <si>
    <t>Actual</t>
  </si>
  <si>
    <t>Forecasts</t>
  </si>
  <si>
    <t>Fiscal year ended</t>
  </si>
  <si>
    <t>Revenue</t>
  </si>
  <si>
    <t>% margin</t>
  </si>
  <si>
    <t>EBIT</t>
  </si>
  <si>
    <t>Tax on EBIT</t>
  </si>
  <si>
    <t>NOPAT (aka EBIAT)</t>
  </si>
  <si>
    <t>Changes in net working capital</t>
  </si>
  <si>
    <t>Capital expenditures</t>
  </si>
  <si>
    <t>Unlevered free cash flows (UFCF)</t>
  </si>
  <si>
    <t>Net working capital (WC Assets - WC liabilities)</t>
  </si>
  <si>
    <t>Val date</t>
  </si>
  <si>
    <t xml:space="preserve">Yr 1 - Stub </t>
  </si>
  <si>
    <t>Year 2</t>
  </si>
  <si>
    <t>Year 3</t>
  </si>
  <si>
    <t>Year 4</t>
  </si>
  <si>
    <t>Year 5</t>
  </si>
  <si>
    <t>Date for discounting cash flows</t>
  </si>
  <si>
    <t>Unlevered free cash flows (UFCF) stub adjusted</t>
  </si>
  <si>
    <t>Present value of of unlevered free cash flows</t>
  </si>
  <si>
    <t>Terminal value - growth in perpetuity approach</t>
  </si>
  <si>
    <t>Terminal value - EBITDA multiple approach</t>
  </si>
  <si>
    <t>Long term growth rate</t>
  </si>
  <si>
    <t>Terminal year EBITDA</t>
  </si>
  <si>
    <t>EBITDA multiple</t>
  </si>
  <si>
    <t>Present value of terminal value</t>
  </si>
  <si>
    <t>Present value of stage 1 cash flows</t>
  </si>
  <si>
    <t>Total enterprise value (TEV)</t>
  </si>
  <si>
    <t>Enterprise value (stage 1 + 2)</t>
  </si>
  <si>
    <t>Terminal value as % of TEV</t>
  </si>
  <si>
    <t>Stage 1 cash flows as % of TEV</t>
  </si>
  <si>
    <t>Cash flows as % of TEV</t>
  </si>
  <si>
    <t>Implied TV exit EBITDA multiple</t>
  </si>
  <si>
    <t>Implied terminal growth rate</t>
  </si>
  <si>
    <t>Net debt</t>
  </si>
  <si>
    <t>Source doc</t>
  </si>
  <si>
    <t>Source date</t>
  </si>
  <si>
    <t>Date</t>
  </si>
  <si>
    <t>Shares</t>
  </si>
  <si>
    <t>Gross debt and equivalents</t>
  </si>
  <si>
    <t>Basic shares</t>
  </si>
  <si>
    <t>Debt</t>
  </si>
  <si>
    <t>Restricted stock / RSUs</t>
  </si>
  <si>
    <t>Convertible debt</t>
  </si>
  <si>
    <t>Options / warrants</t>
  </si>
  <si>
    <t>Preferred stock</t>
  </si>
  <si>
    <t>Noncontrolling (minority) interests</t>
  </si>
  <si>
    <t>Convertible preferred stock</t>
  </si>
  <si>
    <t>Nonoperating assets</t>
  </si>
  <si>
    <t>Net diluted shares outstanding</t>
  </si>
  <si>
    <t xml:space="preserve">Cash </t>
  </si>
  <si>
    <t xml:space="preserve">Equity investments </t>
  </si>
  <si>
    <t>Valuation</t>
  </si>
  <si>
    <t>Perpetuity</t>
  </si>
  <si>
    <t>Enterprise value</t>
  </si>
  <si>
    <t xml:space="preserve">Equity value </t>
  </si>
  <si>
    <t>Equity value per share</t>
  </si>
  <si>
    <t>Last twelve months (LTM)</t>
  </si>
  <si>
    <t>EV / Revenue</t>
  </si>
  <si>
    <t xml:space="preserve">EV / EBITDA </t>
  </si>
  <si>
    <t>EV / EBIT</t>
  </si>
  <si>
    <t>Year 1</t>
  </si>
  <si>
    <t>Outputs</t>
  </si>
  <si>
    <t>LTM EBITDA multiple</t>
  </si>
  <si>
    <t>Long term growth rate (g):</t>
  </si>
  <si>
    <t>WACC:</t>
  </si>
  <si>
    <t xml:space="preserve">Data </t>
  </si>
  <si>
    <t>Tables</t>
  </si>
  <si>
    <t>Exit EBITDA Multiple</t>
  </si>
  <si>
    <t>Equity value range</t>
  </si>
  <si>
    <t>Football field</t>
  </si>
  <si>
    <t>Low</t>
  </si>
  <si>
    <t>Diff.</t>
  </si>
  <si>
    <t>High</t>
  </si>
  <si>
    <t>52 Week Market High/Low</t>
  </si>
  <si>
    <t>WACC Buildup</t>
  </si>
  <si>
    <t>Cost of capital assumptions</t>
  </si>
  <si>
    <t>Cost of debt</t>
  </si>
  <si>
    <t>Cost of debt (after tax)</t>
  </si>
  <si>
    <t xml:space="preserve">Risk free rate </t>
  </si>
  <si>
    <t xml:space="preserve">Beta </t>
  </si>
  <si>
    <t>Market risk premium</t>
  </si>
  <si>
    <t>Cost of equity</t>
  </si>
  <si>
    <t>Capital weights (capital structure)</t>
  </si>
  <si>
    <t xml:space="preserve">Target </t>
  </si>
  <si>
    <t xml:space="preserve">Current </t>
  </si>
  <si>
    <t>(override)</t>
  </si>
  <si>
    <t>% of total</t>
  </si>
  <si>
    <t>Cost of capital (WACC)</t>
  </si>
  <si>
    <t>CapEx % of revenue</t>
  </si>
  <si>
    <t>D&amp;A as % of PP&amp;E (avg of BOP and EOP)</t>
  </si>
  <si>
    <t>All amounts are shown in Egyptian pounds, except per-share data, ratios, and shares outstanding</t>
  </si>
  <si>
    <t>EBITDA margin %</t>
  </si>
  <si>
    <t>NCI share of NI</t>
  </si>
  <si>
    <t>D&amp;A % of BOP PP&amp;E</t>
  </si>
  <si>
    <t>Operating Profit</t>
  </si>
  <si>
    <t>Deferred tax assets</t>
  </si>
  <si>
    <t>Due from related parties</t>
  </si>
  <si>
    <t>Issued and paid-up capital</t>
  </si>
  <si>
    <t>Total Operating Revenue</t>
  </si>
  <si>
    <t>Check vs IS (row 16)</t>
  </si>
  <si>
    <t>Implied Share Price</t>
  </si>
  <si>
    <t>Upside / (Downside)</t>
  </si>
  <si>
    <t>El Sewedy Electric Co SAE (SWDY)</t>
  </si>
  <si>
    <t>SWDY.CA</t>
  </si>
  <si>
    <t>Revenues</t>
  </si>
  <si>
    <t>Cost of revenue</t>
  </si>
  <si>
    <t>Gross Profit</t>
  </si>
  <si>
    <t>Other income</t>
  </si>
  <si>
    <t>Selling and distribution expenses</t>
  </si>
  <si>
    <t>General and administrative expenses</t>
  </si>
  <si>
    <t>Net impairment loss on trade and other receivables</t>
  </si>
  <si>
    <t>Other expenses</t>
  </si>
  <si>
    <t>Finance income</t>
  </si>
  <si>
    <t>Finance costs</t>
  </si>
  <si>
    <t>Net Finance Costs</t>
  </si>
  <si>
    <t>Share of profit of equity-accounted investees, net of tax</t>
  </si>
  <si>
    <t>Profit before tax</t>
  </si>
  <si>
    <t>Income tax expense</t>
  </si>
  <si>
    <t>Profit for the year</t>
  </si>
  <si>
    <t>Owners of the parent company</t>
  </si>
  <si>
    <t>Non-controlling interests</t>
  </si>
  <si>
    <t>Property, plant and equipment</t>
  </si>
  <si>
    <t>Right of use assets</t>
  </si>
  <si>
    <t>Investment property</t>
  </si>
  <si>
    <t>Equity-accounted investees</t>
  </si>
  <si>
    <t>Due from related parties (non-current)</t>
  </si>
  <si>
    <t>Trade and other receivables (non-current)</t>
  </si>
  <si>
    <t>Intangible assets and goodwill</t>
  </si>
  <si>
    <t>Inventories</t>
  </si>
  <si>
    <t>Contract assets</t>
  </si>
  <si>
    <t>Industrial real estate development</t>
  </si>
  <si>
    <t>Trade, notes, and other receivables</t>
  </si>
  <si>
    <t>Due from related parties (current)</t>
  </si>
  <si>
    <t>Investment in debt securities (Amortized Cost)</t>
  </si>
  <si>
    <t>Cash and cash equivalents</t>
  </si>
  <si>
    <t>ESOP shares issued not granted</t>
  </si>
  <si>
    <t>Reserves</t>
  </si>
  <si>
    <t>Treasury shares</t>
  </si>
  <si>
    <t>Equity Attributable to Owners of Parent</t>
  </si>
  <si>
    <t>Loans and borrowings (non-current)</t>
  </si>
  <si>
    <t>Deferred tax liabilities</t>
  </si>
  <si>
    <t>Due to related parties (non-current)</t>
  </si>
  <si>
    <t>Provisions (non-current)</t>
  </si>
  <si>
    <t>Other liabilities (non-current)</t>
  </si>
  <si>
    <t>Loans and borrowings (current)</t>
  </si>
  <si>
    <t>Trade, notes, and other payables</t>
  </si>
  <si>
    <t>Contract liabilities</t>
  </si>
  <si>
    <t>Due to related parties (current)</t>
  </si>
  <si>
    <t>Provisions (current)</t>
  </si>
  <si>
    <t>Net finance costs</t>
  </si>
  <si>
    <t>Due to related parties</t>
  </si>
  <si>
    <t>Changes in Working Capital</t>
  </si>
  <si>
    <t>Net change in cash and cash equivalents</t>
  </si>
  <si>
    <t>Cash and cash equivalents at 1 January</t>
  </si>
  <si>
    <t>Cash and cash equivalents at 31 December</t>
  </si>
  <si>
    <t>REVENUE BUILD BY SEGMENT (EGP)</t>
  </si>
  <si>
    <t>Cables &amp; accessories</t>
  </si>
  <si>
    <t>Constructions &amp; infrastructures</t>
  </si>
  <si>
    <t>Electrical products &amp; digital solutions</t>
  </si>
  <si>
    <t>WORKING CAPITAL SCHEDULE</t>
  </si>
  <si>
    <t>Operating Working Capital Assets</t>
  </si>
  <si>
    <t>Contract assets (EPC unbilled work)</t>
  </si>
  <si>
    <t>Trade &amp; other receivables (incl. non-curr)</t>
  </si>
  <si>
    <t>Due from related parties (incl. non-curr)</t>
  </si>
  <si>
    <t>Total Operating WC Assets</t>
  </si>
  <si>
    <t>Net Working Capital</t>
  </si>
  <si>
    <t>NWC as % of revenue</t>
  </si>
  <si>
    <t>Change in NWC (− = cash used)</t>
  </si>
  <si>
    <t>Operating Working Capital Liabilities</t>
  </si>
  <si>
    <t>Trade &amp; other payables</t>
  </si>
  <si>
    <t>Contract liabilities (customer advances)</t>
  </si>
  <si>
    <t>Due to related parties (incl. non-curr)</t>
  </si>
  <si>
    <t>Provisions (incl. non-curr)</t>
  </si>
  <si>
    <t>Other liabilities (non-current)</t>
  </si>
  <si>
    <t>Total Operating WC Liabilities</t>
  </si>
  <si>
    <t>DEBT &amp; INTEREST SCHEDULE</t>
  </si>
  <si>
    <t>Total debt (loans &amp; borrowings, incl. leases)</t>
  </si>
  <si>
    <t>End of period (BS current + non-current)</t>
  </si>
  <si>
    <t>Average debt</t>
  </si>
  <si>
    <t>Effective interest rate</t>
  </si>
  <si>
    <t>Interest income</t>
  </si>
  <si>
    <t>Interest-earning assets (cash + debt securities)</t>
  </si>
  <si>
    <t>Average earning assets</t>
  </si>
  <si>
    <t>Effective yield</t>
  </si>
  <si>
    <t>EQUITY &amp; NCI ROLL-FORWARD</t>
  </si>
  <si>
    <t>Retained Earnings</t>
  </si>
  <si>
    <t>Plus: Net income to parent</t>
  </si>
  <si>
    <t>Less: Dividends &amp; distributions</t>
  </si>
  <si>
    <t>Other (FX-to-RE, reserve transfer)</t>
  </si>
  <si>
    <t>End of period (= BS)</t>
  </si>
  <si>
    <t>Non-controlling Interests</t>
  </si>
  <si>
    <t>Plus: NCI share of net income</t>
  </si>
  <si>
    <t>NCI dividends &amp; acquisitions (net)</t>
  </si>
  <si>
    <t>Capital + ESOP + Treasury</t>
  </si>
  <si>
    <t>Reserves (FX translation + legal)</t>
  </si>
  <si>
    <t>NCI % of total net income</t>
  </si>
  <si>
    <t>Other income % of revenue</t>
  </si>
  <si>
    <t>S&amp;D % of revenue</t>
  </si>
  <si>
    <t>G&amp;A % of revenue</t>
  </si>
  <si>
    <t>Net impairment loss on trade and other receivables % of revenue</t>
  </si>
  <si>
    <t>Other expenses % of revenue</t>
  </si>
  <si>
    <t>EQUITY-ACCOUNTED INVESTEES ROLL-FORWARD</t>
  </si>
  <si>
    <t>Plus: Group share of profit</t>
  </si>
  <si>
    <t>Less: Dividends received from associates</t>
  </si>
  <si>
    <t>Other (FX / acquisitions)</t>
  </si>
  <si>
    <t>Associates' ROE (profit / BOP)</t>
  </si>
  <si>
    <t>Dividend payout from associates</t>
  </si>
  <si>
    <t>Debt securities (optional cash asset)</t>
  </si>
  <si>
    <t>Depreciation of PP&amp;E</t>
  </si>
  <si>
    <t>Non-PP&amp;E D&amp;A (ROU/intang./inv. prop.)</t>
  </si>
  <si>
    <t>Share of associates (strip non-cash)</t>
  </si>
  <si>
    <t>Operating CF before WC</t>
  </si>
  <si>
    <t>Trade &amp; other receivables</t>
  </si>
  <si>
    <t>Industrial real estate dev</t>
  </si>
  <si>
    <t>Net Cash from Operating</t>
  </si>
  <si>
    <t>CapEx</t>
  </si>
  <si>
    <t>Non-PP&amp;E asset reinvestment</t>
  </si>
  <si>
    <t>Dividends received from associates</t>
  </si>
  <si>
    <t>Net Cash Used in Investing</t>
  </si>
  <si>
    <t>Dividends paid (parent + NCI)</t>
  </si>
  <si>
    <t>Net Cash Used in Financing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</si>
</sst>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7" formatCode="&quot;$&quot;#,##0.00_);\(&quot;$&quot;#,##0.00\)"/>
    <numFmt numFmtId="41" formatCode="_(* #,##0_);_(* \(#,##0\);_(* &quot;-&quot;_);_(@_)"/>
    <numFmt numFmtId="164" formatCode="&quot;FY&quot;yy"/>
    <numFmt numFmtId="165" formatCode="0.0%"/>
    <numFmt numFmtId="166" formatCode="_(* #,##0.00_);_(* \(#,##0.00\);_(* \-??_);_(@_)"/>
    <numFmt numFmtId="167" formatCode="_(* #,##0_);_(* \(#,##0\);_(* \-??_);_(@_)"/>
    <numFmt numFmtId="168" formatCode="_(* #,##0_);_(* \(#,##0\);_(* \-_);_(@_)"/>
    <numFmt numFmtId="169" formatCode="_(* #,##0_);_(* \(#,##0\);_(* &quot;-&quot;??_);_(@_)"/>
    <numFmt numFmtId="170" formatCode="#,##0.000_);\(#,##0.000\)"/>
    <numFmt numFmtId="171" formatCode="m/d/yy;@"/>
    <numFmt numFmtId="172" formatCode="0\A;[Red]0\A"/>
    <numFmt numFmtId="173" formatCode="0\P_);\(0\P\)"/>
    <numFmt numFmtId="174" formatCode="0.0%_);\(0.0%\);@_)"/>
    <numFmt numFmtId="175" formatCode="_(#,##0.0%_);\(#,##0.0%\);_(&quot;–&quot;_)_%;_(@_)_%"/>
    <numFmt numFmtId="176" formatCode="0000\A"/>
    <numFmt numFmtId="177" formatCode="0000\P"/>
    <numFmt numFmtId="178" formatCode="#,##0_);\(#,##0\);@_)"/>
    <numFmt numFmtId="179" formatCode="0.0\x_);\(0.0\x\);@_)"/>
    <numFmt numFmtId="180" formatCode="0.000%_);\(0.000%\);@_)"/>
    <numFmt numFmtId="181" formatCode="#,##0.000_);\(#,##0.000\);@_)"/>
    <numFmt numFmtId="182" formatCode="_([$$]#,##0_)_%;\([$$]#,##0\)_%;_(&quot;–&quot;_)_%;_(@_)_%"/>
    <numFmt numFmtId="183" formatCode="&quot;$&quot;#,##0.00_);\(&quot;$&quot;#,##0.00\);@_)"/>
    <numFmt numFmtId="184" formatCode="_(0.0\x_)_';_(\(0.0\x\)_';_(&quot;–&quot;_)_%;_(@_)_%"/>
    <numFmt numFmtId="185" formatCode="_(0.0_)_'_x;_(\(0.0\)_';_(&quot;–&quot;_)_%;_(@_)_%"/>
    <numFmt numFmtId="186" formatCode="#,##0.00_);\(#,##0.00\);\-_);@_)"/>
    <numFmt numFmtId="187" formatCode="#,##0.0_);\(#,##0.0\);\-_);@_)"/>
    <numFmt numFmtId="188" formatCode="_(#,##0.00%_);\(#,##0.00%\);_(&quot;–&quot;_)_%;_(@_)_%"/>
    <numFmt numFmtId="189" formatCode="[$EGP]\ #,##0.00_);\([$EGP]\ #,##0.00\)"/>
    <numFmt numFmtId="190" formatCode="[$EGP]\ #,##0.00_);[Red]\([$EGP]\ #,##0.00\)"/>
    <numFmt numFmtId="191" formatCode="_(* #,##0.0_);_(* \(#,##0.0\);_(* \-??_);_(@_)"/>
    <numFmt numFmtId="192" formatCode="[$EGP]\ #,##0.00;\-[$EGP]\ #,##0.00"/>
  </numFmts>
  <fonts count="37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b/>
      <sz val="11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theme="4" tint="-0.249977111117893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1"/>
      <color theme="1"/>
      <name val="Calibri"/>
      <family val="2"/>
    </font>
    <font>
      <sz val="11"/>
      <color theme="0"/>
      <name val="Calibri"/>
      <family val="2"/>
    </font>
    <font>
      <i/>
      <sz val="11"/>
      <color theme="1"/>
      <name val="Calibri"/>
      <family val="2"/>
      <scheme val="minor"/>
    </font>
    <font>
      <i/>
      <sz val="11"/>
      <name val="Calibri"/>
      <family val="2"/>
    </font>
    <font>
      <i/>
      <sz val="9"/>
      <color rgb="FF000000"/>
      <name val="Calibri"/>
      <family val="2"/>
      <scheme val="minor"/>
    </font>
    <font>
      <sz val="10"/>
      <name val="Times New Roman"/>
      <family val="1"/>
    </font>
    <font>
      <sz val="11"/>
      <color rgb="FF008000"/>
      <name val="Calibri"/>
      <family val="2"/>
      <scheme val="minor"/>
    </font>
    <font>
      <u/>
      <sz val="11"/>
      <color theme="10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singleAccounting"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0000"/>
      <name val="Calibri"/>
      <family val="2"/>
    </font>
    <font>
      <sz val="11"/>
      <color theme="4" tint="-0.249977111117893"/>
      <name val="Calibri"/>
      <family val="2"/>
      <charset val="1"/>
    </font>
    <font>
      <sz val="11"/>
      <name val="Calibri"/>
      <family val="2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2F2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rgb="FFC0C0C0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6" fontId="3" fillId="0" borderId="0"/>
    <xf numFmtId="9" fontId="3" fillId="0" borderId="0"/>
    <xf numFmtId="0" fontId="2" fillId="0" borderId="0"/>
    <xf numFmtId="37" fontId="22" fillId="0" borderId="0"/>
    <xf numFmtId="0" fontId="24" fillId="0" borderId="0" applyNumberFormat="0" applyFill="0" applyBorder="0" applyAlignment="0" applyProtection="0"/>
  </cellStyleXfs>
  <cellXfs count="264">
    <xf numFmtId="0" fontId="0" fillId="0" borderId="0" xfId="0"/>
    <xf numFmtId="165" fontId="3" fillId="0" borderId="0" xfId="2" applyNumberFormat="1"/>
    <xf numFmtId="0" fontId="4" fillId="0" borderId="4" xfId="0" applyFont="1" applyBorder="1"/>
    <xf numFmtId="14" fontId="5" fillId="0" borderId="0" xfId="0" applyNumberFormat="1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center"/>
    </xf>
    <xf numFmtId="14" fontId="7" fillId="0" borderId="0" xfId="0" applyNumberFormat="1" applyFont="1" applyAlignment="1">
      <alignment horizontal="center"/>
    </xf>
    <xf numFmtId="171" fontId="7" fillId="0" borderId="0" xfId="0" applyNumberFormat="1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8" fillId="0" borderId="4" xfId="0" applyFont="1" applyBorder="1"/>
    <xf numFmtId="0" fontId="8" fillId="0" borderId="5" xfId="0" applyFont="1" applyBorder="1"/>
    <xf numFmtId="167" fontId="11" fillId="0" borderId="0" xfId="1" applyNumberFormat="1" applyFont="1"/>
    <xf numFmtId="168" fontId="12" fillId="0" borderId="0" xfId="1" applyNumberFormat="1" applyFont="1"/>
    <xf numFmtId="169" fontId="8" fillId="0" borderId="0" xfId="0" applyNumberFormat="1" applyFont="1"/>
    <xf numFmtId="0" fontId="13" fillId="0" borderId="1" xfId="0" applyFont="1" applyBorder="1"/>
    <xf numFmtId="167" fontId="13" fillId="0" borderId="1" xfId="1" applyNumberFormat="1" applyFont="1" applyBorder="1"/>
    <xf numFmtId="167" fontId="13" fillId="0" borderId="3" xfId="1" applyNumberFormat="1" applyFont="1" applyBorder="1"/>
    <xf numFmtId="0" fontId="13" fillId="0" borderId="0" xfId="0" applyFont="1"/>
    <xf numFmtId="167" fontId="13" fillId="0" borderId="0" xfId="1" applyNumberFormat="1" applyFont="1"/>
    <xf numFmtId="169" fontId="8" fillId="0" borderId="0" xfId="2" applyNumberFormat="1" applyFont="1"/>
    <xf numFmtId="165" fontId="9" fillId="0" borderId="0" xfId="2" applyNumberFormat="1" applyFont="1"/>
    <xf numFmtId="0" fontId="13" fillId="0" borderId="3" xfId="0" applyFont="1" applyBorder="1"/>
    <xf numFmtId="0" fontId="8" fillId="0" borderId="0" xfId="0" applyFont="1" applyAlignment="1">
      <alignment horizontal="left" indent="1"/>
    </xf>
    <xf numFmtId="167" fontId="8" fillId="0" borderId="0" xfId="0" applyNumberFormat="1" applyFont="1"/>
    <xf numFmtId="0" fontId="8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167" fontId="8" fillId="0" borderId="0" xfId="1" applyNumberFormat="1" applyFont="1"/>
    <xf numFmtId="166" fontId="8" fillId="0" borderId="0" xfId="1" applyFont="1"/>
    <xf numFmtId="0" fontId="15" fillId="0" borderId="2" xfId="0" applyFont="1" applyBorder="1"/>
    <xf numFmtId="167" fontId="13" fillId="0" borderId="2" xfId="1" applyNumberFormat="1" applyFont="1" applyBorder="1"/>
    <xf numFmtId="165" fontId="8" fillId="0" borderId="0" xfId="2" applyNumberFormat="1" applyFont="1"/>
    <xf numFmtId="165" fontId="12" fillId="0" borderId="0" xfId="0" applyNumberFormat="1" applyFont="1"/>
    <xf numFmtId="1" fontId="8" fillId="0" borderId="0" xfId="2" applyNumberFormat="1" applyFont="1"/>
    <xf numFmtId="0" fontId="11" fillId="0" borderId="0" xfId="0" applyFont="1" applyAlignment="1">
      <alignment horizontal="left" indent="1"/>
    </xf>
    <xf numFmtId="167" fontId="13" fillId="0" borderId="0" xfId="0" applyNumberFormat="1" applyFont="1"/>
    <xf numFmtId="0" fontId="13" fillId="0" borderId="1" xfId="0" applyFont="1" applyBorder="1" applyAlignment="1">
      <alignment horizontal="left"/>
    </xf>
    <xf numFmtId="0" fontId="17" fillId="0" borderId="0" xfId="0" applyFont="1" applyAlignment="1">
      <alignment horizontal="center" vertical="center"/>
    </xf>
    <xf numFmtId="168" fontId="11" fillId="0" borderId="0" xfId="1" applyNumberFormat="1" applyFont="1"/>
    <xf numFmtId="168" fontId="8" fillId="0" borderId="0" xfId="0" applyNumberFormat="1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indent="2"/>
    </xf>
    <xf numFmtId="168" fontId="14" fillId="0" borderId="3" xfId="1" applyNumberFormat="1" applyFont="1" applyBorder="1"/>
    <xf numFmtId="0" fontId="18" fillId="0" borderId="0" xfId="0" applyFont="1"/>
    <xf numFmtId="0" fontId="10" fillId="0" borderId="0" xfId="0" applyFont="1"/>
    <xf numFmtId="0" fontId="18" fillId="0" borderId="0" xfId="0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0" fontId="11" fillId="0" borderId="0" xfId="0" applyFont="1"/>
    <xf numFmtId="168" fontId="11" fillId="0" borderId="0" xfId="0" applyNumberFormat="1" applyFont="1" applyAlignment="1">
      <alignment horizontal="center" vertical="center"/>
    </xf>
    <xf numFmtId="10" fontId="8" fillId="0" borderId="0" xfId="2" applyNumberFormat="1" applyFont="1"/>
    <xf numFmtId="0" fontId="13" fillId="0" borderId="3" xfId="0" applyFont="1" applyBorder="1" applyAlignment="1">
      <alignment horizontal="left"/>
    </xf>
    <xf numFmtId="0" fontId="4" fillId="0" borderId="6" xfId="0" applyFont="1" applyBorder="1"/>
    <xf numFmtId="0" fontId="0" fillId="0" borderId="6" xfId="0" applyBorder="1"/>
    <xf numFmtId="172" fontId="4" fillId="0" borderId="0" xfId="0" applyNumberFormat="1" applyFont="1"/>
    <xf numFmtId="173" fontId="4" fillId="0" borderId="0" xfId="0" applyNumberFormat="1" applyFont="1"/>
    <xf numFmtId="0" fontId="19" fillId="0" borderId="6" xfId="0" applyFont="1" applyBorder="1"/>
    <xf numFmtId="171" fontId="19" fillId="0" borderId="2" xfId="0" applyNumberFormat="1" applyFont="1" applyBorder="1"/>
    <xf numFmtId="0" fontId="14" fillId="0" borderId="0" xfId="0" applyFont="1"/>
    <xf numFmtId="171" fontId="19" fillId="0" borderId="6" xfId="0" applyNumberFormat="1" applyFont="1" applyBorder="1"/>
    <xf numFmtId="0" fontId="20" fillId="0" borderId="0" xfId="0" applyFont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0" fontId="0" fillId="0" borderId="3" xfId="0" applyBorder="1"/>
    <xf numFmtId="172" fontId="4" fillId="0" borderId="3" xfId="0" applyNumberFormat="1" applyFont="1" applyBorder="1"/>
    <xf numFmtId="173" fontId="4" fillId="0" borderId="3" xfId="0" applyNumberFormat="1" applyFont="1" applyBorder="1"/>
    <xf numFmtId="0" fontId="2" fillId="0" borderId="0" xfId="3"/>
    <xf numFmtId="0" fontId="4" fillId="0" borderId="4" xfId="3" applyFont="1" applyBorder="1"/>
    <xf numFmtId="0" fontId="2" fillId="0" borderId="4" xfId="3" applyBorder="1"/>
    <xf numFmtId="0" fontId="21" fillId="0" borderId="5" xfId="3" applyFont="1" applyBorder="1"/>
    <xf numFmtId="14" fontId="7" fillId="0" borderId="0" xfId="4" applyNumberFormat="1" applyFont="1" applyAlignment="1">
      <alignment horizontal="right"/>
    </xf>
    <xf numFmtId="174" fontId="23" fillId="0" borderId="0" xfId="3" applyNumberFormat="1" applyFont="1"/>
    <xf numFmtId="14" fontId="6" fillId="0" borderId="0" xfId="4" applyNumberFormat="1" applyFont="1" applyAlignment="1">
      <alignment horizontal="right"/>
    </xf>
    <xf numFmtId="14" fontId="7" fillId="0" borderId="0" xfId="3" applyNumberFormat="1" applyFont="1" applyAlignment="1">
      <alignment horizontal="right"/>
    </xf>
    <xf numFmtId="0" fontId="24" fillId="0" borderId="0" xfId="5" applyBorder="1"/>
    <xf numFmtId="175" fontId="6" fillId="0" borderId="0" xfId="3" applyNumberFormat="1" applyFont="1"/>
    <xf numFmtId="7" fontId="23" fillId="0" borderId="0" xfId="3" applyNumberFormat="1" applyFont="1" applyAlignment="1">
      <alignment horizontal="right"/>
    </xf>
    <xf numFmtId="0" fontId="4" fillId="0" borderId="7" xfId="3" applyFont="1" applyBorder="1"/>
    <xf numFmtId="0" fontId="2" fillId="0" borderId="7" xfId="3" applyBorder="1"/>
    <xf numFmtId="7" fontId="23" fillId="0" borderId="7" xfId="3" applyNumberFormat="1" applyFont="1" applyBorder="1" applyAlignment="1">
      <alignment horizontal="right"/>
    </xf>
    <xf numFmtId="0" fontId="25" fillId="0" borderId="0" xfId="3" applyFont="1" applyAlignment="1">
      <alignment horizontal="centerContinuous"/>
    </xf>
    <xf numFmtId="0" fontId="26" fillId="0" borderId="8" xfId="3" applyFont="1" applyBorder="1" applyAlignment="1">
      <alignment horizontal="centerContinuous"/>
    </xf>
    <xf numFmtId="0" fontId="19" fillId="0" borderId="0" xfId="3" applyFont="1"/>
    <xf numFmtId="14" fontId="2" fillId="0" borderId="0" xfId="3" applyNumberFormat="1" applyAlignment="1">
      <alignment horizontal="center"/>
    </xf>
    <xf numFmtId="171" fontId="2" fillId="0" borderId="9" xfId="3" applyNumberFormat="1" applyBorder="1" applyAlignment="1">
      <alignment horizontal="center"/>
    </xf>
    <xf numFmtId="171" fontId="2" fillId="0" borderId="10" xfId="3" applyNumberFormat="1" applyBorder="1" applyAlignment="1">
      <alignment horizontal="center"/>
    </xf>
    <xf numFmtId="171" fontId="2" fillId="0" borderId="0" xfId="3" applyNumberFormat="1" applyAlignment="1">
      <alignment horizontal="center"/>
    </xf>
    <xf numFmtId="178" fontId="6" fillId="0" borderId="0" xfId="3" applyNumberFormat="1" applyFont="1"/>
    <xf numFmtId="178" fontId="23" fillId="0" borderId="0" xfId="3" applyNumberFormat="1" applyFont="1"/>
    <xf numFmtId="0" fontId="2" fillId="0" borderId="0" xfId="3" applyAlignment="1">
      <alignment horizontal="left" indent="1"/>
    </xf>
    <xf numFmtId="0" fontId="4" fillId="0" borderId="0" xfId="3" applyFont="1"/>
    <xf numFmtId="178" fontId="27" fillId="0" borderId="0" xfId="3" applyNumberFormat="1" applyFont="1"/>
    <xf numFmtId="178" fontId="2" fillId="0" borderId="0" xfId="3" applyNumberFormat="1"/>
    <xf numFmtId="37" fontId="6" fillId="0" borderId="0" xfId="3" applyNumberFormat="1" applyFont="1"/>
    <xf numFmtId="178" fontId="23" fillId="0" borderId="7" xfId="3" applyNumberFormat="1" applyFont="1" applyBorder="1"/>
    <xf numFmtId="178" fontId="26" fillId="0" borderId="7" xfId="3" applyNumberFormat="1" applyFont="1" applyBorder="1" applyAlignment="1">
      <alignment horizontal="center"/>
    </xf>
    <xf numFmtId="178" fontId="26" fillId="0" borderId="0" xfId="3" applyNumberFormat="1" applyFont="1"/>
    <xf numFmtId="14" fontId="2" fillId="0" borderId="0" xfId="3" applyNumberFormat="1"/>
    <xf numFmtId="175" fontId="2" fillId="0" borderId="0" xfId="3" applyNumberFormat="1" applyAlignment="1">
      <alignment horizontal="center"/>
    </xf>
    <xf numFmtId="178" fontId="6" fillId="0" borderId="7" xfId="3" applyNumberFormat="1" applyFont="1" applyBorder="1"/>
    <xf numFmtId="0" fontId="27" fillId="0" borderId="0" xfId="3" applyFont="1"/>
    <xf numFmtId="175" fontId="7" fillId="0" borderId="0" xfId="3" applyNumberFormat="1" applyFont="1"/>
    <xf numFmtId="177" fontId="2" fillId="0" borderId="0" xfId="3" applyNumberFormat="1"/>
    <xf numFmtId="179" fontId="7" fillId="0" borderId="0" xfId="3" applyNumberFormat="1" applyFont="1"/>
    <xf numFmtId="178" fontId="4" fillId="0" borderId="0" xfId="3" applyNumberFormat="1" applyFont="1"/>
    <xf numFmtId="0" fontId="19" fillId="0" borderId="0" xfId="3" applyFont="1" applyAlignment="1">
      <alignment horizontal="left"/>
    </xf>
    <xf numFmtId="175" fontId="19" fillId="0" borderId="0" xfId="3" applyNumberFormat="1" applyFont="1"/>
    <xf numFmtId="180" fontId="19" fillId="0" borderId="0" xfId="3" applyNumberFormat="1" applyFont="1"/>
    <xf numFmtId="175" fontId="2" fillId="0" borderId="0" xfId="3" applyNumberFormat="1"/>
    <xf numFmtId="179" fontId="19" fillId="0" borderId="0" xfId="3" applyNumberFormat="1" applyFont="1"/>
    <xf numFmtId="174" fontId="2" fillId="0" borderId="0" xfId="3" quotePrefix="1" applyNumberFormat="1"/>
    <xf numFmtId="0" fontId="2" fillId="0" borderId="0" xfId="3" applyAlignment="1">
      <alignment horizontal="left"/>
    </xf>
    <xf numFmtId="0" fontId="28" fillId="0" borderId="0" xfId="3" applyFont="1"/>
    <xf numFmtId="0" fontId="28" fillId="0" borderId="0" xfId="3" applyFont="1" applyAlignment="1">
      <alignment horizontal="right"/>
    </xf>
    <xf numFmtId="0" fontId="28" fillId="0" borderId="0" xfId="3" applyFont="1" applyAlignment="1">
      <alignment horizontal="left" vertical="center"/>
    </xf>
    <xf numFmtId="14" fontId="6" fillId="0" borderId="0" xfId="3" applyNumberFormat="1" applyFont="1"/>
    <xf numFmtId="181" fontId="7" fillId="0" borderId="0" xfId="3" applyNumberFormat="1" applyFont="1"/>
    <xf numFmtId="170" fontId="7" fillId="0" borderId="0" xfId="3" applyNumberFormat="1" applyFont="1"/>
    <xf numFmtId="37" fontId="23" fillId="0" borderId="0" xfId="3" applyNumberFormat="1" applyFont="1"/>
    <xf numFmtId="170" fontId="23" fillId="0" borderId="0" xfId="3" applyNumberFormat="1" applyFont="1" applyAlignment="1">
      <alignment horizontal="right"/>
    </xf>
    <xf numFmtId="0" fontId="6" fillId="0" borderId="0" xfId="3" applyFont="1" applyAlignment="1">
      <alignment horizontal="left" indent="1"/>
    </xf>
    <xf numFmtId="0" fontId="4" fillId="0" borderId="0" xfId="3" applyFont="1" applyAlignment="1">
      <alignment horizontal="left"/>
    </xf>
    <xf numFmtId="182" fontId="7" fillId="0" borderId="0" xfId="3" applyNumberFormat="1" applyFont="1"/>
    <xf numFmtId="0" fontId="2" fillId="0" borderId="0" xfId="3" applyAlignment="1">
      <alignment horizontal="left" vertical="center" indent="1"/>
    </xf>
    <xf numFmtId="170" fontId="2" fillId="0" borderId="0" xfId="3" applyNumberFormat="1"/>
    <xf numFmtId="181" fontId="29" fillId="0" borderId="0" xfId="3" applyNumberFormat="1" applyFont="1"/>
    <xf numFmtId="0" fontId="4" fillId="0" borderId="0" xfId="3" applyFont="1" applyAlignment="1">
      <alignment vertical="center"/>
    </xf>
    <xf numFmtId="37" fontId="4" fillId="0" borderId="0" xfId="3" applyNumberFormat="1" applyFont="1"/>
    <xf numFmtId="0" fontId="25" fillId="0" borderId="0" xfId="3" applyFont="1" applyAlignment="1">
      <alignment horizontal="right"/>
    </xf>
    <xf numFmtId="178" fontId="2" fillId="0" borderId="0" xfId="3" applyNumberFormat="1" applyAlignment="1">
      <alignment horizontal="right"/>
    </xf>
    <xf numFmtId="37" fontId="19" fillId="0" borderId="7" xfId="3" applyNumberFormat="1" applyFont="1" applyBorder="1" applyAlignment="1">
      <alignment horizontal="right"/>
    </xf>
    <xf numFmtId="37" fontId="2" fillId="0" borderId="0" xfId="3" applyNumberFormat="1" applyAlignment="1">
      <alignment horizontal="right"/>
    </xf>
    <xf numFmtId="184" fontId="2" fillId="0" borderId="0" xfId="3" applyNumberFormat="1" applyAlignment="1">
      <alignment horizontal="right"/>
    </xf>
    <xf numFmtId="185" fontId="2" fillId="0" borderId="0" xfId="3" applyNumberFormat="1" applyAlignment="1">
      <alignment horizontal="right"/>
    </xf>
    <xf numFmtId="0" fontId="6" fillId="2" borderId="0" xfId="3" applyFont="1" applyFill="1"/>
    <xf numFmtId="0" fontId="30" fillId="0" borderId="0" xfId="3" applyFont="1" applyAlignment="1">
      <alignment horizontal="centerContinuous"/>
    </xf>
    <xf numFmtId="0" fontId="25" fillId="0" borderId="10" xfId="3" applyFont="1" applyBorder="1" applyAlignment="1">
      <alignment horizontal="centerContinuous"/>
    </xf>
    <xf numFmtId="0" fontId="2" fillId="0" borderId="0" xfId="3" applyAlignment="1">
      <alignment horizontal="centerContinuous"/>
    </xf>
    <xf numFmtId="0" fontId="2" fillId="0" borderId="10" xfId="3" applyBorder="1" applyAlignment="1">
      <alignment horizontal="centerContinuous"/>
    </xf>
    <xf numFmtId="0" fontId="2" fillId="0" borderId="0" xfId="3" applyAlignment="1">
      <alignment horizontal="right"/>
    </xf>
    <xf numFmtId="165" fontId="7" fillId="3" borderId="12" xfId="3" applyNumberFormat="1" applyFont="1" applyFill="1" applyBorder="1"/>
    <xf numFmtId="179" fontId="2" fillId="0" borderId="13" xfId="3" applyNumberFormat="1" applyBorder="1" applyAlignment="1">
      <alignment horizontal="right"/>
    </xf>
    <xf numFmtId="186" fontId="2" fillId="0" borderId="0" xfId="3" applyNumberFormat="1"/>
    <xf numFmtId="186" fontId="2" fillId="0" borderId="10" xfId="3" applyNumberFormat="1" applyBorder="1"/>
    <xf numFmtId="179" fontId="2" fillId="0" borderId="0" xfId="3" applyNumberFormat="1" applyAlignment="1">
      <alignment horizontal="right"/>
    </xf>
    <xf numFmtId="165" fontId="7" fillId="3" borderId="15" xfId="3" applyNumberFormat="1" applyFont="1" applyFill="1" applyBorder="1" applyAlignment="1">
      <alignment horizontal="right"/>
    </xf>
    <xf numFmtId="0" fontId="27" fillId="2" borderId="0" xfId="3" applyFont="1" applyFill="1" applyAlignment="1">
      <alignment horizontal="center"/>
    </xf>
    <xf numFmtId="187" fontId="2" fillId="0" borderId="0" xfId="3" applyNumberFormat="1"/>
    <xf numFmtId="179" fontId="7" fillId="3" borderId="12" xfId="3" applyNumberFormat="1" applyFont="1" applyFill="1" applyBorder="1"/>
    <xf numFmtId="0" fontId="2" fillId="0" borderId="10" xfId="3" applyBorder="1"/>
    <xf numFmtId="0" fontId="4" fillId="4" borderId="0" xfId="3" applyFont="1" applyFill="1"/>
    <xf numFmtId="0" fontId="4" fillId="4" borderId="10" xfId="3" applyFont="1" applyFill="1" applyBorder="1"/>
    <xf numFmtId="188" fontId="2" fillId="0" borderId="0" xfId="3" applyNumberFormat="1"/>
    <xf numFmtId="0" fontId="2" fillId="0" borderId="11" xfId="3" applyBorder="1"/>
    <xf numFmtId="0" fontId="2" fillId="0" borderId="12" xfId="3" applyBorder="1" applyAlignment="1">
      <alignment horizontal="right"/>
    </xf>
    <xf numFmtId="0" fontId="2" fillId="0" borderId="14" xfId="3" applyBorder="1" applyAlignment="1">
      <alignment horizontal="right"/>
    </xf>
    <xf numFmtId="0" fontId="2" fillId="0" borderId="12" xfId="3" applyBorder="1"/>
    <xf numFmtId="0" fontId="2" fillId="0" borderId="16" xfId="3" applyBorder="1"/>
    <xf numFmtId="175" fontId="6" fillId="0" borderId="0" xfId="0" applyNumberFormat="1" applyFont="1"/>
    <xf numFmtId="0" fontId="27" fillId="0" borderId="7" xfId="3" applyFont="1" applyBorder="1"/>
    <xf numFmtId="0" fontId="6" fillId="0" borderId="7" xfId="3" applyFont="1" applyBorder="1"/>
    <xf numFmtId="0" fontId="27" fillId="0" borderId="7" xfId="3" applyFont="1" applyBorder="1" applyAlignment="1">
      <alignment horizontal="right"/>
    </xf>
    <xf numFmtId="0" fontId="28" fillId="0" borderId="0" xfId="3" applyFont="1" applyAlignment="1">
      <alignment horizontal="left"/>
    </xf>
    <xf numFmtId="0" fontId="4" fillId="0" borderId="6" xfId="3" applyFont="1" applyBorder="1"/>
    <xf numFmtId="0" fontId="4" fillId="0" borderId="11" xfId="3" applyFont="1" applyBorder="1"/>
    <xf numFmtId="10" fontId="7" fillId="0" borderId="0" xfId="3" applyNumberFormat="1" applyFont="1"/>
    <xf numFmtId="188" fontId="23" fillId="0" borderId="7" xfId="3" applyNumberFormat="1" applyFont="1" applyBorder="1"/>
    <xf numFmtId="188" fontId="6" fillId="0" borderId="0" xfId="3" applyNumberFormat="1" applyFont="1"/>
    <xf numFmtId="10" fontId="7" fillId="0" borderId="7" xfId="3" applyNumberFormat="1" applyFont="1" applyBorder="1"/>
    <xf numFmtId="10" fontId="6" fillId="0" borderId="0" xfId="3" applyNumberFormat="1" applyFont="1"/>
    <xf numFmtId="165" fontId="6" fillId="0" borderId="0" xfId="3" applyNumberFormat="1" applyFont="1"/>
    <xf numFmtId="0" fontId="2" fillId="0" borderId="6" xfId="3" applyBorder="1"/>
    <xf numFmtId="165" fontId="26" fillId="0" borderId="0" xfId="3" applyNumberFormat="1" applyFont="1" applyAlignment="1">
      <alignment horizontal="right"/>
    </xf>
    <xf numFmtId="9" fontId="7" fillId="0" borderId="0" xfId="3" applyNumberFormat="1" applyFont="1"/>
    <xf numFmtId="174" fontId="2" fillId="0" borderId="0" xfId="3" applyNumberFormat="1"/>
    <xf numFmtId="9" fontId="6" fillId="0" borderId="0" xfId="3" applyNumberFormat="1" applyFont="1"/>
    <xf numFmtId="0" fontId="4" fillId="0" borderId="12" xfId="3" applyFont="1" applyBorder="1"/>
    <xf numFmtId="174" fontId="4" fillId="0" borderId="14" xfId="3" applyNumberFormat="1" applyFont="1" applyBorder="1"/>
    <xf numFmtId="189" fontId="7" fillId="0" borderId="0" xfId="3" applyNumberFormat="1" applyFont="1"/>
    <xf numFmtId="178" fontId="6" fillId="0" borderId="0" xfId="0" applyNumberFormat="1" applyFont="1"/>
    <xf numFmtId="14" fontId="0" fillId="0" borderId="0" xfId="0" applyNumberFormat="1"/>
    <xf numFmtId="39" fontId="7" fillId="0" borderId="0" xfId="3" applyNumberFormat="1" applyFont="1"/>
    <xf numFmtId="168" fontId="14" fillId="0" borderId="0" xfId="1" applyNumberFormat="1" applyFont="1"/>
    <xf numFmtId="168" fontId="13" fillId="0" borderId="0" xfId="0" applyNumberFormat="1" applyFont="1"/>
    <xf numFmtId="190" fontId="7" fillId="0" borderId="0" xfId="0" applyNumberFormat="1" applyFont="1" applyAlignment="1">
      <alignment horizontal="center"/>
    </xf>
    <xf numFmtId="183" fontId="0" fillId="0" borderId="6" xfId="0" applyNumberFormat="1" applyBorder="1" applyAlignment="1">
      <alignment horizontal="right"/>
    </xf>
    <xf numFmtId="183" fontId="0" fillId="0" borderId="13" xfId="0" applyNumberFormat="1" applyBorder="1"/>
    <xf numFmtId="179" fontId="31" fillId="3" borderId="12" xfId="3" applyNumberFormat="1" applyFont="1" applyFill="1" applyBorder="1"/>
    <xf numFmtId="0" fontId="0" fillId="0" borderId="17" xfId="0" quotePrefix="1" applyBorder="1"/>
    <xf numFmtId="39" fontId="0" fillId="0" borderId="0" xfId="0" applyNumberFormat="1"/>
    <xf numFmtId="39" fontId="0" fillId="0" borderId="18" xfId="0" applyNumberFormat="1" applyBorder="1"/>
    <xf numFmtId="0" fontId="0" fillId="0" borderId="17" xfId="0" applyBorder="1"/>
    <xf numFmtId="0" fontId="0" fillId="0" borderId="19" xfId="0" applyBorder="1"/>
    <xf numFmtId="39" fontId="0" fillId="0" borderId="6" xfId="0" applyNumberFormat="1" applyBorder="1"/>
    <xf numFmtId="39" fontId="6" fillId="0" borderId="6" xfId="0" applyNumberFormat="1" applyFont="1" applyBorder="1"/>
    <xf numFmtId="39" fontId="0" fillId="0" borderId="13" xfId="0" applyNumberFormat="1" applyBorder="1"/>
    <xf numFmtId="0" fontId="0" fillId="0" borderId="10" xfId="0" applyBorder="1"/>
    <xf numFmtId="39" fontId="6" fillId="0" borderId="0" xfId="0" applyNumberFormat="1" applyFont="1"/>
    <xf numFmtId="39" fontId="6" fillId="0" borderId="18" xfId="0" applyNumberFormat="1" applyFont="1" applyBorder="1"/>
    <xf numFmtId="0" fontId="0" fillId="0" borderId="20" xfId="0" applyBorder="1"/>
    <xf numFmtId="39" fontId="6" fillId="0" borderId="13" xfId="0" applyNumberFormat="1" applyFont="1" applyBorder="1"/>
    <xf numFmtId="176" fontId="4" fillId="0" borderId="21" xfId="3" applyNumberFormat="1" applyFont="1" applyBorder="1"/>
    <xf numFmtId="178" fontId="23" fillId="0" borderId="22" xfId="3" applyNumberFormat="1" applyFont="1" applyBorder="1"/>
    <xf numFmtId="9" fontId="3" fillId="0" borderId="22" xfId="2" applyBorder="1"/>
    <xf numFmtId="178" fontId="6" fillId="0" borderId="22" xfId="3" applyNumberFormat="1" applyFont="1" applyBorder="1"/>
    <xf numFmtId="174" fontId="23" fillId="0" borderId="22" xfId="3" applyNumberFormat="1" applyFont="1" applyBorder="1"/>
    <xf numFmtId="178" fontId="27" fillId="0" borderId="23" xfId="3" applyNumberFormat="1" applyFont="1" applyBorder="1"/>
    <xf numFmtId="177" fontId="4" fillId="0" borderId="24" xfId="3" applyNumberFormat="1" applyFont="1" applyBorder="1"/>
    <xf numFmtId="178" fontId="23" fillId="0" borderId="25" xfId="3" applyNumberFormat="1" applyFont="1" applyBorder="1"/>
    <xf numFmtId="177" fontId="4" fillId="0" borderId="21" xfId="3" applyNumberFormat="1" applyFont="1" applyBorder="1"/>
    <xf numFmtId="14" fontId="21" fillId="0" borderId="5" xfId="3" applyNumberFormat="1" applyFont="1" applyBorder="1"/>
    <xf numFmtId="165" fontId="8" fillId="0" borderId="0" xfId="2" applyNumberFormat="1" applyFont="1" applyAlignment="1">
      <alignment horizontal="left"/>
    </xf>
    <xf numFmtId="167" fontId="3" fillId="0" borderId="0" xfId="1" applyNumberFormat="1"/>
    <xf numFmtId="168" fontId="8" fillId="0" borderId="0" xfId="0" applyNumberFormat="1" applyFont="1" applyAlignment="1">
      <alignment horizontal="center" vertical="center"/>
    </xf>
    <xf numFmtId="168" fontId="8" fillId="0" borderId="3" xfId="0" applyNumberFormat="1" applyFont="1" applyBorder="1" applyAlignment="1">
      <alignment horizontal="center" vertical="center"/>
    </xf>
    <xf numFmtId="168" fontId="0" fillId="0" borderId="0" xfId="0" applyNumberFormat="1"/>
    <xf numFmtId="0" fontId="32" fillId="0" borderId="0" xfId="0" applyFont="1" applyAlignment="1">
      <alignment horizontal="left"/>
    </xf>
    <xf numFmtId="167" fontId="33" fillId="0" borderId="0" xfId="1" applyNumberFormat="1" applyFont="1"/>
    <xf numFmtId="178" fontId="7" fillId="0" borderId="0" xfId="3" applyNumberFormat="1" applyFont="1"/>
    <xf numFmtId="3" fontId="4" fillId="0" borderId="0" xfId="3" applyNumberFormat="1" applyFont="1"/>
    <xf numFmtId="14" fontId="7" fillId="0" borderId="0" xfId="3" applyNumberFormat="1" applyFont="1" applyAlignment="1">
      <alignment horizontal="left" vertical="center"/>
    </xf>
    <xf numFmtId="0" fontId="7" fillId="0" borderId="0" xfId="3" applyFont="1" applyAlignment="1">
      <alignment horizontal="left" vertical="center"/>
    </xf>
    <xf numFmtId="165" fontId="6" fillId="3" borderId="15" xfId="0" applyNumberFormat="1" applyFont="1" applyFill="1" applyBorder="1" applyAlignment="1">
      <alignment horizontal="right"/>
    </xf>
    <xf numFmtId="165" fontId="6" fillId="3" borderId="26" xfId="0" applyNumberFormat="1" applyFont="1" applyFill="1" applyBorder="1" applyAlignment="1">
      <alignment horizontal="right"/>
    </xf>
    <xf numFmtId="165" fontId="6" fillId="3" borderId="11" xfId="0" applyNumberFormat="1" applyFont="1" applyFill="1" applyBorder="1"/>
    <xf numFmtId="165" fontId="6" fillId="3" borderId="12" xfId="0" applyNumberFormat="1" applyFont="1" applyFill="1" applyBorder="1"/>
    <xf numFmtId="0" fontId="7" fillId="0" borderId="0" xfId="0" applyFont="1" applyAlignment="1">
      <alignment horizontal="left" vertical="center"/>
    </xf>
    <xf numFmtId="169" fontId="13" fillId="0" borderId="0" xfId="1" applyNumberFormat="1" applyFont="1"/>
    <xf numFmtId="191" fontId="3" fillId="0" borderId="0" xfId="1" applyNumberFormat="1"/>
    <xf numFmtId="0" fontId="13" fillId="0" borderId="0" xfId="0" applyFont="1" applyAlignment="1">
      <alignment horizontal="left"/>
    </xf>
    <xf numFmtId="168" fontId="12" fillId="0" borderId="0" xfId="0" applyNumberFormat="1" applyFont="1"/>
    <xf numFmtId="169" fontId="12" fillId="0" borderId="0" xfId="0" applyNumberFormat="1" applyFont="1"/>
    <xf numFmtId="41" fontId="13" fillId="0" borderId="0" xfId="0" applyNumberFormat="1" applyFont="1" applyAlignment="1">
      <alignment horizontal="center" vertical="center"/>
    </xf>
    <xf numFmtId="41" fontId="11" fillId="0" borderId="0" xfId="1" applyNumberFormat="1" applyFont="1"/>
    <xf numFmtId="41" fontId="8" fillId="0" borderId="0" xfId="0" applyNumberFormat="1" applyFont="1" applyAlignment="1">
      <alignment horizontal="center" vertical="center"/>
    </xf>
    <xf numFmtId="41" fontId="8" fillId="0" borderId="0" xfId="0" applyNumberFormat="1" applyFont="1"/>
    <xf numFmtId="41" fontId="14" fillId="0" borderId="0" xfId="1" applyNumberFormat="1" applyFont="1"/>
    <xf numFmtId="41" fontId="13" fillId="0" borderId="0" xfId="1" applyNumberFormat="1" applyFont="1"/>
    <xf numFmtId="41" fontId="17" fillId="0" borderId="0" xfId="0" applyNumberFormat="1" applyFont="1" applyAlignment="1">
      <alignment horizontal="center" vertical="center"/>
    </xf>
    <xf numFmtId="41" fontId="9" fillId="0" borderId="0" xfId="0" applyNumberFormat="1" applyFont="1" applyAlignment="1">
      <alignment horizontal="center" vertical="center"/>
    </xf>
    <xf numFmtId="41" fontId="11" fillId="0" borderId="0" xfId="0" applyNumberFormat="1" applyFont="1"/>
    <xf numFmtId="41" fontId="20" fillId="0" borderId="0" xfId="0" applyNumberFormat="1" applyFont="1" applyAlignment="1">
      <alignment horizontal="center" vertical="center"/>
    </xf>
    <xf numFmtId="41" fontId="14" fillId="0" borderId="0" xfId="0" applyNumberFormat="1" applyFont="1" applyAlignment="1">
      <alignment horizontal="center" vertical="center"/>
    </xf>
    <xf numFmtId="9" fontId="3" fillId="0" borderId="0" xfId="2"/>
    <xf numFmtId="41" fontId="14" fillId="0" borderId="3" xfId="1" applyNumberFormat="1" applyFont="1" applyBorder="1"/>
    <xf numFmtId="9" fontId="33" fillId="0" borderId="0" xfId="2" applyFont="1"/>
    <xf numFmtId="165" fontId="11" fillId="0" borderId="3" xfId="2" applyNumberFormat="1" applyFont="1" applyBorder="1"/>
    <xf numFmtId="165" fontId="6" fillId="0" borderId="0" xfId="0" applyNumberFormat="1" applyFont="1"/>
    <xf numFmtId="165" fontId="33" fillId="0" borderId="0" xfId="2" applyNumberFormat="1" applyFont="1"/>
    <xf numFmtId="165" fontId="34" fillId="0" borderId="0" xfId="2" applyNumberFormat="1" applyFont="1"/>
    <xf numFmtId="168" fontId="13" fillId="0" borderId="0" xfId="0" applyNumberFormat="1" applyFont="1" applyAlignment="1">
      <alignment horizontal="center" vertical="center"/>
    </xf>
    <xf numFmtId="0" fontId="1" fillId="0" borderId="0" xfId="3" applyFont="1"/>
    <xf numFmtId="37" fontId="1" fillId="0" borderId="0" xfId="3" applyNumberFormat="1" applyFont="1" applyAlignment="1">
      <alignment horizontal="right"/>
    </xf>
    <xf numFmtId="167" fontId="14" fillId="0" borderId="3" xfId="1" applyNumberFormat="1" applyFont="1" applyBorder="1"/>
    <xf numFmtId="167" fontId="13" fillId="0" borderId="0" xfId="0" applyNumberFormat="1" applyFont="1" applyAlignment="1">
      <alignment horizontal="center" vertical="center"/>
    </xf>
    <xf numFmtId="167" fontId="34" fillId="0" borderId="0" xfId="1" applyNumberFormat="1" applyFont="1"/>
    <xf numFmtId="167" fontId="14" fillId="0" borderId="0" xfId="0" applyNumberFormat="1" applyFont="1" applyAlignment="1">
      <alignment horizontal="center" vertical="center"/>
    </xf>
    <xf numFmtId="167" fontId="14" fillId="0" borderId="0" xfId="1" applyNumberFormat="1" applyFont="1"/>
    <xf numFmtId="174" fontId="0" fillId="0" borderId="0" xfId="0" quotePrefix="1" applyNumberFormat="1"/>
    <xf numFmtId="192" fontId="4" fillId="0" borderId="0" xfId="3" applyNumberFormat="1" applyFont="1" applyAlignment="1">
      <alignment horizontal="right"/>
    </xf>
    <xf numFmtId="165" fontId="6" fillId="3" borderId="27" xfId="0" applyNumberFormat="1" applyFont="1" applyFill="1" applyBorder="1"/>
    <xf numFmtId="179" fontId="6" fillId="0" borderId="0" xfId="3" applyNumberFormat="1" applyFont="1"/>
    <xf numFmtId="179" fontId="31" fillId="3" borderId="27" xfId="3" applyNumberFormat="1" applyFont="1" applyFill="1" applyBorder="1"/>
    <xf numFmtId="0" fontId="4" fillId="0" borderId="0" xfId="0" applyFont="1"/>
    <xf numFmtId="41" fontId="19" fillId="0" borderId="0" xfId="0" applyNumberFormat="1" applyFont="1"/>
  </cellXfs>
  <cellStyles count="6">
    <cellStyle name="Comma" xfId="1" builtinId="3"/>
    <cellStyle name="Hyperlink" xfId="5" builtinId="8"/>
    <cellStyle name="Normal" xfId="0" builtinId="0"/>
    <cellStyle name="Normal 2" xfId="3" xr:uid="{937EC6E3-AE83-4BBC-ACEF-6FAAD38BC45D}"/>
    <cellStyle name="Normal_DCF_Model" xfId="4" xr:uid="{EB47B55B-6DFA-4D8F-B164-61C0BEC4F72F}"/>
    <cellStyle name="Percent" xfId="2" builtinId="5"/>
  </cellStyles>
  <dxfs count="3">
    <dxf>
      <font>
        <b/>
        <i val="0"/>
      </font>
      <fill>
        <patternFill patternType="solid">
          <bgColor theme="2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  <border>
        <left/>
        <right/>
        <top style="thin">
          <color rgb="FF9C0006"/>
        </top>
        <bottom style="thin">
          <color rgb="FF9C0006"/>
        </bottom>
        <vertical/>
        <horizontal/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F4F"/>
      <rgbColor rgb="FF222A35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DCF Equity Valuation Range 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4.4x-6.4x Exit EBITDA Range at 20.0% WACC</c:v>
                </c:pt>
                <c:pt idx="1">
                  <c:v>DCF Value at 9.0%-11.0% Perpetuity Range at 20.0%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DCF!$C$128:$C$130</c:f>
              <c:numCache>
                <c:formatCode>#,##0.00_);\(#,##0.00\)</c:formatCode>
                <c:ptCount val="3"/>
                <c:pt idx="0">
                  <c:v>59.713976108088559</c:v>
                </c:pt>
                <c:pt idx="1">
                  <c:v>64.83263713524029</c:v>
                </c:pt>
                <c:pt idx="2">
                  <c:v>62.03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83-4E91-8D66-944AAAC33F38}"/>
            </c:ext>
          </c:extLst>
        </c:ser>
        <c:ser>
          <c:idx val="1"/>
          <c:order val="1"/>
          <c:invertIfNegative val="0"/>
          <c:cat>
            <c:strRef>
              <c:f>DCF!$B$128:$B$130</c:f>
              <c:strCache>
                <c:ptCount val="3"/>
                <c:pt idx="0">
                  <c:v>DCF Value at 4.4x-6.4x Exit EBITDA Range at 20.0% WACC</c:v>
                </c:pt>
                <c:pt idx="1">
                  <c:v>DCF Value at 9.0%-11.0% Perpetuity Range at 20.0%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DCF!$D$128:$D$130</c:f>
              <c:numCache>
                <c:formatCode>#,##0.00_);\(#,##0.00\)</c:formatCode>
                <c:ptCount val="3"/>
                <c:pt idx="0">
                  <c:v>11.298196113327634</c:v>
                </c:pt>
                <c:pt idx="1">
                  <c:v>6.0256864962600218</c:v>
                </c:pt>
                <c:pt idx="2">
                  <c:v>30.97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83-4E91-8D66-944AAAC33F38}"/>
            </c:ext>
          </c:extLst>
        </c:ser>
        <c:ser>
          <c:idx val="2"/>
          <c:order val="2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4.4x-6.4x Exit EBITDA Range at 20.0% WACC</c:v>
                </c:pt>
                <c:pt idx="1">
                  <c:v>DCF Value at 9.0%-11.0% Perpetuity Range at 20.0%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DCF!$E$128:$E$130</c:f>
              <c:numCache>
                <c:formatCode>#,##0.00_);\(#,##0.00\)</c:formatCode>
                <c:ptCount val="3"/>
                <c:pt idx="0">
                  <c:v>71.012172221416193</c:v>
                </c:pt>
                <c:pt idx="1">
                  <c:v>70.858323631500312</c:v>
                </c:pt>
                <c:pt idx="2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83-4E91-8D66-944AAAC33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400"/>
          <c:min val="100"/>
        </c:scaling>
        <c:delete val="0"/>
        <c:axPos val="l"/>
        <c:numFmt formatCode="#,##0.00_);\(#,##0.00\)" sourceLinked="1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LTM EBITDA Multiple Range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20.0% WACC</c:v>
                </c:pt>
                <c:pt idx="1">
                  <c:v>LTM EBITDA Purchase Multiple at 4.7x-5.5x Exit EBITDA Multiple at 20.0% WACC</c:v>
                </c:pt>
                <c:pt idx="2">
                  <c:v>LTM EBITDA Purchase Multiple at 18.0%-22.0% WACC at 5.4x Exit EBITDA</c:v>
                </c:pt>
              </c:strCache>
            </c:strRef>
          </c:cat>
          <c:val>
            <c:numRef>
              <c:f>DCF!$O$128:$O$130</c:f>
              <c:numCache>
                <c:formatCode>#,##0.00_);\(#,##0.00\)</c:formatCode>
                <c:ptCount val="3"/>
                <c:pt idx="0">
                  <c:v>5.0653761799962345</c:v>
                </c:pt>
                <c:pt idx="1">
                  <c:v>4.7118782212931309</c:v>
                </c:pt>
                <c:pt idx="2">
                  <c:v>4.0334076305724631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5-4FE9-8BD7-0E0161403D7A}"/>
            </c:ext>
          </c:extLst>
        </c:ser>
        <c:ser>
          <c:idx val="1"/>
          <c:order val="1"/>
          <c:spPr>
            <a:solidFill>
              <a:schemeClr val="tx2"/>
            </a:solidFill>
          </c:spPr>
          <c:invertIfNegative val="0"/>
          <c:cat>
            <c:strRef>
              <c:f>DCF!$G$128:$G$130</c:f>
              <c:strCache>
                <c:ptCount val="3"/>
                <c:pt idx="0">
                  <c:v>LTM EBITDA Purchase Multiple at 9.0%-11.0% Perpetuity Growth at 20.0% WACC</c:v>
                </c:pt>
                <c:pt idx="1">
                  <c:v>LTM EBITDA Purchase Multiple at 4.7x-5.5x Exit EBITDA Multiple at 20.0% WACC</c:v>
                </c:pt>
                <c:pt idx="2">
                  <c:v>LTM EBITDA Purchase Multiple at 18.0%-22.0% WACC at 5.4x Exit EBITDA</c:v>
                </c:pt>
              </c:strCache>
            </c:strRef>
          </c:cat>
          <c:val>
            <c:numRef>
              <c:f>DCF!$P$128:$P$130</c:f>
              <c:numCache>
                <c:formatCode>#,##0.00_);\(#,##0.00\)</c:formatCode>
                <c:ptCount val="3"/>
                <c:pt idx="0">
                  <c:v>0.41613770963029406</c:v>
                </c:pt>
                <c:pt idx="1">
                  <c:v>0.78026054898013975</c:v>
                </c:pt>
                <c:pt idx="2">
                  <c:v>0.60369636529203419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D5-4FE9-8BD7-0E0161403D7A}"/>
            </c:ext>
          </c:extLst>
        </c:ser>
        <c:ser>
          <c:idx val="2"/>
          <c:order val="2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20.0% WACC</c:v>
                </c:pt>
                <c:pt idx="1">
                  <c:v>LTM EBITDA Purchase Multiple at 4.7x-5.5x Exit EBITDA Multiple at 20.0% WACC</c:v>
                </c:pt>
                <c:pt idx="2">
                  <c:v>LTM EBITDA Purchase Multiple at 18.0%-22.0% WACC at 5.4x Exit EBITDA</c:v>
                </c:pt>
              </c:strCache>
            </c:strRef>
          </c:cat>
          <c:val>
            <c:numRef>
              <c:f>DCF!$Q$128:$Q$130</c:f>
              <c:numCache>
                <c:formatCode>#,##0.00_);\(#,##0.00\)</c:formatCode>
                <c:ptCount val="3"/>
                <c:pt idx="0">
                  <c:v>5.4815138896265285</c:v>
                </c:pt>
                <c:pt idx="1">
                  <c:v>5.4921387702732707</c:v>
                </c:pt>
                <c:pt idx="2">
                  <c:v>4.6371039958644973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D5-4FE9-8BD7-0E0161403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20"/>
          <c:min val="10"/>
        </c:scaling>
        <c:delete val="0"/>
        <c:axPos val="l"/>
        <c:numFmt formatCode="#,##0.0\x;\-#,##0.0\x" sourceLinked="0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53578</xdr:colOff>
      <xdr:row>106</xdr:row>
      <xdr:rowOff>149424</xdr:rowOff>
    </xdr:from>
    <xdr:to>
      <xdr:col>4</xdr:col>
      <xdr:colOff>654844</xdr:colOff>
      <xdr:row>125</xdr:row>
      <xdr:rowOff>53578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529BCA-2888-434E-AC7E-5B03FCA5B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47228</xdr:colOff>
      <xdr:row>106</xdr:row>
      <xdr:rowOff>149424</xdr:rowOff>
    </xdr:from>
    <xdr:to>
      <xdr:col>15</xdr:col>
      <xdr:colOff>657225</xdr:colOff>
      <xdr:row>125</xdr:row>
      <xdr:rowOff>47228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38233F-A324-4062-8E99-2AF6A530E0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68"/>
  <sheetViews>
    <sheetView showGridLines="0" tabSelected="1" zoomScaleNormal="100" workbookViewId="0">
      <selection activeCell="D5" sqref="D5"/>
    </sheetView>
  </sheetViews>
  <sheetFormatPr defaultColWidth="9.140625" defaultRowHeight="15" x14ac:dyDescent="0.25"/>
  <cols>
    <col min="1" max="2" width="1.7109375" style="8" customWidth="1"/>
    <col min="3" max="3" width="66.42578125" style="8" bestFit="1" customWidth="1"/>
    <col min="4" max="4" width="17.140625" style="9" customWidth="1"/>
    <col min="5" max="11" width="17.140625" style="8" customWidth="1"/>
    <col min="12" max="12" width="2.7109375" style="8" customWidth="1"/>
    <col min="13" max="16384" width="9.140625" style="8"/>
  </cols>
  <sheetData>
    <row r="1" spans="3:11" ht="15" customHeight="1" thickBot="1" x14ac:dyDescent="0.3"/>
    <row r="2" spans="3:11" ht="15.75" thickBot="1" x14ac:dyDescent="0.3">
      <c r="C2" s="2" t="str">
        <f>Company_Name&amp;" - Financial Statement Model"</f>
        <v>El Sewedy Electric Co SAE (SWDY) - Financial Statement Model</v>
      </c>
      <c r="D2" s="10"/>
      <c r="E2" s="10"/>
      <c r="F2" s="10"/>
      <c r="G2" s="10"/>
      <c r="H2" s="10"/>
      <c r="I2" s="10"/>
      <c r="J2" s="10"/>
      <c r="K2" s="10"/>
    </row>
    <row r="3" spans="3:11" x14ac:dyDescent="0.25">
      <c r="C3" s="3" t="s">
        <v>156</v>
      </c>
      <c r="D3" s="11"/>
      <c r="E3" s="11"/>
      <c r="F3" s="11"/>
      <c r="G3" s="11"/>
      <c r="H3" s="11"/>
    </row>
    <row r="4" spans="3:11" ht="15" customHeight="1" x14ac:dyDescent="0.25"/>
    <row r="5" spans="3:11" x14ac:dyDescent="0.25">
      <c r="C5" s="4" t="s">
        <v>0</v>
      </c>
      <c r="D5" s="225" t="s">
        <v>168</v>
      </c>
    </row>
    <row r="6" spans="3:11" x14ac:dyDescent="0.25">
      <c r="C6" s="4" t="s">
        <v>1</v>
      </c>
      <c r="D6" s="5" t="s">
        <v>169</v>
      </c>
    </row>
    <row r="7" spans="3:11" x14ac:dyDescent="0.25">
      <c r="C7" s="8" t="s">
        <v>31</v>
      </c>
      <c r="D7" s="183">
        <f>DCF!H5</f>
        <v>91.19</v>
      </c>
    </row>
    <row r="8" spans="3:11" x14ac:dyDescent="0.25">
      <c r="C8" s="8" t="s">
        <v>32</v>
      </c>
      <c r="D8" s="6">
        <v>46174</v>
      </c>
    </row>
    <row r="9" spans="3:11" x14ac:dyDescent="0.25">
      <c r="C9" s="4" t="s">
        <v>2</v>
      </c>
      <c r="D9" s="7">
        <v>46022</v>
      </c>
    </row>
    <row r="10" spans="3:11" ht="15" customHeight="1" x14ac:dyDescent="0.25">
      <c r="C10" s="8" t="s">
        <v>33</v>
      </c>
      <c r="D10" s="211">
        <v>2139355716</v>
      </c>
    </row>
    <row r="11" spans="3:11" ht="15" customHeight="1" x14ac:dyDescent="0.25"/>
    <row r="12" spans="3:11" customFormat="1" x14ac:dyDescent="0.25">
      <c r="C12" s="52" t="s">
        <v>47</v>
      </c>
      <c r="D12" s="53"/>
      <c r="E12" s="53"/>
      <c r="F12" s="53"/>
      <c r="G12" s="53"/>
      <c r="H12" s="53"/>
      <c r="I12" s="53"/>
      <c r="J12" s="53"/>
      <c r="K12" s="53"/>
    </row>
    <row r="13" spans="3:11" customFormat="1" x14ac:dyDescent="0.25">
      <c r="C13" t="s">
        <v>48</v>
      </c>
      <c r="D13" s="54">
        <f>E13-1</f>
        <v>2023</v>
      </c>
      <c r="E13" s="54">
        <f>F13-1</f>
        <v>2024</v>
      </c>
      <c r="F13" s="54">
        <f>YEAR(D9)</f>
        <v>2025</v>
      </c>
      <c r="G13" s="55">
        <f>F13+1</f>
        <v>2026</v>
      </c>
      <c r="H13" s="55">
        <f>G13+1</f>
        <v>2027</v>
      </c>
      <c r="I13" s="55">
        <f>H13+1</f>
        <v>2028</v>
      </c>
      <c r="J13" s="55">
        <f>I13+1</f>
        <v>2029</v>
      </c>
      <c r="K13" s="55">
        <f>J13+1</f>
        <v>2030</v>
      </c>
    </row>
    <row r="14" spans="3:11" customFormat="1" x14ac:dyDescent="0.25">
      <c r="C14" s="56" t="s">
        <v>49</v>
      </c>
      <c r="D14" s="57">
        <f>EOMONTH(E14,-12)</f>
        <v>45291</v>
      </c>
      <c r="E14" s="57">
        <f>EOMONTH(F14,-12)</f>
        <v>45657</v>
      </c>
      <c r="F14" s="57">
        <f>D9</f>
        <v>46022</v>
      </c>
      <c r="G14" s="57">
        <f>EOMONTH(F14,12)</f>
        <v>46387</v>
      </c>
      <c r="H14" s="57">
        <f>EOMONTH(G14,12)</f>
        <v>46752</v>
      </c>
      <c r="I14" s="57">
        <f>EOMONTH(H14,12)</f>
        <v>47118</v>
      </c>
      <c r="J14" s="57">
        <f>EOMONTH(I14,12)</f>
        <v>47483</v>
      </c>
      <c r="K14" s="57">
        <f>EOMONTH(J14,12)</f>
        <v>47848</v>
      </c>
    </row>
    <row r="15" spans="3:11" ht="15" customHeight="1" x14ac:dyDescent="0.25"/>
    <row r="16" spans="3:11" ht="15" customHeight="1" x14ac:dyDescent="0.25">
      <c r="C16" s="8" t="s">
        <v>170</v>
      </c>
      <c r="D16" s="13">
        <v>152186247545</v>
      </c>
      <c r="E16" s="13">
        <v>231981835577</v>
      </c>
      <c r="F16" s="13">
        <v>281049081719</v>
      </c>
      <c r="G16" s="12">
        <f>G184</f>
        <v>333891318706.56006</v>
      </c>
      <c r="H16" s="12">
        <f t="shared" ref="H16:K16" si="0">H184</f>
        <v>386095863773.10168</v>
      </c>
      <c r="I16" s="12">
        <f t="shared" si="0"/>
        <v>435287219104.55676</v>
      </c>
      <c r="J16" s="12">
        <f t="shared" si="0"/>
        <v>481130186978.84436</v>
      </c>
      <c r="K16" s="12">
        <f t="shared" si="0"/>
        <v>524598716826.12708</v>
      </c>
    </row>
    <row r="17" spans="3:11" ht="15" customHeight="1" x14ac:dyDescent="0.25">
      <c r="C17" s="8" t="s">
        <v>171</v>
      </c>
      <c r="D17" s="13">
        <v>-123108958742</v>
      </c>
      <c r="E17" s="13">
        <v>-188083314674</v>
      </c>
      <c r="F17" s="13">
        <v>-240286973532</v>
      </c>
      <c r="G17" s="14">
        <f>-G16*(1-G44)</f>
        <v>-283807620900.57605</v>
      </c>
      <c r="H17" s="14">
        <f t="shared" ref="H17:K17" si="1">-H16*(1-H44)</f>
        <v>-328181484207.13641</v>
      </c>
      <c r="I17" s="14">
        <f t="shared" si="1"/>
        <v>-369994136238.87323</v>
      </c>
      <c r="J17" s="14">
        <f t="shared" si="1"/>
        <v>-408960658932.0177</v>
      </c>
      <c r="K17" s="14">
        <f t="shared" si="1"/>
        <v>-445908909302.20801</v>
      </c>
    </row>
    <row r="18" spans="3:11" s="18" customFormat="1" ht="15" customHeight="1" x14ac:dyDescent="0.25">
      <c r="C18" s="15" t="s">
        <v>172</v>
      </c>
      <c r="D18" s="16">
        <f>SUM(D16:D17)</f>
        <v>29077288803</v>
      </c>
      <c r="E18" s="16">
        <f t="shared" ref="E18:K18" si="2">SUM(E16:E17)</f>
        <v>43898520903</v>
      </c>
      <c r="F18" s="16">
        <f t="shared" si="2"/>
        <v>40762108187</v>
      </c>
      <c r="G18" s="16">
        <f t="shared" si="2"/>
        <v>50083697805.984009</v>
      </c>
      <c r="H18" s="16">
        <f t="shared" si="2"/>
        <v>57914379565.965271</v>
      </c>
      <c r="I18" s="16">
        <f t="shared" si="2"/>
        <v>65293082865.683533</v>
      </c>
      <c r="J18" s="16">
        <f t="shared" si="2"/>
        <v>72169528046.82666</v>
      </c>
      <c r="K18" s="16">
        <f t="shared" si="2"/>
        <v>78689807523.919067</v>
      </c>
    </row>
    <row r="19" spans="3:11" s="21" customFormat="1" ht="15" customHeight="1" x14ac:dyDescent="0.25">
      <c r="C19" s="210" t="s">
        <v>173</v>
      </c>
      <c r="D19" s="216">
        <v>1377419685</v>
      </c>
      <c r="E19" s="216">
        <v>3943112948</v>
      </c>
      <c r="F19" s="216">
        <v>3195926771</v>
      </c>
      <c r="G19" s="20">
        <f>G16*G45</f>
        <v>3338913187.0656009</v>
      </c>
      <c r="H19" s="20">
        <f t="shared" ref="H19:K19" si="3">H16*H45</f>
        <v>3860958637.7310171</v>
      </c>
      <c r="I19" s="20">
        <f t="shared" si="3"/>
        <v>4352872191.0455675</v>
      </c>
      <c r="J19" s="20">
        <f t="shared" si="3"/>
        <v>4811301869.7884436</v>
      </c>
      <c r="K19" s="20">
        <f t="shared" si="3"/>
        <v>5245987168.2612705</v>
      </c>
    </row>
    <row r="20" spans="3:11" s="21" customFormat="1" ht="15" customHeight="1" x14ac:dyDescent="0.25">
      <c r="C20" s="210" t="s">
        <v>174</v>
      </c>
      <c r="D20" s="216">
        <v>-2670371570</v>
      </c>
      <c r="E20" s="216">
        <v>-4585404666</v>
      </c>
      <c r="F20" s="216">
        <v>-6518723502</v>
      </c>
      <c r="G20" s="20">
        <f>-G16*G46</f>
        <v>-7679500330.2508812</v>
      </c>
      <c r="H20" s="20">
        <f t="shared" ref="H20:K20" si="4">-H16*H46</f>
        <v>-8880204866.7813377</v>
      </c>
      <c r="I20" s="20">
        <f t="shared" si="4"/>
        <v>-10011606039.404806</v>
      </c>
      <c r="J20" s="20">
        <f t="shared" si="4"/>
        <v>-11065994300.51342</v>
      </c>
      <c r="K20" s="20">
        <f t="shared" si="4"/>
        <v>-12065770487.000923</v>
      </c>
    </row>
    <row r="21" spans="3:11" s="21" customFormat="1" ht="15" customHeight="1" x14ac:dyDescent="0.25">
      <c r="C21" s="210" t="s">
        <v>175</v>
      </c>
      <c r="D21" s="216">
        <v>-5977797154</v>
      </c>
      <c r="E21" s="216">
        <v>-7584862689</v>
      </c>
      <c r="F21" s="216">
        <v>-9643611043</v>
      </c>
      <c r="G21" s="20">
        <f>-G16*G47</f>
        <v>-11352304836.023043</v>
      </c>
      <c r="H21" s="20">
        <f t="shared" ref="H21:K21" si="5">-H16*H47</f>
        <v>-13127259368.285458</v>
      </c>
      <c r="I21" s="20">
        <f t="shared" si="5"/>
        <v>-14799765449.554932</v>
      </c>
      <c r="J21" s="20">
        <f t="shared" si="5"/>
        <v>-16358426357.28071</v>
      </c>
      <c r="K21" s="20">
        <f t="shared" si="5"/>
        <v>-17836356372.088322</v>
      </c>
    </row>
    <row r="22" spans="3:11" s="21" customFormat="1" ht="15" customHeight="1" x14ac:dyDescent="0.25">
      <c r="C22" s="210" t="s">
        <v>176</v>
      </c>
      <c r="D22" s="216">
        <v>-502542890</v>
      </c>
      <c r="E22" s="216">
        <v>-1310362947</v>
      </c>
      <c r="F22" s="216">
        <v>-961837453</v>
      </c>
      <c r="G22" s="20">
        <f>-G16*G48</f>
        <v>-1168619615.4729602</v>
      </c>
      <c r="H22" s="20">
        <f t="shared" ref="H22:K22" si="6">-H16*H48</f>
        <v>-1351335523.2058558</v>
      </c>
      <c r="I22" s="20">
        <f t="shared" si="6"/>
        <v>-1523505266.8659487</v>
      </c>
      <c r="J22" s="20">
        <f t="shared" si="6"/>
        <v>-1683955654.4259553</v>
      </c>
      <c r="K22" s="20">
        <f t="shared" si="6"/>
        <v>-1836095508.8914447</v>
      </c>
    </row>
    <row r="23" spans="3:11" s="21" customFormat="1" ht="15" customHeight="1" x14ac:dyDescent="0.25">
      <c r="C23" s="210" t="s">
        <v>177</v>
      </c>
      <c r="D23" s="216">
        <v>-3564878625</v>
      </c>
      <c r="E23" s="216">
        <v>-5019284405</v>
      </c>
      <c r="F23" s="216">
        <v>-1479637341</v>
      </c>
      <c r="G23" s="20">
        <f>-G16*G49</f>
        <v>-2003347912.2393603</v>
      </c>
      <c r="H23" s="20">
        <f t="shared" ref="H23:K23" si="7">-H16*H49</f>
        <v>-2316575182.6386104</v>
      </c>
      <c r="I23" s="20">
        <f t="shared" si="7"/>
        <v>-2611723314.6273408</v>
      </c>
      <c r="J23" s="20">
        <f t="shared" si="7"/>
        <v>-2886781121.8730664</v>
      </c>
      <c r="K23" s="20">
        <f t="shared" si="7"/>
        <v>-3147592300.9567623</v>
      </c>
    </row>
    <row r="24" spans="3:11" s="18" customFormat="1" ht="15" customHeight="1" x14ac:dyDescent="0.25">
      <c r="C24" s="22" t="s">
        <v>160</v>
      </c>
      <c r="D24" s="17">
        <f>SUM(D18:D23)</f>
        <v>17739118249</v>
      </c>
      <c r="E24" s="17">
        <f t="shared" ref="E24:K24" si="8">SUM(E18:E23)</f>
        <v>29341719144</v>
      </c>
      <c r="F24" s="17">
        <f t="shared" si="8"/>
        <v>25354225619</v>
      </c>
      <c r="G24" s="17">
        <f t="shared" si="8"/>
        <v>31218838299.063358</v>
      </c>
      <c r="H24" s="17">
        <f t="shared" si="8"/>
        <v>36099963262.785019</v>
      </c>
      <c r="I24" s="17">
        <f t="shared" si="8"/>
        <v>40699354986.276062</v>
      </c>
      <c r="J24" s="17">
        <f t="shared" si="8"/>
        <v>44985672482.521942</v>
      </c>
      <c r="K24" s="17">
        <f t="shared" si="8"/>
        <v>49049980023.242889</v>
      </c>
    </row>
    <row r="25" spans="3:11" ht="15" customHeight="1" x14ac:dyDescent="0.25">
      <c r="C25" s="25" t="s">
        <v>178</v>
      </c>
      <c r="D25" s="216">
        <v>2818868796</v>
      </c>
      <c r="E25" s="216">
        <v>4247625658</v>
      </c>
      <c r="F25" s="216">
        <v>3713003271</v>
      </c>
      <c r="G25" s="254">
        <f>G231</f>
        <v>3412457545.9200001</v>
      </c>
      <c r="H25" s="254">
        <f t="shared" ref="H25:K25" si="9">H231</f>
        <v>2797225797.6286416</v>
      </c>
      <c r="I25" s="254">
        <f t="shared" si="9"/>
        <v>2519882636.2710319</v>
      </c>
      <c r="J25" s="254">
        <f t="shared" si="9"/>
        <v>2795271529.2995687</v>
      </c>
      <c r="K25" s="254">
        <f t="shared" si="9"/>
        <v>3479537947.8203125</v>
      </c>
    </row>
    <row r="26" spans="3:11" ht="15" customHeight="1" x14ac:dyDescent="0.25">
      <c r="C26" s="25" t="s">
        <v>179</v>
      </c>
      <c r="D26" s="216">
        <v>-4943231073</v>
      </c>
      <c r="E26" s="216">
        <v>-7762991604</v>
      </c>
      <c r="F26" s="216">
        <v>-5858442026</v>
      </c>
      <c r="G26" s="254">
        <f>G230</f>
        <v>-5625829061.7299995</v>
      </c>
      <c r="H26" s="254">
        <f t="shared" ref="H26:K26" si="10">H230</f>
        <v>-5313283002.7450008</v>
      </c>
      <c r="I26" s="254">
        <f t="shared" si="10"/>
        <v>-5000736943.7600002</v>
      </c>
      <c r="J26" s="254">
        <f t="shared" si="10"/>
        <v>-5000736943.7600002</v>
      </c>
      <c r="K26" s="254">
        <f t="shared" si="10"/>
        <v>-5000736943.7600002</v>
      </c>
    </row>
    <row r="27" spans="3:11" s="18" customFormat="1" ht="15" customHeight="1" x14ac:dyDescent="0.25">
      <c r="C27" s="51" t="s">
        <v>180</v>
      </c>
      <c r="D27" s="43">
        <f>SUM(D25:D26)</f>
        <v>-2124362277</v>
      </c>
      <c r="E27" s="43">
        <f t="shared" ref="E27:K27" si="11">SUM(E25:E26)</f>
        <v>-3515365946</v>
      </c>
      <c r="F27" s="43">
        <f t="shared" si="11"/>
        <v>-2145438755</v>
      </c>
      <c r="G27" s="43">
        <f t="shared" si="11"/>
        <v>-2213371515.8099995</v>
      </c>
      <c r="H27" s="43">
        <f t="shared" si="11"/>
        <v>-2516057205.1163592</v>
      </c>
      <c r="I27" s="43">
        <f t="shared" si="11"/>
        <v>-2480854307.4889684</v>
      </c>
      <c r="J27" s="43">
        <f t="shared" si="11"/>
        <v>-2205465414.4604316</v>
      </c>
      <c r="K27" s="43">
        <f t="shared" si="11"/>
        <v>-1521198995.9396877</v>
      </c>
    </row>
    <row r="28" spans="3:11" ht="15" customHeight="1" x14ac:dyDescent="0.25">
      <c r="C28" s="25" t="s">
        <v>181</v>
      </c>
      <c r="D28" s="216">
        <v>603624972</v>
      </c>
      <c r="E28" s="216">
        <v>1132366257</v>
      </c>
      <c r="F28" s="216">
        <v>1568902975</v>
      </c>
      <c r="G28" s="28">
        <f>G262</f>
        <v>1486683111.54</v>
      </c>
      <c r="H28" s="28">
        <f t="shared" ref="H28:K28" si="12">H262</f>
        <v>1682925282.2632799</v>
      </c>
      <c r="I28" s="28">
        <f t="shared" si="12"/>
        <v>1905071419.5220327</v>
      </c>
      <c r="J28" s="28">
        <f t="shared" si="12"/>
        <v>2156540846.8989415</v>
      </c>
      <c r="K28" s="28">
        <f t="shared" si="12"/>
        <v>2441204238.6896014</v>
      </c>
    </row>
    <row r="29" spans="3:11" s="18" customFormat="1" ht="15" customHeight="1" x14ac:dyDescent="0.25">
      <c r="C29" s="22" t="s">
        <v>182</v>
      </c>
      <c r="D29" s="17">
        <f>D24+D27+D28</f>
        <v>16218380944</v>
      </c>
      <c r="E29" s="17">
        <f t="shared" ref="E29:K29" si="13">E24+E27+E28</f>
        <v>26958719455</v>
      </c>
      <c r="F29" s="17">
        <f t="shared" si="13"/>
        <v>24777689839</v>
      </c>
      <c r="G29" s="17">
        <f t="shared" si="13"/>
        <v>30492149894.793358</v>
      </c>
      <c r="H29" s="17">
        <f t="shared" si="13"/>
        <v>35266831339.931938</v>
      </c>
      <c r="I29" s="17">
        <f t="shared" si="13"/>
        <v>40123572098.309128</v>
      </c>
      <c r="J29" s="17">
        <f t="shared" si="13"/>
        <v>44936747914.960449</v>
      </c>
      <c r="K29" s="17">
        <f t="shared" si="13"/>
        <v>49969985265.992798</v>
      </c>
    </row>
    <row r="30" spans="3:11" ht="15" customHeight="1" x14ac:dyDescent="0.25">
      <c r="C30" s="8" t="s">
        <v>183</v>
      </c>
      <c r="D30" s="216">
        <v>-5080406688</v>
      </c>
      <c r="E30" s="216">
        <v>-8121510082</v>
      </c>
      <c r="F30" s="216">
        <v>-5591139782</v>
      </c>
      <c r="G30" s="14">
        <f>G29*-G50</f>
        <v>-6860733726.3285055</v>
      </c>
      <c r="H30" s="14">
        <f t="shared" ref="H30:K30" si="14">H29*-H50</f>
        <v>-7935037051.4846859</v>
      </c>
      <c r="I30" s="14">
        <f t="shared" si="14"/>
        <v>-9027803722.1195545</v>
      </c>
      <c r="J30" s="14">
        <f t="shared" si="14"/>
        <v>-10110768280.866102</v>
      </c>
      <c r="K30" s="14">
        <f t="shared" si="14"/>
        <v>-11243246684.848379</v>
      </c>
    </row>
    <row r="31" spans="3:11" ht="15" customHeight="1" x14ac:dyDescent="0.25">
      <c r="C31" s="22" t="s">
        <v>184</v>
      </c>
      <c r="D31" s="252">
        <f>SUM(D29:D30)</f>
        <v>11137974256</v>
      </c>
      <c r="E31" s="252">
        <f t="shared" ref="E31:K31" si="15">SUM(E29:E30)</f>
        <v>18837209373</v>
      </c>
      <c r="F31" s="252">
        <f t="shared" si="15"/>
        <v>19186550057</v>
      </c>
      <c r="G31" s="252">
        <f t="shared" si="15"/>
        <v>23631416168.464851</v>
      </c>
      <c r="H31" s="252">
        <f t="shared" si="15"/>
        <v>27331794288.44725</v>
      </c>
      <c r="I31" s="252">
        <f t="shared" si="15"/>
        <v>31095768376.189575</v>
      </c>
      <c r="J31" s="252">
        <f t="shared" si="15"/>
        <v>34825979634.094345</v>
      </c>
      <c r="K31" s="252">
        <f t="shared" si="15"/>
        <v>38726738581.144417</v>
      </c>
    </row>
    <row r="32" spans="3:11" ht="15" customHeight="1" x14ac:dyDescent="0.25">
      <c r="C32" s="8" t="s">
        <v>185</v>
      </c>
      <c r="D32" s="12">
        <v>10115701777</v>
      </c>
      <c r="E32" s="12">
        <v>17461358714</v>
      </c>
      <c r="F32" s="12">
        <v>17330244990</v>
      </c>
      <c r="G32" s="12">
        <f>G31-G33</f>
        <v>21345068834.338329</v>
      </c>
      <c r="H32" s="12">
        <f t="shared" ref="H32:K32" si="16">H31-H33</f>
        <v>24687434146.727257</v>
      </c>
      <c r="I32" s="12">
        <f t="shared" si="16"/>
        <v>28087242495.950912</v>
      </c>
      <c r="J32" s="12">
        <f t="shared" si="16"/>
        <v>31456554580.296196</v>
      </c>
      <c r="K32" s="12">
        <f t="shared" si="16"/>
        <v>34979913808.426353</v>
      </c>
    </row>
    <row r="33" spans="3:11" ht="15" customHeight="1" x14ac:dyDescent="0.25">
      <c r="C33" s="8" t="s">
        <v>186</v>
      </c>
      <c r="D33" s="12">
        <v>1022272479</v>
      </c>
      <c r="E33" s="12">
        <v>1375850659</v>
      </c>
      <c r="F33" s="12">
        <v>1856305067</v>
      </c>
      <c r="G33" s="12">
        <f>G31*G51</f>
        <v>2286347334.1265225</v>
      </c>
      <c r="H33" s="12">
        <f t="shared" ref="H33:K33" si="17">H31*H51</f>
        <v>2644360141.7199945</v>
      </c>
      <c r="I33" s="12">
        <f t="shared" si="17"/>
        <v>3008525880.2386618</v>
      </c>
      <c r="J33" s="12">
        <f t="shared" si="17"/>
        <v>3369425053.798151</v>
      </c>
      <c r="K33" s="12">
        <f t="shared" si="17"/>
        <v>3746824772.7180634</v>
      </c>
    </row>
    <row r="34" spans="3:11" ht="15" customHeight="1" x14ac:dyDescent="0.25">
      <c r="D34" s="19"/>
      <c r="E34" s="19"/>
      <c r="F34" s="19"/>
      <c r="G34" s="14"/>
      <c r="H34" s="226"/>
      <c r="I34" s="226"/>
      <c r="J34" s="226"/>
      <c r="K34" s="226"/>
    </row>
    <row r="35" spans="3:11" ht="15" customHeight="1" x14ac:dyDescent="0.25">
      <c r="C35" s="25" t="s">
        <v>25</v>
      </c>
      <c r="D35" s="39">
        <f>D175</f>
        <v>2295986956</v>
      </c>
      <c r="E35" s="39">
        <f t="shared" ref="E35:K35" si="18">E175</f>
        <v>2259745806</v>
      </c>
      <c r="F35" s="39">
        <f t="shared" si="18"/>
        <v>3008977627</v>
      </c>
      <c r="G35" s="39">
        <f t="shared" si="18"/>
        <v>3419720744.8753099</v>
      </c>
      <c r="H35" s="39">
        <f t="shared" si="18"/>
        <v>4497049756.1958961</v>
      </c>
      <c r="I35" s="39">
        <f t="shared" si="18"/>
        <v>5452776582.4287443</v>
      </c>
      <c r="J35" s="39">
        <f t="shared" si="18"/>
        <v>6225889388.6999655</v>
      </c>
      <c r="K35" s="39">
        <f t="shared" si="18"/>
        <v>6766627486.945261</v>
      </c>
    </row>
    <row r="36" spans="3:11" s="18" customFormat="1" ht="15" customHeight="1" x14ac:dyDescent="0.25">
      <c r="C36" s="26" t="s">
        <v>26</v>
      </c>
      <c r="D36" s="19">
        <f>D35+D24</f>
        <v>20035105205</v>
      </c>
      <c r="E36" s="19">
        <f t="shared" ref="E36:K36" si="19">E35+E24</f>
        <v>31601464950</v>
      </c>
      <c r="F36" s="19">
        <f t="shared" si="19"/>
        <v>28363203246</v>
      </c>
      <c r="G36" s="19">
        <f t="shared" si="19"/>
        <v>34638559043.938667</v>
      </c>
      <c r="H36" s="19">
        <f t="shared" si="19"/>
        <v>40597013018.980911</v>
      </c>
      <c r="I36" s="19">
        <f t="shared" si="19"/>
        <v>46152131568.704803</v>
      </c>
      <c r="J36" s="19">
        <f t="shared" si="19"/>
        <v>51211561871.221909</v>
      </c>
      <c r="K36" s="19">
        <f t="shared" si="19"/>
        <v>55816607510.188148</v>
      </c>
    </row>
    <row r="37" spans="3:11" ht="15" customHeight="1" x14ac:dyDescent="0.25">
      <c r="C37" s="215" t="s">
        <v>157</v>
      </c>
      <c r="D37" s="21">
        <f>D36/D16</f>
        <v>0.1316485919601626</v>
      </c>
      <c r="E37" s="21">
        <f t="shared" ref="E37:K37" si="20">E36/E16</f>
        <v>0.13622387662981811</v>
      </c>
      <c r="F37" s="21">
        <f t="shared" si="20"/>
        <v>0.10091903902521286</v>
      </c>
      <c r="G37" s="21">
        <f t="shared" si="20"/>
        <v>0.10374201754667578</v>
      </c>
      <c r="H37" s="21">
        <f t="shared" si="20"/>
        <v>0.10514749529365251</v>
      </c>
      <c r="I37" s="21">
        <f t="shared" si="20"/>
        <v>0.10602684743109579</v>
      </c>
      <c r="J37" s="21">
        <f t="shared" si="20"/>
        <v>0.10644013461885259</v>
      </c>
      <c r="K37" s="21">
        <f t="shared" si="20"/>
        <v>0.1063986733476666</v>
      </c>
    </row>
    <row r="38" spans="3:11" ht="15" customHeight="1" x14ac:dyDescent="0.25">
      <c r="C38" s="26"/>
      <c r="D38" s="19"/>
      <c r="E38" s="19"/>
      <c r="F38" s="19"/>
      <c r="G38" s="19"/>
      <c r="H38" s="19"/>
      <c r="I38" s="19"/>
      <c r="J38" s="19"/>
      <c r="K38" s="19"/>
    </row>
    <row r="39" spans="3:11" ht="15" customHeight="1" x14ac:dyDescent="0.25">
      <c r="C39" s="27" t="s">
        <v>33</v>
      </c>
      <c r="D39" s="28">
        <f>$D$10</f>
        <v>2139355716</v>
      </c>
      <c r="E39" s="28">
        <f t="shared" ref="E39:K39" si="21">$D$10</f>
        <v>2139355716</v>
      </c>
      <c r="F39" s="28">
        <f t="shared" si="21"/>
        <v>2139355716</v>
      </c>
      <c r="G39" s="28">
        <f t="shared" si="21"/>
        <v>2139355716</v>
      </c>
      <c r="H39" s="28">
        <f t="shared" si="21"/>
        <v>2139355716</v>
      </c>
      <c r="I39" s="28">
        <f t="shared" si="21"/>
        <v>2139355716</v>
      </c>
      <c r="J39" s="28">
        <f t="shared" si="21"/>
        <v>2139355716</v>
      </c>
      <c r="K39" s="28">
        <f t="shared" si="21"/>
        <v>2139355716</v>
      </c>
    </row>
    <row r="40" spans="3:11" ht="15" customHeight="1" x14ac:dyDescent="0.25">
      <c r="C40" s="27" t="s">
        <v>46</v>
      </c>
      <c r="D40" s="29">
        <f>D32/D39</f>
        <v>4.7283870098580651</v>
      </c>
      <c r="E40" s="29">
        <f t="shared" ref="E40:K40" si="22">E32/E39</f>
        <v>8.1619707201604985</v>
      </c>
      <c r="F40" s="29">
        <f t="shared" si="22"/>
        <v>8.1006841734588839</v>
      </c>
      <c r="G40" s="29">
        <f t="shared" si="22"/>
        <v>9.9773350802304481</v>
      </c>
      <c r="H40" s="29">
        <f t="shared" si="22"/>
        <v>11.539658394390761</v>
      </c>
      <c r="I40" s="29">
        <f t="shared" si="22"/>
        <v>13.12883233297277</v>
      </c>
      <c r="J40" s="29">
        <f t="shared" si="22"/>
        <v>14.703751388811208</v>
      </c>
      <c r="K40" s="29">
        <f t="shared" si="22"/>
        <v>16.350676770027317</v>
      </c>
    </row>
    <row r="41" spans="3:11" ht="15" customHeight="1" x14ac:dyDescent="0.25">
      <c r="C41" s="23"/>
      <c r="D41" s="19"/>
      <c r="E41" s="19"/>
      <c r="F41" s="19"/>
      <c r="G41" s="227"/>
      <c r="H41" s="19"/>
      <c r="I41" s="19"/>
      <c r="J41" s="19"/>
      <c r="K41" s="19"/>
    </row>
    <row r="42" spans="3:11" ht="15" customHeight="1" x14ac:dyDescent="0.25">
      <c r="C42" s="30" t="s">
        <v>30</v>
      </c>
      <c r="D42" s="31"/>
      <c r="E42" s="31"/>
      <c r="F42" s="19"/>
      <c r="H42" s="31"/>
      <c r="I42" s="31"/>
      <c r="J42" s="31"/>
      <c r="K42" s="31"/>
    </row>
    <row r="43" spans="3:11" ht="15" customHeight="1" x14ac:dyDescent="0.25">
      <c r="C43" s="23" t="s">
        <v>27</v>
      </c>
      <c r="D43" s="32"/>
      <c r="E43" s="245">
        <f>E16/D16-1</f>
        <v>0.52432850746520465</v>
      </c>
      <c r="F43" s="245">
        <f t="shared" ref="F43" si="23">F16/E16-1</f>
        <v>0.21151331103125726</v>
      </c>
      <c r="G43" s="245">
        <f t="shared" ref="G43" si="24">G16/F16-1</f>
        <v>0.1880178247313864</v>
      </c>
      <c r="H43" s="245">
        <f t="shared" ref="H43" si="25">H16/G16-1</f>
        <v>0.15635190896478957</v>
      </c>
      <c r="I43" s="245">
        <f t="shared" ref="I43" si="26">I16/H16-1</f>
        <v>0.12740710260590493</v>
      </c>
      <c r="J43" s="245">
        <f t="shared" ref="J43" si="27">J16/I16-1</f>
        <v>0.10531659525541004</v>
      </c>
      <c r="K43" s="245">
        <f t="shared" ref="K43" si="28">K16/J16-1</f>
        <v>9.0346710773302696E-2</v>
      </c>
    </row>
    <row r="44" spans="3:11" ht="15" customHeight="1" x14ac:dyDescent="0.25">
      <c r="C44" s="23" t="s">
        <v>28</v>
      </c>
      <c r="D44" s="32">
        <f>D18/D16</f>
        <v>0.19106383968368842</v>
      </c>
      <c r="E44" s="32">
        <f t="shared" ref="E44:F44" si="29">E18/E16</f>
        <v>0.18923257846379568</v>
      </c>
      <c r="F44" s="32">
        <f t="shared" si="29"/>
        <v>0.14503555015260641</v>
      </c>
      <c r="G44" s="33">
        <v>0.15</v>
      </c>
      <c r="H44" s="33">
        <v>0.15</v>
      </c>
      <c r="I44" s="33">
        <v>0.15</v>
      </c>
      <c r="J44" s="33">
        <v>0.15</v>
      </c>
      <c r="K44" s="33">
        <v>0.15</v>
      </c>
    </row>
    <row r="45" spans="3:11" ht="15" customHeight="1" x14ac:dyDescent="0.25">
      <c r="C45" s="23" t="s">
        <v>262</v>
      </c>
      <c r="D45" s="32">
        <f>D19/D16</f>
        <v>9.0508814509846578E-3</v>
      </c>
      <c r="E45" s="32">
        <f t="shared" ref="E45:F45" si="30">E19/E16</f>
        <v>1.6997507318590004E-2</v>
      </c>
      <c r="F45" s="32">
        <f t="shared" si="30"/>
        <v>1.1371418655604678E-2</v>
      </c>
      <c r="G45" s="33">
        <v>0.01</v>
      </c>
      <c r="H45" s="33">
        <v>0.01</v>
      </c>
      <c r="I45" s="33">
        <v>0.01</v>
      </c>
      <c r="J45" s="33">
        <v>0.01</v>
      </c>
      <c r="K45" s="33">
        <v>0.01</v>
      </c>
    </row>
    <row r="46" spans="3:11" ht="15" customHeight="1" x14ac:dyDescent="0.25">
      <c r="C46" s="23" t="s">
        <v>263</v>
      </c>
      <c r="D46" s="32">
        <f>-D20/D16</f>
        <v>1.7546733775733559E-2</v>
      </c>
      <c r="E46" s="32">
        <f t="shared" ref="E46:F46" si="31">-E20/E16</f>
        <v>1.9766222879454717E-2</v>
      </c>
      <c r="F46" s="32">
        <f t="shared" si="31"/>
        <v>2.3194252982892096E-2</v>
      </c>
      <c r="G46" s="33">
        <v>2.3E-2</v>
      </c>
      <c r="H46" s="33">
        <v>2.3E-2</v>
      </c>
      <c r="I46" s="33">
        <v>2.3E-2</v>
      </c>
      <c r="J46" s="33">
        <v>2.3E-2</v>
      </c>
      <c r="K46" s="33">
        <v>2.3E-2</v>
      </c>
    </row>
    <row r="47" spans="3:11" ht="15" customHeight="1" x14ac:dyDescent="0.25">
      <c r="C47" s="23" t="s">
        <v>264</v>
      </c>
      <c r="D47" s="32">
        <f>-D21/D16</f>
        <v>3.927948320187357E-2</v>
      </c>
      <c r="E47" s="32">
        <f t="shared" ref="E47:F47" si="32">-E21/E16</f>
        <v>3.269593358520699E-2</v>
      </c>
      <c r="F47" s="32">
        <f t="shared" si="32"/>
        <v>3.4312907140689138E-2</v>
      </c>
      <c r="G47" s="33">
        <v>3.4000000000000002E-2</v>
      </c>
      <c r="H47" s="33">
        <v>3.4000000000000002E-2</v>
      </c>
      <c r="I47" s="33">
        <v>3.4000000000000002E-2</v>
      </c>
      <c r="J47" s="33">
        <v>3.4000000000000002E-2</v>
      </c>
      <c r="K47" s="33">
        <v>3.4000000000000002E-2</v>
      </c>
    </row>
    <row r="48" spans="3:11" ht="15" customHeight="1" x14ac:dyDescent="0.25">
      <c r="C48" s="23" t="s">
        <v>265</v>
      </c>
      <c r="D48" s="32">
        <f>-D22/D16</f>
        <v>3.3021570483982329E-3</v>
      </c>
      <c r="E48" s="32">
        <f t="shared" ref="E48:F48" si="33">-E22/E16</f>
        <v>5.6485584043284333E-3</v>
      </c>
      <c r="F48" s="32">
        <f t="shared" si="33"/>
        <v>3.4223113170021649E-3</v>
      </c>
      <c r="G48" s="33">
        <v>3.5000000000000001E-3</v>
      </c>
      <c r="H48" s="33">
        <v>3.5000000000000001E-3</v>
      </c>
      <c r="I48" s="33">
        <v>3.5000000000000001E-3</v>
      </c>
      <c r="J48" s="33">
        <v>3.5000000000000001E-3</v>
      </c>
      <c r="K48" s="33">
        <v>3.5000000000000001E-3</v>
      </c>
    </row>
    <row r="49" spans="3:11" ht="15" customHeight="1" x14ac:dyDescent="0.25">
      <c r="C49" s="23" t="s">
        <v>266</v>
      </c>
      <c r="D49" s="32">
        <f>-D23/D16</f>
        <v>2.3424446574555956E-2</v>
      </c>
      <c r="E49" s="32">
        <f t="shared" ref="E49:F49" si="34">-E23/E16</f>
        <v>2.1636540604637065E-2</v>
      </c>
      <c r="F49" s="32">
        <f t="shared" si="34"/>
        <v>5.2646937394350887E-3</v>
      </c>
      <c r="G49" s="33">
        <v>6.0000000000000001E-3</v>
      </c>
      <c r="H49" s="33">
        <v>6.0000000000000001E-3</v>
      </c>
      <c r="I49" s="33">
        <v>6.0000000000000001E-3</v>
      </c>
      <c r="J49" s="33">
        <v>6.0000000000000001E-3</v>
      </c>
      <c r="K49" s="33">
        <v>6.0000000000000001E-3</v>
      </c>
    </row>
    <row r="50" spans="3:11" ht="15" customHeight="1" x14ac:dyDescent="0.25">
      <c r="C50" s="23" t="s">
        <v>29</v>
      </c>
      <c r="D50" s="246">
        <f>-D30/D29</f>
        <v>0.31324992954241215</v>
      </c>
      <c r="E50" s="246">
        <f t="shared" ref="E50:F50" si="35">-E30/E29</f>
        <v>0.30125726466928732</v>
      </c>
      <c r="F50" s="246">
        <f t="shared" si="35"/>
        <v>0.22565218219817915</v>
      </c>
      <c r="G50" s="33">
        <v>0.22500000000000001</v>
      </c>
      <c r="H50" s="33">
        <v>0.22500000000000001</v>
      </c>
      <c r="I50" s="33">
        <v>0.22500000000000001</v>
      </c>
      <c r="J50" s="33">
        <v>0.22500000000000001</v>
      </c>
      <c r="K50" s="33">
        <v>0.22500000000000001</v>
      </c>
    </row>
    <row r="51" spans="3:11" ht="15" customHeight="1" x14ac:dyDescent="0.25">
      <c r="C51" s="23" t="s">
        <v>158</v>
      </c>
      <c r="D51" s="248">
        <f>D33/D31</f>
        <v>9.1782621821854565E-2</v>
      </c>
      <c r="E51" s="248">
        <f t="shared" ref="E51:F51" si="36">E33/E31</f>
        <v>7.3038985327203113E-2</v>
      </c>
      <c r="F51" s="248">
        <f t="shared" si="36"/>
        <v>9.6750330908122156E-2</v>
      </c>
      <c r="G51" s="248">
        <f>F51</f>
        <v>9.6750330908122156E-2</v>
      </c>
      <c r="H51" s="248">
        <f t="shared" ref="H51:K51" si="37">G51</f>
        <v>9.6750330908122156E-2</v>
      </c>
      <c r="I51" s="248">
        <f t="shared" si="37"/>
        <v>9.6750330908122156E-2</v>
      </c>
      <c r="J51" s="248">
        <f t="shared" si="37"/>
        <v>9.6750330908122156E-2</v>
      </c>
      <c r="K51" s="248">
        <f t="shared" si="37"/>
        <v>9.6750330908122156E-2</v>
      </c>
    </row>
    <row r="52" spans="3:11" ht="15" customHeight="1" x14ac:dyDescent="0.25">
      <c r="C52" s="23" t="s">
        <v>154</v>
      </c>
      <c r="D52" s="32">
        <f>D168</f>
        <v>3.1202526257150053E-2</v>
      </c>
      <c r="E52" s="32">
        <f t="shared" ref="E52:F52" si="38">E168</f>
        <v>3.6596748581127811E-2</v>
      </c>
      <c r="F52" s="32">
        <f t="shared" si="38"/>
        <v>4.6653949946400326E-2</v>
      </c>
      <c r="G52" s="247">
        <v>4.4999999999999998E-2</v>
      </c>
      <c r="H52" s="247">
        <v>3.7999999999999999E-2</v>
      </c>
      <c r="I52" s="247">
        <v>3.1E-2</v>
      </c>
      <c r="J52" s="247">
        <v>2.4E-2</v>
      </c>
      <c r="K52" s="247">
        <v>1.7999999999999999E-2</v>
      </c>
    </row>
    <row r="53" spans="3:11" ht="15" customHeight="1" x14ac:dyDescent="0.25">
      <c r="C53" s="23" t="s">
        <v>159</v>
      </c>
      <c r="D53" s="1"/>
      <c r="E53" s="1">
        <f t="shared" ref="E53:F53" si="39">E169</f>
        <v>8.8672536035514934E-2</v>
      </c>
      <c r="F53" s="1">
        <f t="shared" si="39"/>
        <v>8.609334005427563E-2</v>
      </c>
      <c r="G53" s="247">
        <v>8.5999999999999993E-2</v>
      </c>
      <c r="H53" s="247">
        <v>8.5999999999999993E-2</v>
      </c>
      <c r="I53" s="247">
        <v>8.5999999999999993E-2</v>
      </c>
      <c r="J53" s="247">
        <v>8.5999999999999993E-2</v>
      </c>
      <c r="K53" s="247">
        <v>8.5999999999999993E-2</v>
      </c>
    </row>
    <row r="54" spans="3:11" ht="15" customHeight="1" x14ac:dyDescent="0.25">
      <c r="C54" s="23" t="s">
        <v>44</v>
      </c>
      <c r="D54" s="1">
        <f>D254</f>
        <v>0.16901917520813445</v>
      </c>
      <c r="E54" s="1">
        <f t="shared" ref="E54:F54" si="40">E254</f>
        <v>0.1381394834450109</v>
      </c>
      <c r="F54" s="1">
        <f t="shared" si="40"/>
        <v>0.27503194454263741</v>
      </c>
      <c r="G54" s="247">
        <v>0.27500000000000002</v>
      </c>
      <c r="H54" s="247">
        <v>0.27500000000000002</v>
      </c>
      <c r="I54" s="247">
        <v>0.27500000000000002</v>
      </c>
      <c r="J54" s="247">
        <v>0.27500000000000002</v>
      </c>
      <c r="K54" s="247">
        <v>0.27500000000000002</v>
      </c>
    </row>
    <row r="55" spans="3:11" ht="15" customHeight="1" x14ac:dyDescent="0.25">
      <c r="C55" s="23"/>
      <c r="D55" s="34"/>
      <c r="E55" s="34"/>
      <c r="F55" s="34"/>
      <c r="G55" s="34"/>
      <c r="H55" s="34"/>
      <c r="I55" s="34"/>
      <c r="J55" s="34"/>
      <c r="K55" s="34"/>
    </row>
    <row r="56" spans="3:11" customFormat="1" x14ac:dyDescent="0.25">
      <c r="C56" s="52" t="s">
        <v>50</v>
      </c>
      <c r="D56" s="59"/>
      <c r="E56" s="59"/>
      <c r="F56" s="59"/>
      <c r="G56" s="53"/>
      <c r="H56" s="53"/>
      <c r="I56" s="53"/>
      <c r="J56" s="53"/>
      <c r="K56" s="53"/>
    </row>
    <row r="57" spans="3:11" customFormat="1" x14ac:dyDescent="0.25">
      <c r="C57" t="s">
        <v>48</v>
      </c>
      <c r="D57" s="54">
        <f>D$13</f>
        <v>2023</v>
      </c>
      <c r="E57" s="54">
        <f t="shared" ref="E57:K57" si="41">E$13</f>
        <v>2024</v>
      </c>
      <c r="F57" s="54">
        <f t="shared" si="41"/>
        <v>2025</v>
      </c>
      <c r="G57" s="55">
        <f t="shared" si="41"/>
        <v>2026</v>
      </c>
      <c r="H57" s="55">
        <f t="shared" si="41"/>
        <v>2027</v>
      </c>
      <c r="I57" s="55">
        <f t="shared" si="41"/>
        <v>2028</v>
      </c>
      <c r="J57" s="55">
        <f t="shared" si="41"/>
        <v>2029</v>
      </c>
      <c r="K57" s="55">
        <f t="shared" si="41"/>
        <v>2030</v>
      </c>
    </row>
    <row r="58" spans="3:11" customFormat="1" x14ac:dyDescent="0.25">
      <c r="C58" s="56" t="s">
        <v>49</v>
      </c>
      <c r="D58" s="57">
        <f>D$14</f>
        <v>45291</v>
      </c>
      <c r="E58" s="57">
        <f t="shared" ref="E58:K58" si="42">E$14</f>
        <v>45657</v>
      </c>
      <c r="F58" s="57">
        <f t="shared" si="42"/>
        <v>46022</v>
      </c>
      <c r="G58" s="57">
        <f t="shared" si="42"/>
        <v>46387</v>
      </c>
      <c r="H58" s="57">
        <f t="shared" si="42"/>
        <v>46752</v>
      </c>
      <c r="I58" s="57">
        <f t="shared" si="42"/>
        <v>47118</v>
      </c>
      <c r="J58" s="57">
        <f t="shared" si="42"/>
        <v>47483</v>
      </c>
      <c r="K58" s="57">
        <f t="shared" si="42"/>
        <v>47848</v>
      </c>
    </row>
    <row r="59" spans="3:11" s="48" customFormat="1" ht="15" customHeight="1" x14ac:dyDescent="0.25">
      <c r="C59" s="58" t="s">
        <v>3</v>
      </c>
    </row>
    <row r="60" spans="3:11" ht="15" customHeight="1" x14ac:dyDescent="0.25"/>
    <row r="61" spans="3:11" ht="15" customHeight="1" x14ac:dyDescent="0.25">
      <c r="C61" s="18" t="s">
        <v>4</v>
      </c>
    </row>
    <row r="62" spans="3:11" ht="15" customHeight="1" x14ac:dyDescent="0.25">
      <c r="C62" s="23" t="s">
        <v>194</v>
      </c>
      <c r="D62" s="13">
        <v>30881822082</v>
      </c>
      <c r="E62" s="13">
        <v>56795884068</v>
      </c>
      <c r="F62" s="13">
        <v>59860044570</v>
      </c>
      <c r="G62" s="211">
        <f>$F62/$F$16*G16</f>
        <v>71114799938.375244</v>
      </c>
      <c r="H62" s="211">
        <f t="shared" ref="H62:K62" si="43">$F62/$F$16*H16</f>
        <v>82233734664.389313</v>
      </c>
      <c r="I62" s="211">
        <f t="shared" si="43"/>
        <v>92710896534.44194</v>
      </c>
      <c r="J62" s="211">
        <f t="shared" si="43"/>
        <v>102474892500.52596</v>
      </c>
      <c r="K62" s="211">
        <f t="shared" si="43"/>
        <v>111733161974.79626</v>
      </c>
    </row>
    <row r="63" spans="3:11" ht="15" customHeight="1" x14ac:dyDescent="0.25">
      <c r="C63" s="23" t="s">
        <v>195</v>
      </c>
      <c r="D63" s="13">
        <v>16179633722</v>
      </c>
      <c r="E63" s="13">
        <v>18051966570</v>
      </c>
      <c r="F63" s="13">
        <v>29894579591</v>
      </c>
      <c r="G63" s="28">
        <f>$F63/$F$16*G16</f>
        <v>35515293416.959122</v>
      </c>
      <c r="H63" s="28">
        <f t="shared" ref="H63:K63" si="44">$F63/$F$16*H16</f>
        <v>41068177340.145309</v>
      </c>
      <c r="I63" s="28">
        <f t="shared" si="44"/>
        <v>46300554824.358704</v>
      </c>
      <c r="J63" s="28">
        <f t="shared" si="44"/>
        <v>51176771616.896606</v>
      </c>
      <c r="K63" s="28">
        <f t="shared" si="44"/>
        <v>55800424600.479736</v>
      </c>
    </row>
    <row r="64" spans="3:11" ht="15" customHeight="1" x14ac:dyDescent="0.25">
      <c r="C64" s="23" t="s">
        <v>196</v>
      </c>
      <c r="D64" s="13">
        <v>1218260843</v>
      </c>
      <c r="E64" s="13">
        <v>6164646988</v>
      </c>
      <c r="F64" s="13">
        <v>10088225727</v>
      </c>
      <c r="G64" s="28">
        <f>$F64/$F$16*G16</f>
        <v>11984991983.58975</v>
      </c>
      <c r="H64" s="28">
        <f t="shared" ref="H64:K64" si="45">$F64/$F$16*H16</f>
        <v>13858868359.151709</v>
      </c>
      <c r="I64" s="28">
        <f t="shared" si="45"/>
        <v>15624586622.18788</v>
      </c>
      <c r="J64" s="28">
        <f t="shared" si="45"/>
        <v>17270114887.509937</v>
      </c>
      <c r="K64" s="28">
        <f t="shared" si="45"/>
        <v>18830412962.273506</v>
      </c>
    </row>
    <row r="65" spans="3:11" ht="15" customHeight="1" x14ac:dyDescent="0.25">
      <c r="C65" s="23" t="s">
        <v>197</v>
      </c>
      <c r="D65" s="13">
        <v>46591885092</v>
      </c>
      <c r="E65" s="13">
        <v>86736309423</v>
      </c>
      <c r="F65" s="13">
        <v>116259797169</v>
      </c>
      <c r="G65" s="28">
        <f>$F65/$F$16*G16</f>
        <v>138118711336.42758</v>
      </c>
      <c r="H65" s="28">
        <f t="shared" ref="H65:K65" si="46">$F65/$F$16*H16</f>
        <v>159713835517.63477</v>
      </c>
      <c r="I65" s="28">
        <f t="shared" si="46"/>
        <v>180062512547.01266</v>
      </c>
      <c r="J65" s="28">
        <f t="shared" si="46"/>
        <v>199026083301.5986</v>
      </c>
      <c r="K65" s="28">
        <f t="shared" si="46"/>
        <v>217007435285.99139</v>
      </c>
    </row>
    <row r="66" spans="3:11" ht="15" customHeight="1" x14ac:dyDescent="0.25">
      <c r="C66" s="23" t="s">
        <v>198</v>
      </c>
      <c r="D66" s="13">
        <v>2553915781</v>
      </c>
      <c r="E66" s="13">
        <v>2299918506</v>
      </c>
      <c r="F66" s="13">
        <v>2817520107</v>
      </c>
      <c r="G66" s="28">
        <f>$F66/$F$16*G16</f>
        <v>3347264108.6550837</v>
      </c>
      <c r="H66" s="28">
        <f t="shared" ref="H66:K66" si="47">$F66/$F$16*H16</f>
        <v>3870615241.8526306</v>
      </c>
      <c r="I66" s="28">
        <f t="shared" si="47"/>
        <v>4363759115.1193285</v>
      </c>
      <c r="J66" s="28">
        <f t="shared" si="47"/>
        <v>4823335367.6384573</v>
      </c>
      <c r="K66" s="28">
        <f t="shared" si="47"/>
        <v>5259107853.0611305</v>
      </c>
    </row>
    <row r="67" spans="3:11" ht="15" customHeight="1" x14ac:dyDescent="0.25">
      <c r="C67" s="23" t="s">
        <v>199</v>
      </c>
      <c r="D67" s="13">
        <v>847165963</v>
      </c>
      <c r="E67" s="13">
        <v>874525871</v>
      </c>
      <c r="F67" s="13">
        <v>706510700</v>
      </c>
      <c r="G67" s="28">
        <f>F67</f>
        <v>706510700</v>
      </c>
      <c r="H67" s="28">
        <f t="shared" ref="H67:K67" si="48">G67</f>
        <v>706510700</v>
      </c>
      <c r="I67" s="28">
        <f t="shared" si="48"/>
        <v>706510700</v>
      </c>
      <c r="J67" s="28">
        <f t="shared" si="48"/>
        <v>706510700</v>
      </c>
      <c r="K67" s="28">
        <f t="shared" si="48"/>
        <v>706510700</v>
      </c>
    </row>
    <row r="68" spans="3:11" ht="15" customHeight="1" x14ac:dyDescent="0.25">
      <c r="C68" s="23" t="s">
        <v>200</v>
      </c>
      <c r="D68" s="13">
        <v>25552044800</v>
      </c>
      <c r="E68" s="13">
        <v>38180002322</v>
      </c>
      <c r="F68" s="13">
        <v>41949208624</v>
      </c>
      <c r="G68" s="28">
        <f>G155</f>
        <v>36589833268.381889</v>
      </c>
      <c r="H68" s="28">
        <f t="shared" ref="H68:K68" si="49">H155</f>
        <v>35291812675.300453</v>
      </c>
      <c r="I68" s="28">
        <f t="shared" si="49"/>
        <v>39225939718.565262</v>
      </c>
      <c r="J68" s="28">
        <f t="shared" si="49"/>
        <v>49001174268.861603</v>
      </c>
      <c r="K68" s="28">
        <f t="shared" si="49"/>
        <v>64470578808.395988</v>
      </c>
    </row>
    <row r="69" spans="3:11" ht="15" customHeight="1" x14ac:dyDescent="0.25">
      <c r="C69" s="15" t="s">
        <v>5</v>
      </c>
      <c r="D69" s="16">
        <f>SUM(D62:D68)</f>
        <v>123824728283</v>
      </c>
      <c r="E69" s="16">
        <f t="shared" ref="E69:K69" si="50">SUM(E62:E68)</f>
        <v>209103253748</v>
      </c>
      <c r="F69" s="16">
        <f t="shared" si="50"/>
        <v>261575886488</v>
      </c>
      <c r="G69" s="16">
        <f t="shared" si="50"/>
        <v>297377404752.38867</v>
      </c>
      <c r="H69" s="16">
        <f t="shared" si="50"/>
        <v>336743554498.47418</v>
      </c>
      <c r="I69" s="16">
        <f t="shared" si="50"/>
        <v>378994760061.68579</v>
      </c>
      <c r="J69" s="16">
        <f t="shared" si="50"/>
        <v>424478882643.03113</v>
      </c>
      <c r="K69" s="16">
        <f t="shared" si="50"/>
        <v>473807632184.99805</v>
      </c>
    </row>
    <row r="70" spans="3:11" ht="15" customHeight="1" x14ac:dyDescent="0.25">
      <c r="E70" s="24"/>
      <c r="F70" s="24"/>
      <c r="G70" s="24"/>
      <c r="H70" s="24"/>
      <c r="I70" s="24"/>
      <c r="J70" s="24"/>
      <c r="K70" s="24"/>
    </row>
    <row r="71" spans="3:11" ht="15" customHeight="1" x14ac:dyDescent="0.25">
      <c r="C71" s="18" t="s">
        <v>6</v>
      </c>
      <c r="E71" s="24"/>
      <c r="F71" s="24"/>
      <c r="G71" s="24"/>
      <c r="H71" s="24"/>
      <c r="I71" s="24"/>
      <c r="J71" s="24"/>
      <c r="K71" s="24"/>
    </row>
    <row r="72" spans="3:11" ht="15" customHeight="1" x14ac:dyDescent="0.25">
      <c r="C72" s="35" t="s">
        <v>187</v>
      </c>
      <c r="D72" s="13">
        <v>18009166367</v>
      </c>
      <c r="E72" s="13">
        <v>27543762675</v>
      </c>
      <c r="F72" s="13">
        <v>35961076614</v>
      </c>
      <c r="G72" s="28">
        <f>G166</f>
        <v>47893533366.991203</v>
      </c>
      <c r="H72" s="28">
        <f t="shared" ref="H72:K72" si="51">H166</f>
        <v>58446332320.807823</v>
      </c>
      <c r="I72" s="28">
        <f t="shared" si="51"/>
        <v>66913851533.459618</v>
      </c>
      <c r="J72" s="28">
        <f t="shared" si="51"/>
        <v>72706384789.074356</v>
      </c>
      <c r="K72" s="28">
        <f t="shared" si="51"/>
        <v>75896412600.084244</v>
      </c>
    </row>
    <row r="73" spans="3:11" ht="15" customHeight="1" x14ac:dyDescent="0.25">
      <c r="C73" s="23" t="s">
        <v>188</v>
      </c>
      <c r="D73" s="13">
        <v>880980101</v>
      </c>
      <c r="E73" s="13">
        <v>496953678</v>
      </c>
      <c r="F73" s="13">
        <v>777803506</v>
      </c>
      <c r="G73" s="28">
        <f>F73</f>
        <v>777803506</v>
      </c>
      <c r="H73" s="28">
        <f t="shared" ref="H73:K73" si="52">G73</f>
        <v>777803506</v>
      </c>
      <c r="I73" s="28">
        <f t="shared" si="52"/>
        <v>777803506</v>
      </c>
      <c r="J73" s="28">
        <f t="shared" si="52"/>
        <v>777803506</v>
      </c>
      <c r="K73" s="28">
        <f t="shared" si="52"/>
        <v>777803506</v>
      </c>
    </row>
    <row r="74" spans="3:11" ht="15" customHeight="1" x14ac:dyDescent="0.25">
      <c r="C74" s="23" t="s">
        <v>189</v>
      </c>
      <c r="D74" s="13">
        <v>61033092</v>
      </c>
      <c r="E74" s="13">
        <v>60026536</v>
      </c>
      <c r="F74" s="13">
        <v>58531556</v>
      </c>
      <c r="G74" s="28">
        <f>F74</f>
        <v>58531556</v>
      </c>
      <c r="H74" s="28">
        <f t="shared" ref="H74:K74" si="53">G74</f>
        <v>58531556</v>
      </c>
      <c r="I74" s="28">
        <f t="shared" si="53"/>
        <v>58531556</v>
      </c>
      <c r="J74" s="28">
        <f t="shared" si="53"/>
        <v>58531556</v>
      </c>
      <c r="K74" s="28">
        <f t="shared" si="53"/>
        <v>58531556</v>
      </c>
    </row>
    <row r="75" spans="3:11" ht="15" customHeight="1" x14ac:dyDescent="0.25">
      <c r="C75" s="23" t="s">
        <v>190</v>
      </c>
      <c r="D75" s="13">
        <v>3802844269</v>
      </c>
      <c r="E75" s="13">
        <v>6474047538</v>
      </c>
      <c r="F75" s="13">
        <v>6757650507</v>
      </c>
      <c r="G75" s="28">
        <f>G265</f>
        <v>7649660373.9239998</v>
      </c>
      <c r="H75" s="28">
        <f t="shared" ref="H75:K75" si="54">H265</f>
        <v>8659415543.2819672</v>
      </c>
      <c r="I75" s="28">
        <f t="shared" si="54"/>
        <v>9802458394.9951878</v>
      </c>
      <c r="J75" s="28">
        <f t="shared" si="54"/>
        <v>11096382903.134552</v>
      </c>
      <c r="K75" s="28">
        <f t="shared" si="54"/>
        <v>12561105446.348312</v>
      </c>
    </row>
    <row r="76" spans="3:11" ht="15" customHeight="1" x14ac:dyDescent="0.25">
      <c r="C76" s="23" t="s">
        <v>191</v>
      </c>
      <c r="D76" s="13">
        <v>111110144</v>
      </c>
      <c r="E76" s="13">
        <v>133150622</v>
      </c>
      <c r="F76" s="13">
        <v>113286113</v>
      </c>
      <c r="G76" s="28">
        <f>F76</f>
        <v>113286113</v>
      </c>
      <c r="H76" s="28">
        <f t="shared" ref="H76:K76" si="55">G76</f>
        <v>113286113</v>
      </c>
      <c r="I76" s="28">
        <f t="shared" si="55"/>
        <v>113286113</v>
      </c>
      <c r="J76" s="28">
        <f t="shared" si="55"/>
        <v>113286113</v>
      </c>
      <c r="K76" s="28">
        <f t="shared" si="55"/>
        <v>113286113</v>
      </c>
    </row>
    <row r="77" spans="3:11" ht="15" customHeight="1" x14ac:dyDescent="0.25">
      <c r="C77" s="23" t="s">
        <v>192</v>
      </c>
      <c r="D77" s="13">
        <v>2770745661</v>
      </c>
      <c r="E77" s="13">
        <v>1894117052</v>
      </c>
      <c r="F77" s="13">
        <v>1428080522</v>
      </c>
      <c r="G77" s="28">
        <f>F77</f>
        <v>1428080522</v>
      </c>
      <c r="H77" s="28">
        <f t="shared" ref="H77:K77" si="56">G77</f>
        <v>1428080522</v>
      </c>
      <c r="I77" s="28">
        <f t="shared" si="56"/>
        <v>1428080522</v>
      </c>
      <c r="J77" s="28">
        <f t="shared" si="56"/>
        <v>1428080522</v>
      </c>
      <c r="K77" s="28">
        <f t="shared" si="56"/>
        <v>1428080522</v>
      </c>
    </row>
    <row r="78" spans="3:11" ht="15" customHeight="1" x14ac:dyDescent="0.25">
      <c r="C78" s="23" t="s">
        <v>193</v>
      </c>
      <c r="D78" s="13">
        <v>1261762247</v>
      </c>
      <c r="E78" s="13">
        <v>1459194548</v>
      </c>
      <c r="F78" s="13">
        <v>1748816945</v>
      </c>
      <c r="G78" s="28">
        <f>F78</f>
        <v>1748816945</v>
      </c>
      <c r="H78" s="28">
        <f t="shared" ref="H78:K78" si="57">G78</f>
        <v>1748816945</v>
      </c>
      <c r="I78" s="28">
        <f t="shared" si="57"/>
        <v>1748816945</v>
      </c>
      <c r="J78" s="28">
        <f t="shared" si="57"/>
        <v>1748816945</v>
      </c>
      <c r="K78" s="28">
        <f t="shared" si="57"/>
        <v>1748816945</v>
      </c>
    </row>
    <row r="79" spans="3:11" ht="15" customHeight="1" x14ac:dyDescent="0.25">
      <c r="C79" s="23" t="s">
        <v>161</v>
      </c>
      <c r="D79" s="13">
        <v>726284664</v>
      </c>
      <c r="E79" s="13">
        <v>2362632290</v>
      </c>
      <c r="F79" s="13">
        <v>2677958524</v>
      </c>
      <c r="G79" s="28">
        <f>F79</f>
        <v>2677958524</v>
      </c>
      <c r="H79" s="28">
        <f t="shared" ref="H79:K79" si="58">G79</f>
        <v>2677958524</v>
      </c>
      <c r="I79" s="28">
        <f t="shared" si="58"/>
        <v>2677958524</v>
      </c>
      <c r="J79" s="28">
        <f t="shared" si="58"/>
        <v>2677958524</v>
      </c>
      <c r="K79" s="28">
        <f t="shared" si="58"/>
        <v>2677958524</v>
      </c>
    </row>
    <row r="80" spans="3:11" ht="15" customHeight="1" x14ac:dyDescent="0.25">
      <c r="C80" s="15" t="s">
        <v>7</v>
      </c>
      <c r="D80" s="16">
        <f>SUM(D72:D79)</f>
        <v>27623926545</v>
      </c>
      <c r="E80" s="16">
        <f t="shared" ref="E80:F80" si="59">SUM(E72:E79)</f>
        <v>40423884939</v>
      </c>
      <c r="F80" s="16">
        <f t="shared" si="59"/>
        <v>49523204287</v>
      </c>
      <c r="G80" s="16">
        <f t="shared" ref="G80:K80" si="60">SUM(G72:G79)</f>
        <v>62347670906.915207</v>
      </c>
      <c r="H80" s="16">
        <f t="shared" si="60"/>
        <v>73910225030.089783</v>
      </c>
      <c r="I80" s="16">
        <f t="shared" si="60"/>
        <v>83520787094.454803</v>
      </c>
      <c r="J80" s="16">
        <f t="shared" si="60"/>
        <v>90607244858.208908</v>
      </c>
      <c r="K80" s="16">
        <f t="shared" si="60"/>
        <v>95261995212.432556</v>
      </c>
    </row>
    <row r="81" spans="3:11" ht="15" customHeight="1" x14ac:dyDescent="0.25">
      <c r="E81" s="28"/>
      <c r="F81" s="28"/>
      <c r="G81" s="28"/>
      <c r="H81" s="28"/>
      <c r="I81" s="28"/>
      <c r="J81" s="28"/>
      <c r="K81" s="28"/>
    </row>
    <row r="82" spans="3:11" ht="15" customHeight="1" x14ac:dyDescent="0.25">
      <c r="C82" s="18" t="s">
        <v>8</v>
      </c>
      <c r="D82" s="19">
        <f>D69+D80</f>
        <v>151448654828</v>
      </c>
      <c r="E82" s="19">
        <f t="shared" ref="E82:F82" si="61">E69+E80</f>
        <v>249527138687</v>
      </c>
      <c r="F82" s="19">
        <f t="shared" si="61"/>
        <v>311099090775</v>
      </c>
      <c r="G82" s="19">
        <f t="shared" ref="G82:K82" si="62">G69+G80</f>
        <v>359725075659.30389</v>
      </c>
      <c r="H82" s="19">
        <f t="shared" si="62"/>
        <v>410653779528.56396</v>
      </c>
      <c r="I82" s="19">
        <f t="shared" si="62"/>
        <v>462515547156.14063</v>
      </c>
      <c r="J82" s="19">
        <f t="shared" si="62"/>
        <v>515086127501.24005</v>
      </c>
      <c r="K82" s="19">
        <f t="shared" si="62"/>
        <v>569069627397.43066</v>
      </c>
    </row>
    <row r="83" spans="3:11" ht="15" customHeight="1" x14ac:dyDescent="0.25">
      <c r="E83" s="24"/>
      <c r="F83" s="24"/>
      <c r="G83" s="24"/>
      <c r="H83" s="24"/>
      <c r="I83" s="24"/>
      <c r="J83" s="24"/>
      <c r="K83" s="24"/>
    </row>
    <row r="84" spans="3:11" s="48" customFormat="1" ht="15" customHeight="1" x14ac:dyDescent="0.25">
      <c r="C84" s="58" t="s">
        <v>9</v>
      </c>
      <c r="D84" s="60"/>
      <c r="E84" s="61"/>
      <c r="F84" s="61"/>
      <c r="G84" s="255"/>
      <c r="H84" s="255"/>
      <c r="I84" s="255"/>
      <c r="J84" s="255"/>
      <c r="K84" s="255"/>
    </row>
    <row r="85" spans="3:11" ht="15" customHeight="1" x14ac:dyDescent="0.25">
      <c r="E85" s="24"/>
      <c r="F85" s="24"/>
      <c r="G85" s="24"/>
      <c r="H85" s="24"/>
      <c r="I85" s="24"/>
      <c r="J85" s="24"/>
      <c r="K85" s="24"/>
    </row>
    <row r="86" spans="3:11" ht="15" customHeight="1" x14ac:dyDescent="0.25">
      <c r="C86" s="18" t="s">
        <v>10</v>
      </c>
      <c r="E86" s="24"/>
      <c r="F86" s="24"/>
      <c r="G86" s="24"/>
      <c r="H86" s="24"/>
      <c r="I86" s="24"/>
      <c r="J86" s="24"/>
      <c r="K86" s="24"/>
    </row>
    <row r="87" spans="3:11" ht="15" customHeight="1" x14ac:dyDescent="0.25">
      <c r="C87" s="23" t="s">
        <v>210</v>
      </c>
      <c r="D87" s="13">
        <v>34950810105</v>
      </c>
      <c r="E87" s="13">
        <v>52733931099</v>
      </c>
      <c r="F87" s="13">
        <v>53888496799</v>
      </c>
      <c r="G87" s="28">
        <f>F87</f>
        <v>53888496799</v>
      </c>
      <c r="H87" s="28">
        <f t="shared" ref="H87:K87" si="63">G87</f>
        <v>53888496799</v>
      </c>
      <c r="I87" s="28">
        <f t="shared" si="63"/>
        <v>53888496799</v>
      </c>
      <c r="J87" s="28">
        <f t="shared" si="63"/>
        <v>53888496799</v>
      </c>
      <c r="K87" s="28">
        <f t="shared" si="63"/>
        <v>53888496799</v>
      </c>
    </row>
    <row r="88" spans="3:11" ht="15" customHeight="1" x14ac:dyDescent="0.25">
      <c r="C88" s="23" t="s">
        <v>211</v>
      </c>
      <c r="D88" s="13">
        <v>31938122060</v>
      </c>
      <c r="E88" s="13">
        <v>54808185042</v>
      </c>
      <c r="F88" s="13">
        <v>68895662044</v>
      </c>
      <c r="G88" s="28">
        <f>$F88/$F$16*G16</f>
        <v>81849274554.941635</v>
      </c>
      <c r="H88" s="28">
        <f t="shared" ref="H88:K88" si="64">$F88/$F$16*H16</f>
        <v>94646564878.989929</v>
      </c>
      <c r="I88" s="28">
        <f t="shared" si="64"/>
        <v>106705209481.82385</v>
      </c>
      <c r="J88" s="28">
        <f t="shared" si="64"/>
        <v>117943038840.46483</v>
      </c>
      <c r="K88" s="28">
        <f t="shared" si="64"/>
        <v>128598804458.30872</v>
      </c>
    </row>
    <row r="89" spans="3:11" ht="15" customHeight="1" x14ac:dyDescent="0.25">
      <c r="C89" s="23" t="s">
        <v>212</v>
      </c>
      <c r="D89" s="13">
        <v>25060328092</v>
      </c>
      <c r="E89" s="13">
        <v>53281056753</v>
      </c>
      <c r="F89" s="13">
        <v>81266224686</v>
      </c>
      <c r="G89" s="28">
        <f>$F89/$F$16*G16</f>
        <v>96545723475.593811</v>
      </c>
      <c r="H89" s="28">
        <f t="shared" ref="H89:K89" si="65">$F89/$F$16*H16</f>
        <v>111640831643.3896</v>
      </c>
      <c r="I89" s="28">
        <f t="shared" si="65"/>
        <v>125864666535.58751</v>
      </c>
      <c r="J89" s="28">
        <f t="shared" si="65"/>
        <v>139120304678.07315</v>
      </c>
      <c r="K89" s="28">
        <f t="shared" si="65"/>
        <v>151689366607.51675</v>
      </c>
    </row>
    <row r="90" spans="3:11" ht="15" customHeight="1" x14ac:dyDescent="0.25">
      <c r="C90" s="23" t="s">
        <v>213</v>
      </c>
      <c r="D90" s="13">
        <v>3106746671</v>
      </c>
      <c r="E90" s="13">
        <v>2050078425</v>
      </c>
      <c r="F90" s="13">
        <v>4934083719</v>
      </c>
      <c r="G90" s="28">
        <f>$F90/$F$16*G16</f>
        <v>5861779406.8889294</v>
      </c>
      <c r="H90" s="28">
        <f t="shared" ref="H90:K90" si="66">$F90/$F$16*H16</f>
        <v>6778279807.0865059</v>
      </c>
      <c r="I90" s="28">
        <f t="shared" si="66"/>
        <v>7641880797.9595098</v>
      </c>
      <c r="J90" s="28">
        <f t="shared" si="66"/>
        <v>8446697664.9483013</v>
      </c>
      <c r="K90" s="28">
        <f t="shared" si="66"/>
        <v>9209829015.8729172</v>
      </c>
    </row>
    <row r="91" spans="3:11" ht="15" customHeight="1" x14ac:dyDescent="0.25">
      <c r="C91" s="23" t="s">
        <v>214</v>
      </c>
      <c r="D91" s="13">
        <v>8050424876</v>
      </c>
      <c r="E91" s="13">
        <v>13439558878</v>
      </c>
      <c r="F91" s="13">
        <v>12405213054</v>
      </c>
      <c r="G91" s="28">
        <f>$F91/$F$16*G16</f>
        <v>14737614227.742481</v>
      </c>
      <c r="H91" s="28">
        <f t="shared" ref="H91:K91" si="67">$F91/$F$16*H16</f>
        <v>17041868345.83666</v>
      </c>
      <c r="I91" s="28">
        <f t="shared" si="67"/>
        <v>19213123414.770996</v>
      </c>
      <c r="J91" s="28">
        <f t="shared" si="67"/>
        <v>21236584157.036674</v>
      </c>
      <c r="K91" s="28">
        <f t="shared" si="67"/>
        <v>23155239683.685371</v>
      </c>
    </row>
    <row r="92" spans="3:11" ht="15" customHeight="1" x14ac:dyDescent="0.25">
      <c r="C92" s="15" t="s">
        <v>12</v>
      </c>
      <c r="D92" s="16">
        <f>SUM(D87:D91)</f>
        <v>103106431804</v>
      </c>
      <c r="E92" s="16">
        <f t="shared" ref="E92:K92" si="68">SUM(E87:E91)</f>
        <v>176312810197</v>
      </c>
      <c r="F92" s="16">
        <f t="shared" si="68"/>
        <v>221389680302</v>
      </c>
      <c r="G92" s="16">
        <f t="shared" si="68"/>
        <v>252882888464.16687</v>
      </c>
      <c r="H92" s="16">
        <f t="shared" si="68"/>
        <v>283996041474.30267</v>
      </c>
      <c r="I92" s="16">
        <f t="shared" si="68"/>
        <v>313313377029.14191</v>
      </c>
      <c r="J92" s="16">
        <f t="shared" si="68"/>
        <v>340635122139.52295</v>
      </c>
      <c r="K92" s="16">
        <f t="shared" si="68"/>
        <v>366541736564.38373</v>
      </c>
    </row>
    <row r="93" spans="3:11" ht="15" customHeight="1" x14ac:dyDescent="0.25">
      <c r="E93" s="24"/>
      <c r="F93" s="24"/>
      <c r="G93" s="24"/>
      <c r="H93" s="24"/>
      <c r="I93" s="24"/>
      <c r="J93" s="24"/>
      <c r="K93" s="24"/>
    </row>
    <row r="94" spans="3:11" ht="15" customHeight="1" x14ac:dyDescent="0.25">
      <c r="C94" s="18" t="s">
        <v>13</v>
      </c>
      <c r="E94" s="24"/>
      <c r="F94" s="24"/>
      <c r="G94" s="24"/>
      <c r="H94" s="24"/>
      <c r="I94" s="24"/>
      <c r="J94" s="24"/>
      <c r="K94" s="24"/>
    </row>
    <row r="95" spans="3:11" ht="15" customHeight="1" x14ac:dyDescent="0.25">
      <c r="C95" s="23" t="s">
        <v>205</v>
      </c>
      <c r="D95" s="13">
        <v>6815681966</v>
      </c>
      <c r="E95" s="13">
        <v>6349010708</v>
      </c>
      <c r="F95" s="13">
        <v>8620714998</v>
      </c>
      <c r="G95" s="28">
        <f>F95</f>
        <v>8620714998</v>
      </c>
      <c r="H95" s="28">
        <f t="shared" ref="H95:K95" si="69">G95</f>
        <v>8620714998</v>
      </c>
      <c r="I95" s="28">
        <f t="shared" si="69"/>
        <v>8620714998</v>
      </c>
      <c r="J95" s="28">
        <f t="shared" si="69"/>
        <v>8620714998</v>
      </c>
      <c r="K95" s="28">
        <f t="shared" si="69"/>
        <v>8620714998</v>
      </c>
    </row>
    <row r="96" spans="3:11" ht="15" customHeight="1" x14ac:dyDescent="0.25">
      <c r="C96" s="23" t="s">
        <v>206</v>
      </c>
      <c r="D96" s="13">
        <v>1809916821</v>
      </c>
      <c r="E96" s="13">
        <v>3669892743</v>
      </c>
      <c r="F96" s="13">
        <v>3193008816</v>
      </c>
      <c r="G96" s="28">
        <f>F96</f>
        <v>3193008816</v>
      </c>
      <c r="H96" s="28">
        <f t="shared" ref="H96:K96" si="70">G96</f>
        <v>3193008816</v>
      </c>
      <c r="I96" s="28">
        <f t="shared" si="70"/>
        <v>3193008816</v>
      </c>
      <c r="J96" s="28">
        <f t="shared" si="70"/>
        <v>3193008816</v>
      </c>
      <c r="K96" s="28">
        <f t="shared" si="70"/>
        <v>3193008816</v>
      </c>
    </row>
    <row r="97" spans="3:11" ht="15" customHeight="1" x14ac:dyDescent="0.25">
      <c r="C97" s="23" t="s">
        <v>207</v>
      </c>
      <c r="D97" s="13">
        <v>81722342</v>
      </c>
      <c r="E97" s="13">
        <v>94611605</v>
      </c>
      <c r="F97" s="13">
        <v>31999272</v>
      </c>
      <c r="G97" s="28">
        <f>F97</f>
        <v>31999272</v>
      </c>
      <c r="H97" s="28">
        <f t="shared" ref="H97:K97" si="71">G97</f>
        <v>31999272</v>
      </c>
      <c r="I97" s="28">
        <f t="shared" si="71"/>
        <v>31999272</v>
      </c>
      <c r="J97" s="28">
        <f t="shared" si="71"/>
        <v>31999272</v>
      </c>
      <c r="K97" s="28">
        <f t="shared" si="71"/>
        <v>31999272</v>
      </c>
    </row>
    <row r="98" spans="3:11" ht="15" customHeight="1" x14ac:dyDescent="0.25">
      <c r="C98" s="23" t="s">
        <v>208</v>
      </c>
      <c r="D98" s="13">
        <v>752369068</v>
      </c>
      <c r="E98" s="13">
        <v>942646031</v>
      </c>
      <c r="F98" s="13">
        <v>1458846154</v>
      </c>
      <c r="G98" s="28">
        <f>F98</f>
        <v>1458846154</v>
      </c>
      <c r="H98" s="28">
        <f t="shared" ref="H98:K98" si="72">G98</f>
        <v>1458846154</v>
      </c>
      <c r="I98" s="28">
        <f t="shared" si="72"/>
        <v>1458846154</v>
      </c>
      <c r="J98" s="28">
        <f t="shared" si="72"/>
        <v>1458846154</v>
      </c>
      <c r="K98" s="28">
        <f t="shared" si="72"/>
        <v>1458846154</v>
      </c>
    </row>
    <row r="99" spans="3:11" ht="15" customHeight="1" x14ac:dyDescent="0.25">
      <c r="C99" s="23" t="s">
        <v>209</v>
      </c>
      <c r="D99" s="13">
        <v>774053299</v>
      </c>
      <c r="E99" s="13">
        <v>2631482147</v>
      </c>
      <c r="F99" s="13">
        <v>4414996302</v>
      </c>
      <c r="G99" s="28">
        <f>F99</f>
        <v>4414996302</v>
      </c>
      <c r="H99" s="28">
        <f t="shared" ref="H99:K99" si="73">G99</f>
        <v>4414996302</v>
      </c>
      <c r="I99" s="28">
        <f t="shared" si="73"/>
        <v>4414996302</v>
      </c>
      <c r="J99" s="28">
        <f t="shared" si="73"/>
        <v>4414996302</v>
      </c>
      <c r="K99" s="28">
        <f t="shared" si="73"/>
        <v>4414996302</v>
      </c>
    </row>
    <row r="100" spans="3:11" ht="15" customHeight="1" x14ac:dyDescent="0.25">
      <c r="C100" s="15" t="s">
        <v>14</v>
      </c>
      <c r="D100" s="16">
        <f>SUM(D95:D99)</f>
        <v>10233743496</v>
      </c>
      <c r="E100" s="16">
        <f t="shared" ref="E100:F100" si="74">SUM(E95:E99)</f>
        <v>13687643234</v>
      </c>
      <c r="F100" s="16">
        <f t="shared" si="74"/>
        <v>17719565542</v>
      </c>
      <c r="G100" s="16">
        <f t="shared" ref="G100:K100" si="75">SUM(G95:G99)</f>
        <v>17719565542</v>
      </c>
      <c r="H100" s="16">
        <f t="shared" si="75"/>
        <v>17719565542</v>
      </c>
      <c r="I100" s="16">
        <f t="shared" si="75"/>
        <v>17719565542</v>
      </c>
      <c r="J100" s="16">
        <f t="shared" si="75"/>
        <v>17719565542</v>
      </c>
      <c r="K100" s="16">
        <f t="shared" si="75"/>
        <v>17719565542</v>
      </c>
    </row>
    <row r="101" spans="3:11" ht="15" customHeight="1" x14ac:dyDescent="0.25">
      <c r="E101" s="24"/>
      <c r="F101" s="24"/>
      <c r="G101" s="24"/>
      <c r="H101" s="24"/>
      <c r="I101" s="24"/>
      <c r="J101" s="24"/>
      <c r="K101" s="24"/>
    </row>
    <row r="102" spans="3:11" ht="15" customHeight="1" x14ac:dyDescent="0.25">
      <c r="C102" s="18" t="s">
        <v>15</v>
      </c>
      <c r="D102" s="36">
        <f>D92+D100</f>
        <v>113340175300</v>
      </c>
      <c r="E102" s="36">
        <f t="shared" ref="E102:F102" si="76">E92+E100</f>
        <v>190000453431</v>
      </c>
      <c r="F102" s="36">
        <f t="shared" si="76"/>
        <v>239109245844</v>
      </c>
      <c r="G102" s="36">
        <f t="shared" ref="G102:K102" si="77">G92+G100</f>
        <v>270602454006.16687</v>
      </c>
      <c r="H102" s="36">
        <f t="shared" si="77"/>
        <v>301715607016.30267</v>
      </c>
      <c r="I102" s="36">
        <f t="shared" si="77"/>
        <v>331032942571.14191</v>
      </c>
      <c r="J102" s="36">
        <f t="shared" si="77"/>
        <v>358354687681.52295</v>
      </c>
      <c r="K102" s="36">
        <f t="shared" si="77"/>
        <v>384261302106.38373</v>
      </c>
    </row>
    <row r="103" spans="3:11" ht="15" customHeight="1" x14ac:dyDescent="0.25">
      <c r="E103" s="24"/>
      <c r="F103" s="24"/>
      <c r="G103" s="24"/>
      <c r="H103" s="24"/>
      <c r="I103" s="24"/>
      <c r="J103" s="24"/>
      <c r="K103" s="24"/>
    </row>
    <row r="104" spans="3:11" ht="15" customHeight="1" x14ac:dyDescent="0.25">
      <c r="C104" s="18" t="s">
        <v>16</v>
      </c>
      <c r="E104" s="24"/>
      <c r="F104" s="24"/>
      <c r="G104" s="24"/>
      <c r="H104" s="24"/>
      <c r="I104" s="24"/>
      <c r="J104" s="24"/>
      <c r="K104" s="24"/>
    </row>
    <row r="105" spans="3:11" ht="15" customHeight="1" x14ac:dyDescent="0.25">
      <c r="C105" s="23" t="s">
        <v>163</v>
      </c>
      <c r="D105" s="13">
        <v>2170777876</v>
      </c>
      <c r="E105" s="13">
        <v>2140777876</v>
      </c>
      <c r="F105" s="13">
        <v>2140777876</v>
      </c>
      <c r="G105" s="28">
        <f>F105</f>
        <v>2140777876</v>
      </c>
      <c r="H105" s="28">
        <f t="shared" ref="H105:K105" si="78">G105</f>
        <v>2140777876</v>
      </c>
      <c r="I105" s="28">
        <f t="shared" si="78"/>
        <v>2140777876</v>
      </c>
      <c r="J105" s="28">
        <f t="shared" si="78"/>
        <v>2140777876</v>
      </c>
      <c r="K105" s="28">
        <f t="shared" si="78"/>
        <v>2140777876</v>
      </c>
    </row>
    <row r="106" spans="3:11" ht="15" customHeight="1" x14ac:dyDescent="0.25">
      <c r="C106" s="23" t="s">
        <v>201</v>
      </c>
      <c r="D106" s="13">
        <v>-1422160</v>
      </c>
      <c r="E106" s="13">
        <v>-1422160</v>
      </c>
      <c r="F106" s="13">
        <v>-1422160</v>
      </c>
      <c r="G106" s="28">
        <f t="shared" ref="G106:K108" si="79">F106</f>
        <v>-1422160</v>
      </c>
      <c r="H106" s="28">
        <f t="shared" si="79"/>
        <v>-1422160</v>
      </c>
      <c r="I106" s="28">
        <f t="shared" si="79"/>
        <v>-1422160</v>
      </c>
      <c r="J106" s="28">
        <f t="shared" si="79"/>
        <v>-1422160</v>
      </c>
      <c r="K106" s="28">
        <f t="shared" si="79"/>
        <v>-1422160</v>
      </c>
    </row>
    <row r="107" spans="3:11" ht="15" customHeight="1" x14ac:dyDescent="0.25">
      <c r="C107" s="23" t="s">
        <v>202</v>
      </c>
      <c r="D107" s="13">
        <v>3942000468</v>
      </c>
      <c r="E107" s="13">
        <v>8514968667</v>
      </c>
      <c r="F107" s="13">
        <v>7324162712</v>
      </c>
      <c r="G107" s="28">
        <f t="shared" si="79"/>
        <v>7324162712</v>
      </c>
      <c r="H107" s="28">
        <f t="shared" si="79"/>
        <v>7324162712</v>
      </c>
      <c r="I107" s="28">
        <f t="shared" si="79"/>
        <v>7324162712</v>
      </c>
      <c r="J107" s="28">
        <f t="shared" si="79"/>
        <v>7324162712</v>
      </c>
      <c r="K107" s="28">
        <f t="shared" si="79"/>
        <v>7324162712</v>
      </c>
    </row>
    <row r="108" spans="3:11" ht="15" customHeight="1" x14ac:dyDescent="0.25">
      <c r="C108" s="23" t="s">
        <v>203</v>
      </c>
      <c r="D108" s="13">
        <v>-254137884</v>
      </c>
      <c r="E108" s="13">
        <v>0</v>
      </c>
      <c r="F108" s="13">
        <v>0</v>
      </c>
      <c r="G108" s="28">
        <f t="shared" si="79"/>
        <v>0</v>
      </c>
      <c r="H108" s="28">
        <f t="shared" si="79"/>
        <v>0</v>
      </c>
      <c r="I108" s="28">
        <f t="shared" si="79"/>
        <v>0</v>
      </c>
      <c r="J108" s="28">
        <f t="shared" si="79"/>
        <v>0</v>
      </c>
      <c r="K108" s="28">
        <f t="shared" si="79"/>
        <v>0</v>
      </c>
    </row>
    <row r="109" spans="3:11" ht="15" customHeight="1" x14ac:dyDescent="0.25">
      <c r="C109" s="23" t="s">
        <v>17</v>
      </c>
      <c r="D109" s="13">
        <v>29867247832</v>
      </c>
      <c r="E109" s="13">
        <v>44620588973</v>
      </c>
      <c r="F109" s="13">
        <v>57407348122</v>
      </c>
      <c r="G109" s="28">
        <f>G243</f>
        <v>72882523026.895294</v>
      </c>
      <c r="H109" s="28">
        <f t="shared" ref="H109:K109" si="80">H243</f>
        <v>90780912783.272568</v>
      </c>
      <c r="I109" s="28">
        <f t="shared" si="80"/>
        <v>111144163592.83698</v>
      </c>
      <c r="J109" s="28">
        <f t="shared" si="80"/>
        <v>133950165663.55173</v>
      </c>
      <c r="K109" s="28">
        <f t="shared" si="80"/>
        <v>159310603174.66083</v>
      </c>
    </row>
    <row r="110" spans="3:11" ht="15" customHeight="1" x14ac:dyDescent="0.25">
      <c r="C110" s="228" t="s">
        <v>204</v>
      </c>
      <c r="D110" s="181">
        <f>SUM(D105:D109)</f>
        <v>35724466132</v>
      </c>
      <c r="E110" s="181">
        <f t="shared" ref="E110:K110" si="81">SUM(E105:E109)</f>
        <v>55274913356</v>
      </c>
      <c r="F110" s="181">
        <f t="shared" si="81"/>
        <v>66870866550</v>
      </c>
      <c r="G110" s="256">
        <f t="shared" si="81"/>
        <v>82346041454.895294</v>
      </c>
      <c r="H110" s="256">
        <f t="shared" si="81"/>
        <v>100244431211.27257</v>
      </c>
      <c r="I110" s="256">
        <f t="shared" si="81"/>
        <v>120607682020.83698</v>
      </c>
      <c r="J110" s="256">
        <f t="shared" si="81"/>
        <v>143413684091.55173</v>
      </c>
      <c r="K110" s="256">
        <f t="shared" si="81"/>
        <v>168774121602.66083</v>
      </c>
    </row>
    <row r="111" spans="3:11" ht="15" customHeight="1" x14ac:dyDescent="0.25">
      <c r="C111" s="23" t="s">
        <v>186</v>
      </c>
      <c r="D111" s="13">
        <v>2384013396</v>
      </c>
      <c r="E111" s="13">
        <v>4251771900</v>
      </c>
      <c r="F111" s="13">
        <v>5118978381</v>
      </c>
      <c r="G111" s="28">
        <f>G249</f>
        <v>6776580198.2417278</v>
      </c>
      <c r="H111" s="28">
        <f t="shared" ref="H111:K111" si="82">H249</f>
        <v>8693741300.9887257</v>
      </c>
      <c r="I111" s="28">
        <f t="shared" si="82"/>
        <v>10874922564.161755</v>
      </c>
      <c r="J111" s="28">
        <f t="shared" si="82"/>
        <v>13317755728.165415</v>
      </c>
      <c r="K111" s="28">
        <f t="shared" si="82"/>
        <v>16034203688.386011</v>
      </c>
    </row>
    <row r="112" spans="3:11" ht="15" customHeight="1" x14ac:dyDescent="0.25">
      <c r="C112" s="37" t="s">
        <v>18</v>
      </c>
      <c r="D112" s="16">
        <f>SUM(D110:D111)</f>
        <v>38108479528</v>
      </c>
      <c r="E112" s="16">
        <f t="shared" ref="E112:F112" si="83">SUM(E110:E111)</f>
        <v>59526685256</v>
      </c>
      <c r="F112" s="16">
        <f t="shared" si="83"/>
        <v>71989844931</v>
      </c>
      <c r="G112" s="16">
        <f t="shared" ref="G112:K112" si="84">SUM(G110:G111)</f>
        <v>89122621653.137024</v>
      </c>
      <c r="H112" s="16">
        <f t="shared" si="84"/>
        <v>108938172512.26129</v>
      </c>
      <c r="I112" s="16">
        <f t="shared" si="84"/>
        <v>131482604584.99873</v>
      </c>
      <c r="J112" s="16">
        <f t="shared" si="84"/>
        <v>156731439819.71713</v>
      </c>
      <c r="K112" s="16">
        <f t="shared" si="84"/>
        <v>184808325291.04684</v>
      </c>
    </row>
    <row r="113" spans="3:11" ht="15" customHeight="1" x14ac:dyDescent="0.25">
      <c r="E113" s="28"/>
      <c r="F113" s="28"/>
      <c r="G113" s="28"/>
      <c r="H113" s="28"/>
      <c r="I113" s="28"/>
      <c r="J113" s="28"/>
      <c r="K113" s="28"/>
    </row>
    <row r="114" spans="3:11" ht="15" customHeight="1" x14ac:dyDescent="0.25">
      <c r="C114" s="18" t="s">
        <v>19</v>
      </c>
      <c r="D114" s="19">
        <f>D102+D112</f>
        <v>151448654828</v>
      </c>
      <c r="E114" s="19">
        <f t="shared" ref="E114:F114" si="85">E102+E112</f>
        <v>249527138687</v>
      </c>
      <c r="F114" s="19">
        <f t="shared" si="85"/>
        <v>311099090775</v>
      </c>
      <c r="G114" s="19">
        <f t="shared" ref="G114:K114" si="86">G102+G112</f>
        <v>359725075659.30389</v>
      </c>
      <c r="H114" s="19">
        <f t="shared" si="86"/>
        <v>410653779528.56396</v>
      </c>
      <c r="I114" s="19">
        <f t="shared" si="86"/>
        <v>462515547156.14063</v>
      </c>
      <c r="J114" s="19">
        <f t="shared" si="86"/>
        <v>515086127501.24011</v>
      </c>
      <c r="K114" s="19">
        <f t="shared" si="86"/>
        <v>569069627397.43054</v>
      </c>
    </row>
    <row r="115" spans="3:11" ht="15" customHeight="1" x14ac:dyDescent="0.25">
      <c r="E115" s="24"/>
      <c r="F115" s="24"/>
      <c r="G115" s="24"/>
      <c r="H115" s="24"/>
      <c r="I115" s="24"/>
      <c r="J115" s="24"/>
      <c r="K115" s="24"/>
    </row>
    <row r="116" spans="3:11" ht="15" customHeight="1" x14ac:dyDescent="0.25">
      <c r="C116" s="8" t="s">
        <v>20</v>
      </c>
      <c r="D116" s="24">
        <f>D82-D114</f>
        <v>0</v>
      </c>
      <c r="E116" s="24">
        <f t="shared" ref="E116:K116" si="87">E82-E114</f>
        <v>0</v>
      </c>
      <c r="F116" s="24">
        <f t="shared" si="87"/>
        <v>0</v>
      </c>
      <c r="G116" s="24">
        <f t="shared" si="87"/>
        <v>0</v>
      </c>
      <c r="H116" s="24">
        <f t="shared" si="87"/>
        <v>0</v>
      </c>
      <c r="I116" s="24">
        <f t="shared" si="87"/>
        <v>0</v>
      </c>
      <c r="J116" s="24">
        <f t="shared" si="87"/>
        <v>0</v>
      </c>
      <c r="K116" s="24">
        <f t="shared" si="87"/>
        <v>0</v>
      </c>
    </row>
    <row r="117" spans="3:11" ht="15" customHeight="1" x14ac:dyDescent="0.25"/>
    <row r="118" spans="3:11" customFormat="1" x14ac:dyDescent="0.25">
      <c r="C118" s="52" t="s">
        <v>51</v>
      </c>
      <c r="D118" s="59"/>
      <c r="E118" s="59"/>
      <c r="F118" s="59"/>
      <c r="G118" s="59"/>
      <c r="H118" s="59"/>
      <c r="I118" s="59"/>
      <c r="J118" s="59"/>
      <c r="K118" s="59"/>
    </row>
    <row r="119" spans="3:11" customFormat="1" x14ac:dyDescent="0.25">
      <c r="C119" t="s">
        <v>48</v>
      </c>
      <c r="D119" s="54"/>
      <c r="E119" s="54"/>
      <c r="F119" s="54"/>
      <c r="G119" s="55">
        <f t="shared" ref="G119:K119" si="88">G$13</f>
        <v>2026</v>
      </c>
      <c r="H119" s="55">
        <f t="shared" si="88"/>
        <v>2027</v>
      </c>
      <c r="I119" s="55">
        <f t="shared" si="88"/>
        <v>2028</v>
      </c>
      <c r="J119" s="55">
        <f t="shared" si="88"/>
        <v>2029</v>
      </c>
      <c r="K119" s="55">
        <f t="shared" si="88"/>
        <v>2030</v>
      </c>
    </row>
    <row r="120" spans="3:11" customFormat="1" x14ac:dyDescent="0.25">
      <c r="C120" s="56" t="s">
        <v>49</v>
      </c>
      <c r="D120" s="57"/>
      <c r="E120" s="57"/>
      <c r="F120" s="57"/>
      <c r="G120" s="57">
        <f t="shared" ref="G120:K120" si="89">G$14</f>
        <v>46387</v>
      </c>
      <c r="H120" s="57">
        <f t="shared" si="89"/>
        <v>46752</v>
      </c>
      <c r="I120" s="57">
        <f t="shared" si="89"/>
        <v>47118</v>
      </c>
      <c r="J120" s="57">
        <f t="shared" si="89"/>
        <v>47483</v>
      </c>
      <c r="K120" s="57">
        <f t="shared" si="89"/>
        <v>47848</v>
      </c>
    </row>
    <row r="121" spans="3:11" ht="15" customHeight="1" x14ac:dyDescent="0.25"/>
    <row r="122" spans="3:11" s="18" customFormat="1" ht="15" customHeight="1" x14ac:dyDescent="0.25">
      <c r="C122" s="23" t="s">
        <v>34</v>
      </c>
      <c r="D122" s="231"/>
      <c r="E122" s="231"/>
      <c r="F122" s="231"/>
      <c r="G122" s="231">
        <f>G31</f>
        <v>23631416168.464851</v>
      </c>
      <c r="H122" s="231">
        <f t="shared" ref="H122:K122" si="90">H31</f>
        <v>27331794288.44725</v>
      </c>
      <c r="I122" s="231">
        <f t="shared" si="90"/>
        <v>31095768376.189575</v>
      </c>
      <c r="J122" s="231">
        <f t="shared" si="90"/>
        <v>34825979634.094345</v>
      </c>
      <c r="K122" s="231">
        <f t="shared" si="90"/>
        <v>38726738581.144417</v>
      </c>
    </row>
    <row r="123" spans="3:11" ht="15" customHeight="1" x14ac:dyDescent="0.25">
      <c r="C123" s="23" t="s">
        <v>274</v>
      </c>
      <c r="D123" s="233"/>
      <c r="E123" s="233"/>
      <c r="F123" s="233"/>
      <c r="G123" s="233">
        <f>G165</f>
        <v>3092652588.8039999</v>
      </c>
      <c r="H123" s="233">
        <f t="shared" ref="H123:K123" si="91">H165</f>
        <v>4118843869.5612431</v>
      </c>
      <c r="I123" s="233">
        <f t="shared" si="91"/>
        <v>5026384579.5894728</v>
      </c>
      <c r="J123" s="233">
        <f t="shared" si="91"/>
        <v>5754591231.8775263</v>
      </c>
      <c r="K123" s="233">
        <f t="shared" si="91"/>
        <v>6252749091.8603945</v>
      </c>
    </row>
    <row r="124" spans="3:11" ht="15" customHeight="1" x14ac:dyDescent="0.25">
      <c r="C124" s="23" t="s">
        <v>275</v>
      </c>
      <c r="D124" s="233"/>
      <c r="E124" s="232"/>
      <c r="F124" s="232"/>
      <c r="G124" s="232">
        <f>G173</f>
        <v>327068156.07131028</v>
      </c>
      <c r="H124" s="232">
        <f t="shared" ref="H124:K124" si="92">H173</f>
        <v>378205886.63465339</v>
      </c>
      <c r="I124" s="232">
        <f t="shared" si="92"/>
        <v>426392002.83927196</v>
      </c>
      <c r="J124" s="232">
        <f t="shared" si="92"/>
        <v>471298156.82243919</v>
      </c>
      <c r="K124" s="232">
        <f t="shared" si="92"/>
        <v>513878395.08486682</v>
      </c>
    </row>
    <row r="125" spans="3:11" ht="15" customHeight="1" x14ac:dyDescent="0.25">
      <c r="C125" s="23" t="s">
        <v>276</v>
      </c>
      <c r="D125" s="233"/>
      <c r="E125" s="232"/>
      <c r="F125" s="232"/>
      <c r="G125" s="232">
        <f>-G28</f>
        <v>-1486683111.54</v>
      </c>
      <c r="H125" s="232">
        <f>-H28</f>
        <v>-1682925282.2632799</v>
      </c>
      <c r="I125" s="232">
        <f>-I28</f>
        <v>-1905071419.5220327</v>
      </c>
      <c r="J125" s="232">
        <f>-J28</f>
        <v>-2156540846.8989415</v>
      </c>
      <c r="K125" s="232">
        <f>-K28</f>
        <v>-2441204238.6896014</v>
      </c>
    </row>
    <row r="126" spans="3:11" s="18" customFormat="1" ht="15" customHeight="1" x14ac:dyDescent="0.25">
      <c r="C126" s="18" t="s">
        <v>277</v>
      </c>
      <c r="D126" s="231"/>
      <c r="E126" s="231"/>
      <c r="F126" s="231"/>
      <c r="G126" s="231">
        <f>SUM(G122:G125)</f>
        <v>25564453801.800163</v>
      </c>
      <c r="H126" s="231">
        <f>SUM(H122:H125)</f>
        <v>30145918762.379868</v>
      </c>
      <c r="I126" s="231">
        <f>SUM(I122:I125)</f>
        <v>34643473539.096283</v>
      </c>
      <c r="J126" s="231">
        <f>SUM(J122:J125)</f>
        <v>38895328175.89537</v>
      </c>
      <c r="K126" s="231">
        <f>SUM(K122:K125)</f>
        <v>43052161829.400085</v>
      </c>
    </row>
    <row r="127" spans="3:11" s="18" customFormat="1" ht="15" customHeight="1" x14ac:dyDescent="0.25">
      <c r="D127" s="237"/>
      <c r="E127" s="235"/>
      <c r="F127" s="235"/>
      <c r="G127" s="236"/>
      <c r="H127" s="236"/>
      <c r="I127" s="236"/>
      <c r="J127" s="236"/>
      <c r="K127" s="236"/>
    </row>
    <row r="128" spans="3:11" ht="15" customHeight="1" x14ac:dyDescent="0.25">
      <c r="C128" s="228" t="s">
        <v>217</v>
      </c>
      <c r="D128" s="232"/>
      <c r="E128" s="232"/>
      <c r="F128" s="232"/>
      <c r="G128" s="232"/>
      <c r="H128" s="232"/>
      <c r="I128" s="232"/>
      <c r="J128" s="232"/>
      <c r="K128" s="232"/>
    </row>
    <row r="129" spans="3:11" ht="15" customHeight="1" x14ac:dyDescent="0.25">
      <c r="C129" s="23" t="s">
        <v>194</v>
      </c>
      <c r="D129" s="232"/>
      <c r="E129" s="232"/>
      <c r="F129" s="232"/>
      <c r="G129" s="232">
        <f t="shared" ref="G129:K130" si="93">-(G62-F62)</f>
        <v>-11254755368.375244</v>
      </c>
      <c r="H129" s="232">
        <f t="shared" si="93"/>
        <v>-11118934726.014069</v>
      </c>
      <c r="I129" s="232">
        <f t="shared" si="93"/>
        <v>-10477161870.052628</v>
      </c>
      <c r="J129" s="232">
        <f t="shared" si="93"/>
        <v>-9763995966.0840149</v>
      </c>
      <c r="K129" s="232">
        <f t="shared" si="93"/>
        <v>-9258269474.2703094</v>
      </c>
    </row>
    <row r="130" spans="3:11" ht="15" customHeight="1" x14ac:dyDescent="0.25">
      <c r="C130" s="23" t="s">
        <v>195</v>
      </c>
      <c r="D130" s="232"/>
      <c r="E130" s="232"/>
      <c r="F130" s="232"/>
      <c r="G130" s="232">
        <f t="shared" si="93"/>
        <v>-5620713825.9591217</v>
      </c>
      <c r="H130" s="232">
        <f t="shared" si="93"/>
        <v>-5552883923.1861877</v>
      </c>
      <c r="I130" s="232">
        <f t="shared" si="93"/>
        <v>-5232377484.2133942</v>
      </c>
      <c r="J130" s="232">
        <f t="shared" si="93"/>
        <v>-4876216792.5379028</v>
      </c>
      <c r="K130" s="232">
        <f t="shared" si="93"/>
        <v>-4623652983.5831299</v>
      </c>
    </row>
    <row r="131" spans="3:11" ht="15" customHeight="1" x14ac:dyDescent="0.25">
      <c r="C131" s="23" t="s">
        <v>278</v>
      </c>
      <c r="D131" s="232"/>
      <c r="E131" s="232"/>
      <c r="F131" s="232"/>
      <c r="G131" s="232">
        <f t="shared" ref="G131:K132" si="94">-(G65-F65)</f>
        <v>-21858914167.427582</v>
      </c>
      <c r="H131" s="232">
        <f t="shared" si="94"/>
        <v>-21595124181.207184</v>
      </c>
      <c r="I131" s="232">
        <f t="shared" si="94"/>
        <v>-20348677029.377899</v>
      </c>
      <c r="J131" s="232">
        <f t="shared" si="94"/>
        <v>-18963570754.585938</v>
      </c>
      <c r="K131" s="232">
        <f t="shared" si="94"/>
        <v>-17981351984.392792</v>
      </c>
    </row>
    <row r="132" spans="3:11" ht="15" customHeight="1" x14ac:dyDescent="0.25">
      <c r="C132" s="23" t="s">
        <v>162</v>
      </c>
      <c r="D132" s="232"/>
      <c r="E132" s="232"/>
      <c r="F132" s="232"/>
      <c r="G132" s="232">
        <f t="shared" si="94"/>
        <v>-529744001.65508366</v>
      </c>
      <c r="H132" s="232">
        <f t="shared" si="94"/>
        <v>-523351133.19754696</v>
      </c>
      <c r="I132" s="232">
        <f t="shared" si="94"/>
        <v>-493143873.26669788</v>
      </c>
      <c r="J132" s="232">
        <f t="shared" si="94"/>
        <v>-459576252.5191288</v>
      </c>
      <c r="K132" s="232">
        <f t="shared" si="94"/>
        <v>-435772485.42267323</v>
      </c>
    </row>
    <row r="133" spans="3:11" ht="15" customHeight="1" x14ac:dyDescent="0.25">
      <c r="C133" s="23" t="s">
        <v>235</v>
      </c>
      <c r="D133" s="232"/>
      <c r="E133" s="232"/>
      <c r="F133" s="232"/>
      <c r="G133" s="232">
        <f t="shared" ref="G133:K135" si="95">G88-F88</f>
        <v>12953612510.941635</v>
      </c>
      <c r="H133" s="232">
        <f t="shared" si="95"/>
        <v>12797290324.048294</v>
      </c>
      <c r="I133" s="232">
        <f t="shared" si="95"/>
        <v>12058644602.833923</v>
      </c>
      <c r="J133" s="232">
        <f t="shared" si="95"/>
        <v>11237829358.640976</v>
      </c>
      <c r="K133" s="232">
        <f t="shared" si="95"/>
        <v>10655765617.843887</v>
      </c>
    </row>
    <row r="134" spans="3:11" ht="15" customHeight="1" x14ac:dyDescent="0.25">
      <c r="C134" s="23" t="s">
        <v>212</v>
      </c>
      <c r="D134" s="232"/>
      <c r="E134" s="232"/>
      <c r="F134" s="232"/>
      <c r="G134" s="232">
        <f t="shared" si="95"/>
        <v>15279498789.593811</v>
      </c>
      <c r="H134" s="232">
        <f t="shared" si="95"/>
        <v>15095108167.795792</v>
      </c>
      <c r="I134" s="232">
        <f t="shared" si="95"/>
        <v>14223834892.197906</v>
      </c>
      <c r="J134" s="232">
        <f t="shared" si="95"/>
        <v>13255638142.485641</v>
      </c>
      <c r="K134" s="232">
        <f t="shared" si="95"/>
        <v>12569061929.443604</v>
      </c>
    </row>
    <row r="135" spans="3:11" ht="15" customHeight="1" x14ac:dyDescent="0.25">
      <c r="C135" s="23" t="s">
        <v>216</v>
      </c>
      <c r="D135" s="232"/>
      <c r="E135" s="232"/>
      <c r="F135" s="232"/>
      <c r="G135" s="232">
        <f t="shared" si="95"/>
        <v>927695687.88892937</v>
      </c>
      <c r="H135" s="232">
        <f t="shared" si="95"/>
        <v>916500400.19757652</v>
      </c>
      <c r="I135" s="232">
        <f t="shared" si="95"/>
        <v>863600990.87300396</v>
      </c>
      <c r="J135" s="232">
        <f t="shared" si="95"/>
        <v>804816866.98879147</v>
      </c>
      <c r="K135" s="232">
        <f t="shared" si="95"/>
        <v>763131350.92461586</v>
      </c>
    </row>
    <row r="136" spans="3:11" ht="15" customHeight="1" x14ac:dyDescent="0.25">
      <c r="C136" s="23" t="s">
        <v>279</v>
      </c>
      <c r="D136" s="232"/>
      <c r="E136" s="232"/>
      <c r="F136" s="232"/>
      <c r="G136" s="232">
        <f>-(G64-F64)</f>
        <v>-1896766256.5897503</v>
      </c>
      <c r="H136" s="232">
        <f>-(H64-G64)</f>
        <v>-1873876375.5619583</v>
      </c>
      <c r="I136" s="232">
        <f>-(I64-H64)</f>
        <v>-1765718263.036171</v>
      </c>
      <c r="J136" s="232">
        <f>-(J64-I64)</f>
        <v>-1645528265.3220577</v>
      </c>
      <c r="K136" s="232">
        <f>-(K64-J64)</f>
        <v>-1560298074.7635689</v>
      </c>
    </row>
    <row r="137" spans="3:11" ht="15" customHeight="1" x14ac:dyDescent="0.25">
      <c r="C137" s="23" t="s">
        <v>11</v>
      </c>
      <c r="D137" s="232"/>
      <c r="E137" s="232"/>
      <c r="F137" s="232"/>
      <c r="G137" s="232">
        <f>G91-F91</f>
        <v>2332401173.7424812</v>
      </c>
      <c r="H137" s="232">
        <f>H91-G91</f>
        <v>2304254118.0941792</v>
      </c>
      <c r="I137" s="232">
        <f>I91-H91</f>
        <v>2171255068.9343357</v>
      </c>
      <c r="J137" s="232">
        <f>J91-I91</f>
        <v>2023460742.2656784</v>
      </c>
      <c r="K137" s="232">
        <f>K91-J91</f>
        <v>1918655526.6486969</v>
      </c>
    </row>
    <row r="138" spans="3:11" s="18" customFormat="1" ht="15" customHeight="1" x14ac:dyDescent="0.25">
      <c r="C138" s="18" t="s">
        <v>21</v>
      </c>
      <c r="D138" s="235"/>
      <c r="E138" s="235"/>
      <c r="F138" s="235"/>
      <c r="G138" s="235">
        <f>G126+SUM(G129:G137)</f>
        <v>15896768343.960239</v>
      </c>
      <c r="H138" s="235">
        <f>H126+SUM(H129:H137)</f>
        <v>20594901433.348763</v>
      </c>
      <c r="I138" s="235">
        <f>I126+SUM(I129:I137)</f>
        <v>25643730573.988663</v>
      </c>
      <c r="J138" s="235">
        <f>J126+SUM(J129:J137)</f>
        <v>30508185255.227417</v>
      </c>
      <c r="K138" s="235">
        <f>K126+SUM(K129:K137)</f>
        <v>35099431251.828415</v>
      </c>
    </row>
    <row r="139" spans="3:11" s="18" customFormat="1" ht="15" customHeight="1" x14ac:dyDescent="0.25">
      <c r="C139" s="18" t="s">
        <v>280</v>
      </c>
      <c r="D139" s="231"/>
      <c r="E139" s="231"/>
      <c r="F139" s="231"/>
      <c r="G139" s="231">
        <f>G138</f>
        <v>15896768343.960239</v>
      </c>
      <c r="H139" s="231">
        <f>H138</f>
        <v>20594901433.348763</v>
      </c>
      <c r="I139" s="231">
        <f>I138</f>
        <v>25643730573.988663</v>
      </c>
      <c r="J139" s="231">
        <f>J138</f>
        <v>30508185255.227417</v>
      </c>
      <c r="K139" s="231">
        <f>K138</f>
        <v>35099431251.828415</v>
      </c>
    </row>
    <row r="140" spans="3:11" ht="15" customHeight="1" x14ac:dyDescent="0.25">
      <c r="D140" s="238"/>
      <c r="E140" s="234"/>
      <c r="F140" s="234"/>
      <c r="G140" s="234"/>
      <c r="H140" s="234"/>
      <c r="I140" s="234"/>
      <c r="J140" s="234"/>
      <c r="K140" s="234"/>
    </row>
    <row r="141" spans="3:11" customFormat="1" x14ac:dyDescent="0.25">
      <c r="C141" s="262" t="s">
        <v>22</v>
      </c>
      <c r="D141" s="263"/>
      <c r="E141" s="263"/>
      <c r="F141" s="263"/>
      <c r="G141" s="263"/>
      <c r="H141" s="263"/>
      <c r="I141" s="263"/>
      <c r="J141" s="263"/>
      <c r="K141" s="263"/>
    </row>
    <row r="142" spans="3:11" ht="15" customHeight="1" x14ac:dyDescent="0.25">
      <c r="D142" s="238"/>
      <c r="E142" s="234"/>
      <c r="F142" s="234"/>
      <c r="G142" s="234"/>
      <c r="H142" s="234"/>
      <c r="I142" s="234"/>
      <c r="J142" s="234"/>
      <c r="K142" s="234"/>
    </row>
    <row r="143" spans="3:11" ht="15" customHeight="1" x14ac:dyDescent="0.25">
      <c r="C143" s="23" t="s">
        <v>281</v>
      </c>
      <c r="D143" s="238"/>
      <c r="E143" s="232"/>
      <c r="F143" s="232"/>
      <c r="G143" s="232">
        <f>-G164</f>
        <v>-15025109341.795202</v>
      </c>
      <c r="H143" s="232">
        <f t="shared" ref="H143:K143" si="96">-H164</f>
        <v>-14671642823.377863</v>
      </c>
      <c r="I143" s="232">
        <f t="shared" si="96"/>
        <v>-13493903792.241259</v>
      </c>
      <c r="J143" s="232">
        <f t="shared" si="96"/>
        <v>-11547124487.492266</v>
      </c>
      <c r="K143" s="232">
        <f t="shared" si="96"/>
        <v>-9442776902.8702869</v>
      </c>
    </row>
    <row r="144" spans="3:11" ht="15" customHeight="1" x14ac:dyDescent="0.25">
      <c r="C144" s="23" t="s">
        <v>282</v>
      </c>
      <c r="D144" s="238"/>
      <c r="E144" s="232"/>
      <c r="F144" s="232"/>
      <c r="G144" s="232">
        <f>-G173</f>
        <v>-327068156.07131028</v>
      </c>
      <c r="H144" s="232">
        <f t="shared" ref="H144:K144" si="97">-H173</f>
        <v>-378205886.63465339</v>
      </c>
      <c r="I144" s="232">
        <f t="shared" si="97"/>
        <v>-426392002.83927196</v>
      </c>
      <c r="J144" s="232">
        <f t="shared" si="97"/>
        <v>-471298156.82243919</v>
      </c>
      <c r="K144" s="232">
        <f t="shared" si="97"/>
        <v>-513878395.08486682</v>
      </c>
    </row>
    <row r="145" spans="3:11" ht="15" customHeight="1" x14ac:dyDescent="0.25">
      <c r="C145" s="23" t="s">
        <v>283</v>
      </c>
      <c r="D145" s="238"/>
      <c r="E145" s="232"/>
      <c r="F145" s="232"/>
      <c r="G145" s="232">
        <f>G263</f>
        <v>594673244.61600006</v>
      </c>
      <c r="H145" s="232">
        <f t="shared" ref="H145:K145" si="98">H263</f>
        <v>673170112.90531206</v>
      </c>
      <c r="I145" s="232">
        <f t="shared" si="98"/>
        <v>762028567.8088131</v>
      </c>
      <c r="J145" s="232">
        <f t="shared" si="98"/>
        <v>862616338.75957668</v>
      </c>
      <c r="K145" s="232">
        <f t="shared" si="98"/>
        <v>976481695.47584057</v>
      </c>
    </row>
    <row r="146" spans="3:11" ht="15" customHeight="1" x14ac:dyDescent="0.25">
      <c r="C146" s="18" t="s">
        <v>284</v>
      </c>
      <c r="D146" s="238"/>
      <c r="E146" s="235"/>
      <c r="F146" s="235"/>
      <c r="G146" s="235">
        <f>SUM(G143:G145)</f>
        <v>-14757504253.250513</v>
      </c>
      <c r="H146" s="235">
        <f>SUM(H143:H145)</f>
        <v>-14376678597.107204</v>
      </c>
      <c r="I146" s="235">
        <f>SUM(I143:I145)</f>
        <v>-13158267227.271717</v>
      </c>
      <c r="J146" s="235">
        <f>SUM(J143:J145)</f>
        <v>-11155806305.555128</v>
      </c>
      <c r="K146" s="235">
        <f>SUM(K143:K145)</f>
        <v>-8980173602.4793129</v>
      </c>
    </row>
    <row r="147" spans="3:11" ht="15" customHeight="1" x14ac:dyDescent="0.25">
      <c r="D147" s="238"/>
      <c r="E147" s="239"/>
      <c r="F147" s="239"/>
      <c r="G147" s="234"/>
      <c r="H147" s="234"/>
      <c r="I147" s="234"/>
      <c r="J147" s="234"/>
      <c r="K147" s="234"/>
    </row>
    <row r="148" spans="3:11" s="48" customFormat="1" ht="15" customHeight="1" x14ac:dyDescent="0.25">
      <c r="C148" s="58" t="s">
        <v>23</v>
      </c>
      <c r="D148" s="240"/>
      <c r="E148" s="241"/>
      <c r="F148" s="241"/>
      <c r="G148" s="241"/>
      <c r="H148" s="241"/>
      <c r="I148" s="241"/>
      <c r="J148" s="241"/>
      <c r="K148" s="241"/>
    </row>
    <row r="149" spans="3:11" ht="15" customHeight="1" x14ac:dyDescent="0.25">
      <c r="D149" s="238"/>
      <c r="E149" s="239"/>
      <c r="F149" s="239"/>
      <c r="G149" s="234"/>
      <c r="H149" s="234"/>
      <c r="I149" s="234"/>
      <c r="J149" s="234"/>
      <c r="K149" s="234"/>
    </row>
    <row r="150" spans="3:11" ht="15" customHeight="1" x14ac:dyDescent="0.25">
      <c r="C150" s="23" t="s">
        <v>285</v>
      </c>
      <c r="D150" s="238"/>
      <c r="E150" s="232"/>
      <c r="F150" s="232"/>
      <c r="G150" s="232">
        <f>-G241+G248</f>
        <v>-6498639446.3278351</v>
      </c>
      <c r="H150" s="232">
        <f t="shared" ref="H150:K150" si="99">-H241+H248</f>
        <v>-7516243429.3229952</v>
      </c>
      <c r="I150" s="232">
        <f t="shared" si="99"/>
        <v>-8551336303.4521332</v>
      </c>
      <c r="J150" s="232">
        <f t="shared" si="99"/>
        <v>-9577144399.375946</v>
      </c>
      <c r="K150" s="232">
        <f t="shared" si="99"/>
        <v>-10649853109.814714</v>
      </c>
    </row>
    <row r="151" spans="3:11" ht="15" customHeight="1" x14ac:dyDescent="0.25">
      <c r="C151" s="18" t="s">
        <v>286</v>
      </c>
      <c r="D151" s="237"/>
      <c r="E151" s="235"/>
      <c r="F151" s="235"/>
      <c r="G151" s="235">
        <f>SUM(G150:G150)</f>
        <v>-6498639446.3278351</v>
      </c>
      <c r="H151" s="235">
        <f>SUM(H150:H150)</f>
        <v>-7516243429.3229952</v>
      </c>
      <c r="I151" s="235">
        <f>SUM(I150:I150)</f>
        <v>-8551336303.4521332</v>
      </c>
      <c r="J151" s="235">
        <f>SUM(J150:J150)</f>
        <v>-9577144399.375946</v>
      </c>
      <c r="K151" s="235">
        <f>SUM(K150:K150)</f>
        <v>-10649853109.814714</v>
      </c>
    </row>
    <row r="152" spans="3:11" ht="15" customHeight="1" x14ac:dyDescent="0.25">
      <c r="C152" s="18"/>
      <c r="D152" s="237"/>
      <c r="E152" s="235"/>
      <c r="F152" s="235"/>
      <c r="G152" s="235"/>
      <c r="H152" s="235"/>
      <c r="I152" s="235"/>
      <c r="J152" s="235"/>
      <c r="K152" s="235"/>
    </row>
    <row r="153" spans="3:11" ht="15" customHeight="1" x14ac:dyDescent="0.25">
      <c r="C153" s="18" t="s">
        <v>218</v>
      </c>
      <c r="D153" s="237"/>
      <c r="E153" s="235"/>
      <c r="F153" s="235"/>
      <c r="G153" s="235">
        <f>G139+G146+G151</f>
        <v>-5359375355.6181087</v>
      </c>
      <c r="H153" s="235">
        <f>H139+H146+H151</f>
        <v>-1298020593.0814371</v>
      </c>
      <c r="I153" s="235">
        <f>I139+I146+I151</f>
        <v>3934127043.2648125</v>
      </c>
      <c r="J153" s="235">
        <f>J139+J146+J151</f>
        <v>9775234550.2963409</v>
      </c>
      <c r="K153" s="235">
        <f>K139+K146+K151</f>
        <v>15469404539.534388</v>
      </c>
    </row>
    <row r="154" spans="3:11" ht="15" customHeight="1" x14ac:dyDescent="0.25">
      <c r="C154" s="8" t="s">
        <v>219</v>
      </c>
      <c r="D154" s="237"/>
      <c r="E154" s="235"/>
      <c r="F154" s="235"/>
      <c r="G154" s="235">
        <f>F68</f>
        <v>41949208624</v>
      </c>
      <c r="H154" s="235">
        <f>G68</f>
        <v>36589833268.381889</v>
      </c>
      <c r="I154" s="235">
        <f>H68</f>
        <v>35291812675.300453</v>
      </c>
      <c r="J154" s="235">
        <f>I68</f>
        <v>39225939718.565262</v>
      </c>
      <c r="K154" s="235">
        <f>J68</f>
        <v>49001174268.861603</v>
      </c>
    </row>
    <row r="155" spans="3:11" ht="15" customHeight="1" x14ac:dyDescent="0.25">
      <c r="C155" s="18" t="s">
        <v>220</v>
      </c>
      <c r="D155" s="238"/>
      <c r="E155" s="235"/>
      <c r="F155" s="235"/>
      <c r="G155" s="235">
        <f>G153+G154</f>
        <v>36589833268.381889</v>
      </c>
      <c r="H155" s="235">
        <f t="shared" ref="H155:K155" si="100">H153+H154</f>
        <v>35291812675.300453</v>
      </c>
      <c r="I155" s="235">
        <f t="shared" si="100"/>
        <v>39225939718.565262</v>
      </c>
      <c r="J155" s="235">
        <f t="shared" si="100"/>
        <v>49001174268.861603</v>
      </c>
      <c r="K155" s="235">
        <f t="shared" si="100"/>
        <v>64470578808.395988</v>
      </c>
    </row>
    <row r="156" spans="3:11" ht="15" customHeight="1" x14ac:dyDescent="0.25">
      <c r="C156" s="18"/>
      <c r="D156" s="238"/>
      <c r="E156" s="236"/>
      <c r="F156" s="235"/>
      <c r="G156" s="236"/>
      <c r="H156" s="236"/>
      <c r="I156" s="236"/>
      <c r="J156" s="236"/>
      <c r="K156" s="236"/>
    </row>
    <row r="157" spans="3:11" ht="15" customHeight="1" x14ac:dyDescent="0.25">
      <c r="C157" s="18" t="s">
        <v>24</v>
      </c>
      <c r="D157" s="238"/>
      <c r="E157" s="232"/>
      <c r="F157" s="232"/>
      <c r="G157" s="232">
        <f>G155-G68</f>
        <v>0</v>
      </c>
      <c r="H157" s="232">
        <f>H155-H68</f>
        <v>0</v>
      </c>
      <c r="I157" s="232">
        <f>I155-I68</f>
        <v>0</v>
      </c>
      <c r="J157" s="232">
        <f>J155-J68</f>
        <v>0</v>
      </c>
      <c r="K157" s="232">
        <f>K155-K68</f>
        <v>0</v>
      </c>
    </row>
    <row r="158" spans="3:11" ht="15" customHeight="1" x14ac:dyDescent="0.25"/>
    <row r="159" spans="3:11" customFormat="1" x14ac:dyDescent="0.25">
      <c r="C159" s="52" t="s">
        <v>35</v>
      </c>
      <c r="D159" s="53"/>
      <c r="E159" s="53"/>
      <c r="F159" s="53"/>
      <c r="G159" s="53"/>
      <c r="H159" s="53"/>
      <c r="I159" s="53"/>
      <c r="J159" s="53"/>
      <c r="K159" s="53"/>
    </row>
    <row r="160" spans="3:11" customFormat="1" x14ac:dyDescent="0.25">
      <c r="C160" t="s">
        <v>48</v>
      </c>
      <c r="D160" s="54">
        <f t="shared" ref="D160:F160" si="101">D$13</f>
        <v>2023</v>
      </c>
      <c r="E160" s="54">
        <f t="shared" si="101"/>
        <v>2024</v>
      </c>
      <c r="F160" s="54">
        <f t="shared" si="101"/>
        <v>2025</v>
      </c>
      <c r="G160" s="55">
        <f t="shared" ref="G160:K160" si="102">G$13</f>
        <v>2026</v>
      </c>
      <c r="H160" s="55">
        <f t="shared" si="102"/>
        <v>2027</v>
      </c>
      <c r="I160" s="55">
        <f t="shared" si="102"/>
        <v>2028</v>
      </c>
      <c r="J160" s="55">
        <f t="shared" si="102"/>
        <v>2029</v>
      </c>
      <c r="K160" s="55">
        <f t="shared" si="102"/>
        <v>2030</v>
      </c>
    </row>
    <row r="161" spans="1:11" customFormat="1" x14ac:dyDescent="0.25">
      <c r="C161" s="56" t="s">
        <v>49</v>
      </c>
      <c r="D161" s="57">
        <f t="shared" ref="D161:F161" si="103">D$14</f>
        <v>45291</v>
      </c>
      <c r="E161" s="57">
        <f t="shared" si="103"/>
        <v>45657</v>
      </c>
      <c r="F161" s="57">
        <f t="shared" si="103"/>
        <v>46022</v>
      </c>
      <c r="G161" s="57">
        <f t="shared" ref="G161:K161" si="104">G$14</f>
        <v>46387</v>
      </c>
      <c r="H161" s="57">
        <f t="shared" si="104"/>
        <v>46752</v>
      </c>
      <c r="I161" s="57">
        <f t="shared" si="104"/>
        <v>47118</v>
      </c>
      <c r="J161" s="57">
        <f t="shared" si="104"/>
        <v>47483</v>
      </c>
      <c r="K161" s="57">
        <f t="shared" si="104"/>
        <v>47848</v>
      </c>
    </row>
    <row r="162" spans="1:11" ht="15" customHeight="1" x14ac:dyDescent="0.25"/>
    <row r="163" spans="1:11" ht="15" customHeight="1" x14ac:dyDescent="0.25">
      <c r="C163" s="23" t="s">
        <v>36</v>
      </c>
      <c r="D163" s="212"/>
      <c r="E163" s="214">
        <f>D166</f>
        <v>18009166367</v>
      </c>
      <c r="F163" s="214">
        <f t="shared" ref="F163" si="105">E166</f>
        <v>27543762675</v>
      </c>
      <c r="G163" s="214">
        <f>F166</f>
        <v>35961076614</v>
      </c>
      <c r="H163" s="214">
        <f t="shared" ref="H163:K163" si="106">G166</f>
        <v>47893533366.991203</v>
      </c>
      <c r="I163" s="214">
        <f t="shared" si="106"/>
        <v>58446332320.807823</v>
      </c>
      <c r="J163" s="214">
        <f t="shared" si="106"/>
        <v>66913851533.459618</v>
      </c>
      <c r="K163" s="214">
        <f t="shared" si="106"/>
        <v>72706384789.074356</v>
      </c>
    </row>
    <row r="164" spans="1:11" ht="15" customHeight="1" x14ac:dyDescent="0.25">
      <c r="C164" s="42" t="s">
        <v>37</v>
      </c>
      <c r="D164" s="229">
        <v>4748595385</v>
      </c>
      <c r="E164" s="229">
        <v>8489780912</v>
      </c>
      <c r="F164" s="230">
        <v>13112049791</v>
      </c>
      <c r="G164" s="211">
        <f>G16*G52</f>
        <v>15025109341.795202</v>
      </c>
      <c r="H164" s="211">
        <f>H16*H52</f>
        <v>14671642823.377863</v>
      </c>
      <c r="I164" s="211">
        <f>I16*I52</f>
        <v>13493903792.241259</v>
      </c>
      <c r="J164" s="211">
        <f>J16*J52</f>
        <v>11547124487.492266</v>
      </c>
      <c r="K164" s="211">
        <f>K16*K52</f>
        <v>9442776902.8702869</v>
      </c>
    </row>
    <row r="165" spans="1:11" ht="15" customHeight="1" x14ac:dyDescent="0.25">
      <c r="C165" s="42" t="s">
        <v>38</v>
      </c>
      <c r="D165" s="230">
        <v>2120789808</v>
      </c>
      <c r="E165" s="230">
        <v>2019646871</v>
      </c>
      <c r="F165" s="230">
        <v>2733671862</v>
      </c>
      <c r="G165" s="211">
        <f>G163*G53</f>
        <v>3092652588.8039999</v>
      </c>
      <c r="H165" s="211">
        <f>H163*H53</f>
        <v>4118843869.5612431</v>
      </c>
      <c r="I165" s="211">
        <f>I163*I53</f>
        <v>5026384579.5894728</v>
      </c>
      <c r="J165" s="211">
        <f>J163*J53</f>
        <v>5754591231.8775263</v>
      </c>
      <c r="K165" s="211">
        <f>K163*K53</f>
        <v>6252749091.8603945</v>
      </c>
    </row>
    <row r="166" spans="1:11" ht="15" customHeight="1" x14ac:dyDescent="0.25">
      <c r="C166" s="22" t="s">
        <v>39</v>
      </c>
      <c r="D166" s="213">
        <f>D72</f>
        <v>18009166367</v>
      </c>
      <c r="E166" s="213">
        <f>E72</f>
        <v>27543762675</v>
      </c>
      <c r="F166" s="213">
        <f>F72</f>
        <v>35961076614</v>
      </c>
      <c r="G166" s="213">
        <f>G163+G164-G165</f>
        <v>47893533366.991203</v>
      </c>
      <c r="H166" s="213">
        <f t="shared" ref="H166:K166" si="107">H163+H164-H165</f>
        <v>58446332320.807823</v>
      </c>
      <c r="I166" s="213">
        <f t="shared" si="107"/>
        <v>66913851533.459618</v>
      </c>
      <c r="J166" s="213">
        <f t="shared" si="107"/>
        <v>72706384789.074356</v>
      </c>
      <c r="K166" s="213">
        <f t="shared" si="107"/>
        <v>75896412600.084244</v>
      </c>
    </row>
    <row r="167" spans="1:11" ht="15" customHeight="1" x14ac:dyDescent="0.25">
      <c r="C167" s="18"/>
      <c r="D167" s="13"/>
      <c r="E167" s="181"/>
      <c r="F167" s="181"/>
      <c r="G167" s="182"/>
      <c r="H167" s="182"/>
      <c r="I167" s="182"/>
      <c r="J167" s="182"/>
      <c r="K167" s="182"/>
    </row>
    <row r="168" spans="1:11" ht="15" customHeight="1" x14ac:dyDescent="0.25">
      <c r="C168" s="8" t="s">
        <v>154</v>
      </c>
      <c r="D168" s="1">
        <f t="shared" ref="D168:K168" si="108">D164/D16</f>
        <v>3.1202526257150053E-2</v>
      </c>
      <c r="E168" s="1">
        <f t="shared" si="108"/>
        <v>3.6596748581127811E-2</v>
      </c>
      <c r="F168" s="1">
        <f t="shared" si="108"/>
        <v>4.6653949946400326E-2</v>
      </c>
      <c r="G168" s="1">
        <f t="shared" si="108"/>
        <v>4.4999999999999998E-2</v>
      </c>
      <c r="H168" s="1">
        <f t="shared" si="108"/>
        <v>3.7999999999999999E-2</v>
      </c>
      <c r="I168" s="1">
        <f t="shared" si="108"/>
        <v>3.0999999999999996E-2</v>
      </c>
      <c r="J168" s="1">
        <f t="shared" si="108"/>
        <v>2.4E-2</v>
      </c>
      <c r="K168" s="1">
        <f t="shared" si="108"/>
        <v>1.7999999999999999E-2</v>
      </c>
    </row>
    <row r="169" spans="1:11" ht="15" customHeight="1" x14ac:dyDescent="0.25">
      <c r="C169" s="8" t="s">
        <v>155</v>
      </c>
      <c r="D169" s="1"/>
      <c r="E169" s="1">
        <f>E165/AVERAGE(D166,E166)</f>
        <v>8.8672536035514934E-2</v>
      </c>
      <c r="F169" s="1">
        <f t="shared" ref="F169:K169" si="109">F165/AVERAGE(E166,F166)</f>
        <v>8.609334005427563E-2</v>
      </c>
      <c r="G169" s="1">
        <f t="shared" si="109"/>
        <v>7.3762255635201585E-2</v>
      </c>
      <c r="H169" s="1">
        <f t="shared" si="109"/>
        <v>7.7465658676938151E-2</v>
      </c>
      <c r="I169" s="1">
        <f t="shared" si="109"/>
        <v>8.0191085000843626E-2</v>
      </c>
      <c r="J169" s="1">
        <f t="shared" si="109"/>
        <v>8.2432051161752201E-2</v>
      </c>
      <c r="K169" s="1">
        <f t="shared" si="109"/>
        <v>8.4153854459223895E-2</v>
      </c>
    </row>
    <row r="170" spans="1:11" ht="15" customHeight="1" x14ac:dyDescent="0.25">
      <c r="D170" s="41"/>
      <c r="E170" s="1"/>
      <c r="F170" s="1"/>
      <c r="G170" s="1"/>
      <c r="H170" s="1"/>
      <c r="I170" s="1"/>
      <c r="J170" s="1"/>
      <c r="K170" s="1"/>
    </row>
    <row r="171" spans="1:11" s="48" customFormat="1" ht="15" customHeight="1" x14ac:dyDescent="0.25">
      <c r="C171" s="58" t="s">
        <v>40</v>
      </c>
      <c r="D171" s="61"/>
      <c r="E171" s="61"/>
      <c r="F171" s="61"/>
      <c r="G171" s="61"/>
      <c r="H171" s="61"/>
      <c r="I171" s="61"/>
      <c r="J171" s="61"/>
      <c r="K171" s="61"/>
    </row>
    <row r="172" spans="1:11" s="44" customFormat="1" ht="15" customHeight="1" x14ac:dyDescent="0.25">
      <c r="C172" s="45"/>
      <c r="D172" s="46"/>
      <c r="E172" s="47"/>
      <c r="F172" s="47"/>
      <c r="G172" s="47"/>
      <c r="H172" s="47"/>
      <c r="I172" s="47"/>
      <c r="J172" s="47"/>
      <c r="K172" s="47"/>
    </row>
    <row r="173" spans="1:11" s="44" customFormat="1" ht="15" customHeight="1" x14ac:dyDescent="0.25">
      <c r="C173" s="48" t="s">
        <v>41</v>
      </c>
      <c r="D173" s="13">
        <v>175197148</v>
      </c>
      <c r="E173" s="13">
        <v>240098935</v>
      </c>
      <c r="F173" s="216">
        <v>275305765</v>
      </c>
      <c r="G173" s="49">
        <f>G16*G174</f>
        <v>327068156.07131028</v>
      </c>
      <c r="H173" s="49">
        <f>H16*H174</f>
        <v>378205886.63465339</v>
      </c>
      <c r="I173" s="49">
        <f>I16*I174</f>
        <v>426392002.83927196</v>
      </c>
      <c r="J173" s="49">
        <f>J16*J174</f>
        <v>471298156.82243919</v>
      </c>
      <c r="K173" s="49">
        <f>K16*K174</f>
        <v>513878395.08486682</v>
      </c>
    </row>
    <row r="174" spans="1:11" s="44" customFormat="1" ht="15" customHeight="1" x14ac:dyDescent="0.25">
      <c r="A174" s="45"/>
      <c r="B174" s="45"/>
      <c r="C174" s="35" t="s">
        <v>42</v>
      </c>
      <c r="D174" s="50">
        <f>D173/D16</f>
        <v>1.1512022329625803E-3</v>
      </c>
      <c r="E174" s="50">
        <f>E173/E16</f>
        <v>1.0349902370709785E-3</v>
      </c>
      <c r="F174" s="50">
        <f>F173/F16</f>
        <v>9.7956471985650431E-4</v>
      </c>
      <c r="G174" s="50">
        <f>F174</f>
        <v>9.7956471985650431E-4</v>
      </c>
      <c r="H174" s="50">
        <f t="shared" ref="H174:K174" si="110">G174</f>
        <v>9.7956471985650431E-4</v>
      </c>
      <c r="I174" s="50">
        <f t="shared" si="110"/>
        <v>9.7956471985650431E-4</v>
      </c>
      <c r="J174" s="50">
        <f t="shared" si="110"/>
        <v>9.7956471985650431E-4</v>
      </c>
      <c r="K174" s="50">
        <f t="shared" si="110"/>
        <v>9.7956471985650431E-4</v>
      </c>
    </row>
    <row r="175" spans="1:11" ht="15" customHeight="1" x14ac:dyDescent="0.25">
      <c r="C175" s="51" t="s">
        <v>43</v>
      </c>
      <c r="D175" s="43">
        <f>D165+D173</f>
        <v>2295986956</v>
      </c>
      <c r="E175" s="43">
        <f t="shared" ref="E175:K175" si="111">E165+E173</f>
        <v>2259745806</v>
      </c>
      <c r="F175" s="43">
        <f t="shared" si="111"/>
        <v>3008977627</v>
      </c>
      <c r="G175" s="43">
        <f t="shared" si="111"/>
        <v>3419720744.8753099</v>
      </c>
      <c r="H175" s="43">
        <f t="shared" si="111"/>
        <v>4497049756.1958961</v>
      </c>
      <c r="I175" s="43">
        <f t="shared" si="111"/>
        <v>5452776582.4287443</v>
      </c>
      <c r="J175" s="43">
        <f t="shared" si="111"/>
        <v>6225889388.6999655</v>
      </c>
      <c r="K175" s="43">
        <f t="shared" si="111"/>
        <v>6766627486.945261</v>
      </c>
    </row>
    <row r="177" spans="3:11" x14ac:dyDescent="0.25">
      <c r="C177" s="18" t="s">
        <v>221</v>
      </c>
      <c r="D177" s="38"/>
      <c r="E177" s="18"/>
      <c r="F177" s="18"/>
      <c r="G177" s="18"/>
      <c r="H177" s="18"/>
      <c r="I177" s="18"/>
      <c r="J177" s="18"/>
      <c r="K177" s="18"/>
    </row>
    <row r="178" spans="3:11" x14ac:dyDescent="0.25">
      <c r="C178" s="62" t="s">
        <v>48</v>
      </c>
      <c r="D178" s="63">
        <f t="shared" ref="D178:F178" si="112">D$13</f>
        <v>2023</v>
      </c>
      <c r="E178" s="63">
        <f t="shared" si="112"/>
        <v>2024</v>
      </c>
      <c r="F178" s="63">
        <f t="shared" si="112"/>
        <v>2025</v>
      </c>
      <c r="G178" s="64">
        <f t="shared" ref="G178:K178" si="113">G$13</f>
        <v>2026</v>
      </c>
      <c r="H178" s="64">
        <f t="shared" si="113"/>
        <v>2027</v>
      </c>
      <c r="I178" s="64">
        <f t="shared" si="113"/>
        <v>2028</v>
      </c>
      <c r="J178" s="64">
        <f t="shared" si="113"/>
        <v>2029</v>
      </c>
      <c r="K178" s="64">
        <f t="shared" si="113"/>
        <v>2030</v>
      </c>
    </row>
    <row r="179" spans="3:11" x14ac:dyDescent="0.25">
      <c r="C179" s="56" t="s">
        <v>49</v>
      </c>
      <c r="D179" s="57">
        <f t="shared" ref="D179:K179" si="114">D$14</f>
        <v>45291</v>
      </c>
      <c r="E179" s="57">
        <f t="shared" si="114"/>
        <v>45657</v>
      </c>
      <c r="F179" s="57">
        <f t="shared" si="114"/>
        <v>46022</v>
      </c>
      <c r="G179" s="57">
        <f t="shared" si="114"/>
        <v>46387</v>
      </c>
      <c r="H179" s="57">
        <f t="shared" si="114"/>
        <v>46752</v>
      </c>
      <c r="I179" s="57">
        <f t="shared" si="114"/>
        <v>47118</v>
      </c>
      <c r="J179" s="57">
        <f t="shared" si="114"/>
        <v>47483</v>
      </c>
      <c r="K179" s="57">
        <f t="shared" si="114"/>
        <v>47848</v>
      </c>
    </row>
    <row r="180" spans="3:11" x14ac:dyDescent="0.25">
      <c r="C180" s="48"/>
      <c r="D180" s="60"/>
      <c r="E180" s="48"/>
      <c r="F180" s="48"/>
      <c r="G180" s="48"/>
      <c r="H180" s="48"/>
    </row>
    <row r="181" spans="3:11" x14ac:dyDescent="0.25">
      <c r="C181" s="8" t="s">
        <v>222</v>
      </c>
      <c r="D181" s="232"/>
      <c r="E181" s="232">
        <v>144306565789</v>
      </c>
      <c r="F181" s="232">
        <v>155792929738</v>
      </c>
      <c r="G181" s="232">
        <f>F181*(1+G187)</f>
        <v>174488081306.56003</v>
      </c>
      <c r="H181" s="232">
        <f t="shared" ref="H181:K181" si="115">G181*(1+H187)</f>
        <v>193681770250.28165</v>
      </c>
      <c r="I181" s="232">
        <f t="shared" si="115"/>
        <v>213049947275.30981</v>
      </c>
      <c r="J181" s="232">
        <f t="shared" si="115"/>
        <v>232224442530.08771</v>
      </c>
      <c r="K181" s="232">
        <f t="shared" si="115"/>
        <v>250802397932.49475</v>
      </c>
    </row>
    <row r="182" spans="3:11" x14ac:dyDescent="0.25">
      <c r="C182" s="8" t="s">
        <v>224</v>
      </c>
      <c r="D182" s="232"/>
      <c r="E182" s="232">
        <v>26983315761</v>
      </c>
      <c r="F182" s="232">
        <v>34297601753</v>
      </c>
      <c r="G182" s="232">
        <f t="shared" ref="G182:K183" si="116">F182*(1+G188)</f>
        <v>41157122103.599998</v>
      </c>
      <c r="H182" s="232">
        <f t="shared" si="116"/>
        <v>48153832861.211998</v>
      </c>
      <c r="I182" s="232">
        <f t="shared" si="116"/>
        <v>54895369461.781685</v>
      </c>
      <c r="J182" s="232">
        <f t="shared" si="116"/>
        <v>61482813797.195496</v>
      </c>
      <c r="K182" s="232">
        <f t="shared" si="116"/>
        <v>67631095176.915054</v>
      </c>
    </row>
    <row r="183" spans="3:11" x14ac:dyDescent="0.25">
      <c r="C183" s="8" t="s">
        <v>223</v>
      </c>
      <c r="D183" s="232"/>
      <c r="E183" s="232">
        <v>60691954027</v>
      </c>
      <c r="F183" s="232">
        <v>90958550228</v>
      </c>
      <c r="G183" s="232">
        <f t="shared" si="116"/>
        <v>118246115296.40001</v>
      </c>
      <c r="H183" s="232">
        <f t="shared" si="116"/>
        <v>144260260661.608</v>
      </c>
      <c r="I183" s="232">
        <f t="shared" si="116"/>
        <v>167341902367.46527</v>
      </c>
      <c r="J183" s="232">
        <f t="shared" si="116"/>
        <v>187422930651.56113</v>
      </c>
      <c r="K183" s="232">
        <f t="shared" si="116"/>
        <v>206165223716.71725</v>
      </c>
    </row>
    <row r="184" spans="3:11" x14ac:dyDescent="0.25">
      <c r="C184" s="22" t="s">
        <v>164</v>
      </c>
      <c r="D184" s="243"/>
      <c r="E184" s="243">
        <f>SUM(E181:E183)</f>
        <v>231981835577</v>
      </c>
      <c r="F184" s="243">
        <f>SUM(F181:F183)</f>
        <v>281049081719</v>
      </c>
      <c r="G184" s="243">
        <f t="shared" ref="G184:K184" si="117">SUM(G181:G183)</f>
        <v>333891318706.56006</v>
      </c>
      <c r="H184" s="243">
        <f t="shared" si="117"/>
        <v>386095863773.10168</v>
      </c>
      <c r="I184" s="243">
        <f t="shared" si="117"/>
        <v>435287219104.55676</v>
      </c>
      <c r="J184" s="243">
        <f t="shared" si="117"/>
        <v>481130186978.84436</v>
      </c>
      <c r="K184" s="243">
        <f t="shared" si="117"/>
        <v>524598716826.12708</v>
      </c>
    </row>
    <row r="185" spans="3:11" x14ac:dyDescent="0.25">
      <c r="C185" s="8" t="s">
        <v>165</v>
      </c>
      <c r="D185" s="232"/>
      <c r="E185" s="232">
        <f>E184-E16</f>
        <v>0</v>
      </c>
      <c r="F185" s="232">
        <f>F184-F16</f>
        <v>0</v>
      </c>
      <c r="G185" s="232"/>
      <c r="H185" s="232"/>
      <c r="I185" s="232"/>
      <c r="J185" s="232"/>
      <c r="K185" s="232"/>
    </row>
    <row r="186" spans="3:11" x14ac:dyDescent="0.25">
      <c r="C186" s="48"/>
      <c r="D186" s="8"/>
    </row>
    <row r="187" spans="3:11" x14ac:dyDescent="0.25">
      <c r="C187" s="8" t="s">
        <v>222</v>
      </c>
      <c r="E187" s="1"/>
      <c r="F187" s="1">
        <f>F181/E181-1</f>
        <v>7.9596960028797126E-2</v>
      </c>
      <c r="G187" s="1">
        <v>0.12</v>
      </c>
      <c r="H187" s="1">
        <v>0.11</v>
      </c>
      <c r="I187" s="1">
        <v>0.1</v>
      </c>
      <c r="J187" s="1">
        <v>0.09</v>
      </c>
      <c r="K187" s="1">
        <v>0.08</v>
      </c>
    </row>
    <row r="188" spans="3:11" x14ac:dyDescent="0.25">
      <c r="C188" s="8" t="s">
        <v>224</v>
      </c>
      <c r="E188" s="1"/>
      <c r="F188" s="1">
        <f>F182/E182-1</f>
        <v>0.27106698290102704</v>
      </c>
      <c r="G188" s="1">
        <v>0.2</v>
      </c>
      <c r="H188" s="1">
        <v>0.17</v>
      </c>
      <c r="I188" s="1">
        <v>0.14000000000000001</v>
      </c>
      <c r="J188" s="1">
        <v>0.12</v>
      </c>
      <c r="K188" s="1">
        <v>0.1</v>
      </c>
    </row>
    <row r="189" spans="3:11" x14ac:dyDescent="0.25">
      <c r="C189" s="8" t="s">
        <v>223</v>
      </c>
      <c r="E189" s="1"/>
      <c r="F189" s="1">
        <f>F183/E183-1</f>
        <v>0.49869207024600515</v>
      </c>
      <c r="G189" s="1">
        <v>0.3</v>
      </c>
      <c r="H189" s="1">
        <v>0.22</v>
      </c>
      <c r="I189" s="1">
        <v>0.16</v>
      </c>
      <c r="J189" s="1">
        <v>0.12</v>
      </c>
      <c r="K189" s="1">
        <v>0.1</v>
      </c>
    </row>
    <row r="190" spans="3:11" x14ac:dyDescent="0.25">
      <c r="G190" s="244"/>
      <c r="H190" s="244"/>
      <c r="I190" s="244"/>
      <c r="J190" s="244"/>
      <c r="K190" s="244"/>
    </row>
    <row r="191" spans="3:11" x14ac:dyDescent="0.25">
      <c r="C191" s="18" t="s">
        <v>225</v>
      </c>
    </row>
    <row r="192" spans="3:11" x14ac:dyDescent="0.25">
      <c r="C192" s="62" t="s">
        <v>48</v>
      </c>
      <c r="D192" s="63">
        <f t="shared" ref="D192:K192" si="118">D$13</f>
        <v>2023</v>
      </c>
      <c r="E192" s="63">
        <f t="shared" si="118"/>
        <v>2024</v>
      </c>
      <c r="F192" s="63">
        <f t="shared" si="118"/>
        <v>2025</v>
      </c>
      <c r="G192" s="64">
        <f t="shared" si="118"/>
        <v>2026</v>
      </c>
      <c r="H192" s="64">
        <f t="shared" si="118"/>
        <v>2027</v>
      </c>
      <c r="I192" s="64">
        <f t="shared" si="118"/>
        <v>2028</v>
      </c>
      <c r="J192" s="64">
        <f t="shared" si="118"/>
        <v>2029</v>
      </c>
      <c r="K192" s="64">
        <f t="shared" si="118"/>
        <v>2030</v>
      </c>
    </row>
    <row r="193" spans="3:11" x14ac:dyDescent="0.25">
      <c r="C193" s="56" t="s">
        <v>49</v>
      </c>
      <c r="D193" s="57">
        <f t="shared" ref="D193:K193" si="119">D$14</f>
        <v>45291</v>
      </c>
      <c r="E193" s="57">
        <f t="shared" si="119"/>
        <v>45657</v>
      </c>
      <c r="F193" s="57">
        <f t="shared" si="119"/>
        <v>46022</v>
      </c>
      <c r="G193" s="57">
        <f t="shared" si="119"/>
        <v>46387</v>
      </c>
      <c r="H193" s="57">
        <f t="shared" si="119"/>
        <v>46752</v>
      </c>
      <c r="I193" s="57">
        <f t="shared" si="119"/>
        <v>47118</v>
      </c>
      <c r="J193" s="57">
        <f t="shared" si="119"/>
        <v>47483</v>
      </c>
      <c r="K193" s="57">
        <f t="shared" si="119"/>
        <v>47848</v>
      </c>
    </row>
    <row r="194" spans="3:11" x14ac:dyDescent="0.25">
      <c r="D194" s="8"/>
    </row>
    <row r="195" spans="3:11" x14ac:dyDescent="0.25">
      <c r="C195" s="18" t="s">
        <v>226</v>
      </c>
      <c r="D195" s="8"/>
    </row>
    <row r="196" spans="3:11" x14ac:dyDescent="0.25">
      <c r="C196" s="23" t="s">
        <v>194</v>
      </c>
      <c r="D196" s="40">
        <f t="shared" ref="D196:K198" si="120">D62</f>
        <v>30881822082</v>
      </c>
      <c r="E196" s="40">
        <f t="shared" si="120"/>
        <v>56795884068</v>
      </c>
      <c r="F196" s="40">
        <f t="shared" si="120"/>
        <v>59860044570</v>
      </c>
      <c r="G196" s="40">
        <f t="shared" si="120"/>
        <v>71114799938.375244</v>
      </c>
      <c r="H196" s="40">
        <f t="shared" si="120"/>
        <v>82233734664.389313</v>
      </c>
      <c r="I196" s="40">
        <f t="shared" si="120"/>
        <v>92710896534.44194</v>
      </c>
      <c r="J196" s="40">
        <f t="shared" si="120"/>
        <v>102474892500.52596</v>
      </c>
      <c r="K196" s="40">
        <f t="shared" si="120"/>
        <v>111733161974.79626</v>
      </c>
    </row>
    <row r="197" spans="3:11" x14ac:dyDescent="0.25">
      <c r="C197" s="23" t="s">
        <v>227</v>
      </c>
      <c r="D197" s="40">
        <f t="shared" si="120"/>
        <v>16179633722</v>
      </c>
      <c r="E197" s="40">
        <f t="shared" si="120"/>
        <v>18051966570</v>
      </c>
      <c r="F197" s="40">
        <f t="shared" si="120"/>
        <v>29894579591</v>
      </c>
      <c r="G197" s="40">
        <f t="shared" si="120"/>
        <v>35515293416.959122</v>
      </c>
      <c r="H197" s="40">
        <f t="shared" si="120"/>
        <v>41068177340.145309</v>
      </c>
      <c r="I197" s="40">
        <f t="shared" si="120"/>
        <v>46300554824.358704</v>
      </c>
      <c r="J197" s="40">
        <f t="shared" si="120"/>
        <v>51176771616.896606</v>
      </c>
      <c r="K197" s="40">
        <f t="shared" si="120"/>
        <v>55800424600.479736</v>
      </c>
    </row>
    <row r="198" spans="3:11" x14ac:dyDescent="0.25">
      <c r="C198" s="23" t="s">
        <v>196</v>
      </c>
      <c r="D198" s="40">
        <f t="shared" si="120"/>
        <v>1218260843</v>
      </c>
      <c r="E198" s="40">
        <f t="shared" si="120"/>
        <v>6164646988</v>
      </c>
      <c r="F198" s="40">
        <f t="shared" si="120"/>
        <v>10088225727</v>
      </c>
      <c r="G198" s="40">
        <f t="shared" si="120"/>
        <v>11984991983.58975</v>
      </c>
      <c r="H198" s="40">
        <f t="shared" si="120"/>
        <v>13858868359.151709</v>
      </c>
      <c r="I198" s="40">
        <f t="shared" si="120"/>
        <v>15624586622.18788</v>
      </c>
      <c r="J198" s="40">
        <f t="shared" si="120"/>
        <v>17270114887.509937</v>
      </c>
      <c r="K198" s="40">
        <f t="shared" si="120"/>
        <v>18830412962.273506</v>
      </c>
    </row>
    <row r="199" spans="3:11" x14ac:dyDescent="0.25">
      <c r="C199" s="23" t="s">
        <v>228</v>
      </c>
      <c r="D199" s="40">
        <f t="shared" ref="D199:K199" si="121">D65+D77</f>
        <v>49362630753</v>
      </c>
      <c r="E199" s="40">
        <f t="shared" si="121"/>
        <v>88630426475</v>
      </c>
      <c r="F199" s="40">
        <f t="shared" si="121"/>
        <v>117687877691</v>
      </c>
      <c r="G199" s="40">
        <f t="shared" si="121"/>
        <v>139546791858.42758</v>
      </c>
      <c r="H199" s="40">
        <f t="shared" si="121"/>
        <v>161141916039.63477</v>
      </c>
      <c r="I199" s="40">
        <f t="shared" si="121"/>
        <v>181490593069.01266</v>
      </c>
      <c r="J199" s="40">
        <f t="shared" si="121"/>
        <v>200454163823.5986</v>
      </c>
      <c r="K199" s="40">
        <f t="shared" si="121"/>
        <v>218435515807.99139</v>
      </c>
    </row>
    <row r="200" spans="3:11" x14ac:dyDescent="0.25">
      <c r="C200" s="23" t="s">
        <v>229</v>
      </c>
      <c r="D200" s="40">
        <f t="shared" ref="D200:K200" si="122">D66+D76</f>
        <v>2665025925</v>
      </c>
      <c r="E200" s="40">
        <f t="shared" si="122"/>
        <v>2433069128</v>
      </c>
      <c r="F200" s="40">
        <f t="shared" si="122"/>
        <v>2930806220</v>
      </c>
      <c r="G200" s="40">
        <f t="shared" si="122"/>
        <v>3460550221.6550837</v>
      </c>
      <c r="H200" s="40">
        <f t="shared" si="122"/>
        <v>3983901354.8526306</v>
      </c>
      <c r="I200" s="40">
        <f t="shared" si="122"/>
        <v>4477045228.1193285</v>
      </c>
      <c r="J200" s="40">
        <f t="shared" si="122"/>
        <v>4936621480.6384573</v>
      </c>
      <c r="K200" s="40">
        <f t="shared" si="122"/>
        <v>5372393966.0611305</v>
      </c>
    </row>
    <row r="201" spans="3:11" x14ac:dyDescent="0.25">
      <c r="C201" s="18" t="s">
        <v>230</v>
      </c>
      <c r="D201" s="249">
        <f>SUM(D196:D200)</f>
        <v>100307373325</v>
      </c>
      <c r="E201" s="249">
        <f t="shared" ref="E201:F201" si="123">SUM(E196:E200)</f>
        <v>172075993229</v>
      </c>
      <c r="F201" s="249">
        <f t="shared" si="123"/>
        <v>220461533799</v>
      </c>
      <c r="G201" s="249">
        <f t="shared" ref="G201:K201" si="124">SUM(G196:G200)</f>
        <v>261622427419.00677</v>
      </c>
      <c r="H201" s="249">
        <f t="shared" si="124"/>
        <v>302286597758.17371</v>
      </c>
      <c r="I201" s="249">
        <f t="shared" si="124"/>
        <v>340603676278.12054</v>
      </c>
      <c r="J201" s="249">
        <f t="shared" si="124"/>
        <v>376312564309.16956</v>
      </c>
      <c r="K201" s="249">
        <f t="shared" si="124"/>
        <v>410171909311.60205</v>
      </c>
    </row>
    <row r="202" spans="3:11" x14ac:dyDescent="0.25">
      <c r="C202" s="18"/>
    </row>
    <row r="203" spans="3:11" x14ac:dyDescent="0.25">
      <c r="C203" s="18" t="s">
        <v>234</v>
      </c>
    </row>
    <row r="204" spans="3:11" x14ac:dyDescent="0.25">
      <c r="C204" s="23" t="s">
        <v>235</v>
      </c>
      <c r="D204" s="211">
        <f t="shared" ref="D204:K205" si="125">D88</f>
        <v>31938122060</v>
      </c>
      <c r="E204" s="211">
        <f t="shared" si="125"/>
        <v>54808185042</v>
      </c>
      <c r="F204" s="211">
        <f t="shared" si="125"/>
        <v>68895662044</v>
      </c>
      <c r="G204" s="211">
        <f t="shared" si="125"/>
        <v>81849274554.941635</v>
      </c>
      <c r="H204" s="211">
        <f t="shared" si="125"/>
        <v>94646564878.989929</v>
      </c>
      <c r="I204" s="211">
        <f t="shared" si="125"/>
        <v>106705209481.82385</v>
      </c>
      <c r="J204" s="211">
        <f t="shared" si="125"/>
        <v>117943038840.46483</v>
      </c>
      <c r="K204" s="211">
        <f t="shared" si="125"/>
        <v>128598804458.30872</v>
      </c>
    </row>
    <row r="205" spans="3:11" x14ac:dyDescent="0.25">
      <c r="C205" s="23" t="s">
        <v>236</v>
      </c>
      <c r="D205" s="211">
        <f t="shared" si="125"/>
        <v>25060328092</v>
      </c>
      <c r="E205" s="211">
        <f t="shared" si="125"/>
        <v>53281056753</v>
      </c>
      <c r="F205" s="211">
        <f t="shared" si="125"/>
        <v>81266224686</v>
      </c>
      <c r="G205" s="211">
        <f t="shared" si="125"/>
        <v>96545723475.593811</v>
      </c>
      <c r="H205" s="211">
        <f t="shared" si="125"/>
        <v>111640831643.3896</v>
      </c>
      <c r="I205" s="211">
        <f t="shared" si="125"/>
        <v>125864666535.58751</v>
      </c>
      <c r="J205" s="211">
        <f t="shared" si="125"/>
        <v>139120304678.07315</v>
      </c>
      <c r="K205" s="211">
        <f t="shared" si="125"/>
        <v>151689366607.51675</v>
      </c>
    </row>
    <row r="206" spans="3:11" x14ac:dyDescent="0.25">
      <c r="C206" s="23" t="s">
        <v>237</v>
      </c>
      <c r="D206" s="211">
        <f t="shared" ref="D206:K207" si="126">D90+D97</f>
        <v>3188469013</v>
      </c>
      <c r="E206" s="211">
        <f t="shared" si="126"/>
        <v>2144690030</v>
      </c>
      <c r="F206" s="211">
        <f t="shared" si="126"/>
        <v>4966082991</v>
      </c>
      <c r="G206" s="211">
        <f t="shared" si="126"/>
        <v>5893778678.8889294</v>
      </c>
      <c r="H206" s="211">
        <f t="shared" si="126"/>
        <v>6810279079.0865059</v>
      </c>
      <c r="I206" s="211">
        <f t="shared" si="126"/>
        <v>7673880069.9595098</v>
      </c>
      <c r="J206" s="211">
        <f t="shared" si="126"/>
        <v>8478696936.9483013</v>
      </c>
      <c r="K206" s="211">
        <f t="shared" si="126"/>
        <v>9241828287.8729172</v>
      </c>
    </row>
    <row r="207" spans="3:11" x14ac:dyDescent="0.25">
      <c r="C207" s="23" t="s">
        <v>238</v>
      </c>
      <c r="D207" s="211">
        <f t="shared" si="126"/>
        <v>8802793944</v>
      </c>
      <c r="E207" s="211">
        <f t="shared" si="126"/>
        <v>14382204909</v>
      </c>
      <c r="F207" s="211">
        <f t="shared" si="126"/>
        <v>13864059208</v>
      </c>
      <c r="G207" s="211">
        <f t="shared" si="126"/>
        <v>16196460381.742481</v>
      </c>
      <c r="H207" s="211">
        <f t="shared" si="126"/>
        <v>18500714499.836662</v>
      </c>
      <c r="I207" s="211">
        <f t="shared" si="126"/>
        <v>20671969568.770996</v>
      </c>
      <c r="J207" s="211">
        <f t="shared" si="126"/>
        <v>22695430311.036674</v>
      </c>
      <c r="K207" s="211">
        <f t="shared" si="126"/>
        <v>24614085837.685371</v>
      </c>
    </row>
    <row r="208" spans="3:11" x14ac:dyDescent="0.25">
      <c r="C208" s="23" t="s">
        <v>239</v>
      </c>
      <c r="D208" s="211">
        <f t="shared" ref="D208:K208" si="127">D99</f>
        <v>774053299</v>
      </c>
      <c r="E208" s="211">
        <f t="shared" si="127"/>
        <v>2631482147</v>
      </c>
      <c r="F208" s="211">
        <f t="shared" si="127"/>
        <v>4414996302</v>
      </c>
      <c r="G208" s="211">
        <f t="shared" si="127"/>
        <v>4414996302</v>
      </c>
      <c r="H208" s="211">
        <f t="shared" si="127"/>
        <v>4414996302</v>
      </c>
      <c r="I208" s="211">
        <f t="shared" si="127"/>
        <v>4414996302</v>
      </c>
      <c r="J208" s="211">
        <f t="shared" si="127"/>
        <v>4414996302</v>
      </c>
      <c r="K208" s="211">
        <f t="shared" si="127"/>
        <v>4414996302</v>
      </c>
    </row>
    <row r="209" spans="3:11" x14ac:dyDescent="0.25">
      <c r="C209" s="18" t="s">
        <v>240</v>
      </c>
      <c r="D209" s="253">
        <f>SUM(D204:D208)</f>
        <v>69763766408</v>
      </c>
      <c r="E209" s="253">
        <f t="shared" ref="E209:F209" si="128">SUM(E204:E208)</f>
        <v>127247618881</v>
      </c>
      <c r="F209" s="253">
        <f t="shared" si="128"/>
        <v>173407025231</v>
      </c>
      <c r="G209" s="253">
        <f t="shared" ref="G209:K209" si="129">SUM(G204:G208)</f>
        <v>204900233393.16687</v>
      </c>
      <c r="H209" s="253">
        <f t="shared" si="129"/>
        <v>236013386403.3027</v>
      </c>
      <c r="I209" s="253">
        <f t="shared" si="129"/>
        <v>265330721958.14188</v>
      </c>
      <c r="J209" s="253">
        <f t="shared" si="129"/>
        <v>292652467068.52295</v>
      </c>
      <c r="K209" s="253">
        <f t="shared" si="129"/>
        <v>318559081493.38373</v>
      </c>
    </row>
    <row r="211" spans="3:11" x14ac:dyDescent="0.25">
      <c r="C211" s="8" t="s">
        <v>231</v>
      </c>
      <c r="D211" s="211">
        <f>D201-D209</f>
        <v>30543606917</v>
      </c>
      <c r="E211" s="211">
        <f t="shared" ref="E211:F211" si="130">E201-E209</f>
        <v>44828374348</v>
      </c>
      <c r="F211" s="211">
        <f t="shared" si="130"/>
        <v>47054508568</v>
      </c>
      <c r="G211" s="211">
        <f t="shared" ref="G211:K211" si="131">G201-G209</f>
        <v>56722194025.839905</v>
      </c>
      <c r="H211" s="211">
        <f t="shared" si="131"/>
        <v>66273211354.871002</v>
      </c>
      <c r="I211" s="211">
        <f t="shared" si="131"/>
        <v>75272954319.978668</v>
      </c>
      <c r="J211" s="211">
        <f t="shared" si="131"/>
        <v>83660097240.646606</v>
      </c>
      <c r="K211" s="211">
        <f t="shared" si="131"/>
        <v>91612827818.218323</v>
      </c>
    </row>
    <row r="212" spans="3:11" x14ac:dyDescent="0.25">
      <c r="C212" s="8" t="s">
        <v>232</v>
      </c>
      <c r="D212" s="1">
        <f t="shared" ref="D212:K212" si="132">D211/D16</f>
        <v>0.20069886346312962</v>
      </c>
      <c r="E212" s="1">
        <f t="shared" si="132"/>
        <v>0.19324088128063999</v>
      </c>
      <c r="F212" s="1">
        <f t="shared" si="132"/>
        <v>0.16742452343269454</v>
      </c>
      <c r="G212" s="1">
        <f t="shared" si="132"/>
        <v>0.16988220671795942</v>
      </c>
      <c r="H212" s="1">
        <f t="shared" si="132"/>
        <v>0.17164962791162666</v>
      </c>
      <c r="I212" s="1">
        <f t="shared" si="132"/>
        <v>0.17292709506799916</v>
      </c>
      <c r="J212" s="1">
        <f t="shared" si="132"/>
        <v>0.17388245324196464</v>
      </c>
      <c r="K212" s="1">
        <f t="shared" si="132"/>
        <v>0.17463410580278346</v>
      </c>
    </row>
    <row r="213" spans="3:11" x14ac:dyDescent="0.25">
      <c r="C213" s="8" t="s">
        <v>233</v>
      </c>
      <c r="D213" s="211"/>
      <c r="E213" s="211">
        <f>D211-E211</f>
        <v>-14284767431</v>
      </c>
      <c r="F213" s="211">
        <f t="shared" ref="F213" si="133">E211-F211</f>
        <v>-2226134220</v>
      </c>
      <c r="G213" s="211">
        <f t="shared" ref="G213" si="134">F211-G211</f>
        <v>-9667685457.8399048</v>
      </c>
      <c r="H213" s="211">
        <f t="shared" ref="H213" si="135">G211-H211</f>
        <v>-9551017329.0310974</v>
      </c>
      <c r="I213" s="211">
        <f t="shared" ref="I213" si="136">H211-I211</f>
        <v>-8999742965.107666</v>
      </c>
      <c r="J213" s="211">
        <f t="shared" ref="J213" si="137">I211-J211</f>
        <v>-8387142920.6679382</v>
      </c>
      <c r="K213" s="211">
        <f t="shared" ref="K213" si="138">J211-K211</f>
        <v>-7952730577.5717163</v>
      </c>
    </row>
    <row r="215" spans="3:11" x14ac:dyDescent="0.25">
      <c r="C215" s="18" t="s">
        <v>241</v>
      </c>
    </row>
    <row r="216" spans="3:11" x14ac:dyDescent="0.25">
      <c r="C216" s="62" t="s">
        <v>48</v>
      </c>
      <c r="D216" s="63">
        <f t="shared" ref="D216:K216" si="139">D$13</f>
        <v>2023</v>
      </c>
      <c r="E216" s="63">
        <f t="shared" si="139"/>
        <v>2024</v>
      </c>
      <c r="F216" s="63">
        <f t="shared" si="139"/>
        <v>2025</v>
      </c>
      <c r="G216" s="64">
        <f t="shared" si="139"/>
        <v>2026</v>
      </c>
      <c r="H216" s="64">
        <f t="shared" si="139"/>
        <v>2027</v>
      </c>
      <c r="I216" s="64">
        <f t="shared" si="139"/>
        <v>2028</v>
      </c>
      <c r="J216" s="64">
        <f t="shared" si="139"/>
        <v>2029</v>
      </c>
      <c r="K216" s="64">
        <f t="shared" si="139"/>
        <v>2030</v>
      </c>
    </row>
    <row r="217" spans="3:11" x14ac:dyDescent="0.25">
      <c r="C217" s="56" t="s">
        <v>49</v>
      </c>
      <c r="D217" s="57">
        <f t="shared" ref="D217:K217" si="140">D$14</f>
        <v>45291</v>
      </c>
      <c r="E217" s="57">
        <f t="shared" si="140"/>
        <v>45657</v>
      </c>
      <c r="F217" s="57">
        <f t="shared" si="140"/>
        <v>46022</v>
      </c>
      <c r="G217" s="57">
        <f t="shared" si="140"/>
        <v>46387</v>
      </c>
      <c r="H217" s="57">
        <f t="shared" si="140"/>
        <v>46752</v>
      </c>
      <c r="I217" s="57">
        <f t="shared" si="140"/>
        <v>47118</v>
      </c>
      <c r="J217" s="57">
        <f t="shared" si="140"/>
        <v>47483</v>
      </c>
      <c r="K217" s="57">
        <f t="shared" si="140"/>
        <v>47848</v>
      </c>
    </row>
    <row r="219" spans="3:11" x14ac:dyDescent="0.25">
      <c r="C219" s="18" t="s">
        <v>242</v>
      </c>
      <c r="D219" s="211"/>
      <c r="E219" s="211"/>
      <c r="F219" s="211"/>
      <c r="G219" s="211"/>
      <c r="H219" s="211"/>
      <c r="I219" s="211"/>
      <c r="J219" s="211"/>
      <c r="K219" s="211"/>
    </row>
    <row r="220" spans="3:11" x14ac:dyDescent="0.25">
      <c r="C220" s="42" t="s">
        <v>36</v>
      </c>
      <c r="D220" s="211"/>
      <c r="E220" s="211">
        <f>D221</f>
        <v>41766492071</v>
      </c>
      <c r="F220" s="211">
        <f t="shared" ref="F220" si="141">E221</f>
        <v>59082941807</v>
      </c>
      <c r="G220" s="211">
        <f>F221</f>
        <v>62509211797</v>
      </c>
      <c r="H220" s="211">
        <f t="shared" ref="H220:K220" si="142">G221</f>
        <v>62509211797</v>
      </c>
      <c r="I220" s="211">
        <f t="shared" si="142"/>
        <v>62509211797</v>
      </c>
      <c r="J220" s="211">
        <f t="shared" si="142"/>
        <v>62509211797</v>
      </c>
      <c r="K220" s="211">
        <f t="shared" si="142"/>
        <v>62509211797</v>
      </c>
    </row>
    <row r="221" spans="3:11" x14ac:dyDescent="0.25">
      <c r="C221" s="42" t="s">
        <v>243</v>
      </c>
      <c r="D221" s="211">
        <f>D87+D95</f>
        <v>41766492071</v>
      </c>
      <c r="E221" s="211">
        <f>E87+E95</f>
        <v>59082941807</v>
      </c>
      <c r="F221" s="211">
        <f>F87+F95</f>
        <v>62509211797</v>
      </c>
      <c r="G221" s="211">
        <f>F221</f>
        <v>62509211797</v>
      </c>
      <c r="H221" s="211">
        <f t="shared" ref="H221:K221" si="143">G221</f>
        <v>62509211797</v>
      </c>
      <c r="I221" s="211">
        <f t="shared" si="143"/>
        <v>62509211797</v>
      </c>
      <c r="J221" s="211">
        <f t="shared" si="143"/>
        <v>62509211797</v>
      </c>
      <c r="K221" s="211">
        <f t="shared" si="143"/>
        <v>62509211797</v>
      </c>
    </row>
    <row r="222" spans="3:11" x14ac:dyDescent="0.25">
      <c r="C222" s="42" t="s">
        <v>244</v>
      </c>
      <c r="D222" s="211"/>
      <c r="E222" s="211">
        <f>AVERAGE(E220,E221)</f>
        <v>50424716939</v>
      </c>
      <c r="F222" s="211">
        <f>AVERAGE(F220,F221)</f>
        <v>60796076802</v>
      </c>
      <c r="G222" s="211">
        <f>AVERAGE(G220,G221)</f>
        <v>62509211797</v>
      </c>
      <c r="H222" s="211">
        <f t="shared" ref="H222:K222" si="144">AVERAGE(H220,H221)</f>
        <v>62509211797</v>
      </c>
      <c r="I222" s="211">
        <f t="shared" si="144"/>
        <v>62509211797</v>
      </c>
      <c r="J222" s="211">
        <f t="shared" si="144"/>
        <v>62509211797</v>
      </c>
      <c r="K222" s="211">
        <f t="shared" si="144"/>
        <v>62509211797</v>
      </c>
    </row>
    <row r="223" spans="3:11" x14ac:dyDescent="0.25">
      <c r="C223" s="42" t="s">
        <v>245</v>
      </c>
      <c r="D223" s="1"/>
      <c r="E223" s="1">
        <f>-E26/E222</f>
        <v>0.15395211069585335</v>
      </c>
      <c r="F223" s="1">
        <f>-F26/F222</f>
        <v>9.6362172267788107E-2</v>
      </c>
      <c r="G223" s="247">
        <v>0.09</v>
      </c>
      <c r="H223" s="247">
        <v>8.5000000000000006E-2</v>
      </c>
      <c r="I223" s="247">
        <v>0.08</v>
      </c>
      <c r="J223" s="247">
        <v>0.08</v>
      </c>
      <c r="K223" s="247">
        <v>0.08</v>
      </c>
    </row>
    <row r="225" spans="3:11" x14ac:dyDescent="0.25">
      <c r="C225" s="18" t="s">
        <v>246</v>
      </c>
    </row>
    <row r="226" spans="3:11" x14ac:dyDescent="0.25">
      <c r="C226" s="23" t="s">
        <v>247</v>
      </c>
      <c r="D226" s="211">
        <f>D68+D67</f>
        <v>26399210763</v>
      </c>
      <c r="E226" s="211">
        <f>E68+E67</f>
        <v>39054528193</v>
      </c>
      <c r="F226" s="211">
        <f>F68+F67</f>
        <v>42655719324</v>
      </c>
      <c r="G226" s="211">
        <f>G67+G68</f>
        <v>37296343968.381889</v>
      </c>
      <c r="H226" s="211">
        <f>H67+H68</f>
        <v>35998323375.300453</v>
      </c>
      <c r="I226" s="211">
        <f>I67+I68</f>
        <v>39932450418.565262</v>
      </c>
      <c r="J226" s="211">
        <f>J67+J68</f>
        <v>49707684968.861603</v>
      </c>
      <c r="K226" s="211">
        <f>K67+K68</f>
        <v>65177089508.395988</v>
      </c>
    </row>
    <row r="227" spans="3:11" x14ac:dyDescent="0.25">
      <c r="C227" s="23" t="s">
        <v>248</v>
      </c>
      <c r="D227" s="211"/>
      <c r="E227" s="211">
        <f>AVERAGE(D226,E226)</f>
        <v>32726869478</v>
      </c>
      <c r="F227" s="211">
        <f t="shared" ref="F227" si="145">AVERAGE(E226,F226)</f>
        <v>40855123758.5</v>
      </c>
      <c r="G227" s="211">
        <f t="shared" ref="G227" si="146">AVERAGE(F226,G226)</f>
        <v>39976031646.190948</v>
      </c>
      <c r="H227" s="211">
        <f t="shared" ref="H227" si="147">AVERAGE(G226,H226)</f>
        <v>36647333671.841171</v>
      </c>
      <c r="I227" s="211">
        <f t="shared" ref="I227" si="148">AVERAGE(H226,I226)</f>
        <v>37965386896.932861</v>
      </c>
      <c r="J227" s="211">
        <f t="shared" ref="J227" si="149">AVERAGE(I226,J226)</f>
        <v>44820067693.713432</v>
      </c>
      <c r="K227" s="211">
        <f t="shared" ref="K227" si="150">AVERAGE(J226,K226)</f>
        <v>57442387238.628799</v>
      </c>
    </row>
    <row r="228" spans="3:11" x14ac:dyDescent="0.25">
      <c r="C228" s="23" t="s">
        <v>249</v>
      </c>
      <c r="D228" s="211"/>
      <c r="E228" s="1">
        <f>E25/E227</f>
        <v>0.12979016098241183</v>
      </c>
      <c r="F228" s="1">
        <f>F25/F227</f>
        <v>9.088219369859335E-2</v>
      </c>
      <c r="G228" s="247">
        <v>0.08</v>
      </c>
      <c r="H228" s="247">
        <v>7.4999999999999997E-2</v>
      </c>
      <c r="I228" s="247">
        <v>7.0000000000000007E-2</v>
      </c>
      <c r="J228" s="247">
        <v>7.0000000000000007E-2</v>
      </c>
      <c r="K228" s="247">
        <v>7.0000000000000007E-2</v>
      </c>
    </row>
    <row r="230" spans="3:11" x14ac:dyDescent="0.25">
      <c r="C230" s="8" t="s">
        <v>179</v>
      </c>
      <c r="D230" s="211">
        <f>D26</f>
        <v>-4943231073</v>
      </c>
      <c r="E230" s="211">
        <f>E26</f>
        <v>-7762991604</v>
      </c>
      <c r="F230" s="211">
        <f>F26</f>
        <v>-5858442026</v>
      </c>
      <c r="G230" s="211">
        <f>-G222*G223</f>
        <v>-5625829061.7299995</v>
      </c>
      <c r="H230" s="211">
        <f t="shared" ref="H230:K230" si="151">-H222*H223</f>
        <v>-5313283002.7450008</v>
      </c>
      <c r="I230" s="211">
        <f t="shared" si="151"/>
        <v>-5000736943.7600002</v>
      </c>
      <c r="J230" s="211">
        <f t="shared" si="151"/>
        <v>-5000736943.7600002</v>
      </c>
      <c r="K230" s="211">
        <f t="shared" si="151"/>
        <v>-5000736943.7600002</v>
      </c>
    </row>
    <row r="231" spans="3:11" x14ac:dyDescent="0.25">
      <c r="C231" s="8" t="s">
        <v>178</v>
      </c>
      <c r="D231" s="211">
        <f>D25</f>
        <v>2818868796</v>
      </c>
      <c r="E231" s="211">
        <f>E25</f>
        <v>4247625658</v>
      </c>
      <c r="F231" s="211">
        <f>F25</f>
        <v>3713003271</v>
      </c>
      <c r="G231" s="211">
        <f>G228*F226</f>
        <v>3412457545.9200001</v>
      </c>
      <c r="H231" s="211">
        <f t="shared" ref="H231:K231" si="152">H228*G226</f>
        <v>2797225797.6286416</v>
      </c>
      <c r="I231" s="211">
        <f t="shared" si="152"/>
        <v>2519882636.2710319</v>
      </c>
      <c r="J231" s="211">
        <f t="shared" si="152"/>
        <v>2795271529.2995687</v>
      </c>
      <c r="K231" s="211">
        <f t="shared" si="152"/>
        <v>3479537947.8203125</v>
      </c>
    </row>
    <row r="232" spans="3:11" x14ac:dyDescent="0.25">
      <c r="C232" s="8" t="s">
        <v>215</v>
      </c>
      <c r="D232" s="211">
        <f t="shared" ref="D232:K232" si="153">D27</f>
        <v>-2124362277</v>
      </c>
      <c r="E232" s="211">
        <f t="shared" si="153"/>
        <v>-3515365946</v>
      </c>
      <c r="F232" s="211">
        <f t="shared" si="153"/>
        <v>-2145438755</v>
      </c>
      <c r="G232" s="211">
        <f t="shared" si="153"/>
        <v>-2213371515.8099995</v>
      </c>
      <c r="H232" s="211">
        <f t="shared" si="153"/>
        <v>-2516057205.1163592</v>
      </c>
      <c r="I232" s="211">
        <f t="shared" si="153"/>
        <v>-2480854307.4889684</v>
      </c>
      <c r="J232" s="211">
        <f t="shared" si="153"/>
        <v>-2205465414.4604316</v>
      </c>
      <c r="K232" s="211">
        <f t="shared" si="153"/>
        <v>-1521198995.9396877</v>
      </c>
    </row>
    <row r="234" spans="3:11" x14ac:dyDescent="0.25">
      <c r="C234" s="18" t="s">
        <v>250</v>
      </c>
    </row>
    <row r="235" spans="3:11" x14ac:dyDescent="0.25">
      <c r="C235" s="62" t="s">
        <v>48</v>
      </c>
      <c r="D235" s="63">
        <f t="shared" ref="D235:K235" si="154">D$13</f>
        <v>2023</v>
      </c>
      <c r="E235" s="63">
        <f t="shared" si="154"/>
        <v>2024</v>
      </c>
      <c r="F235" s="63">
        <f t="shared" si="154"/>
        <v>2025</v>
      </c>
      <c r="G235" s="64">
        <f t="shared" si="154"/>
        <v>2026</v>
      </c>
      <c r="H235" s="64">
        <f t="shared" si="154"/>
        <v>2027</v>
      </c>
      <c r="I235" s="64">
        <f t="shared" si="154"/>
        <v>2028</v>
      </c>
      <c r="J235" s="64">
        <f t="shared" si="154"/>
        <v>2029</v>
      </c>
      <c r="K235" s="64">
        <f t="shared" si="154"/>
        <v>2030</v>
      </c>
    </row>
    <row r="236" spans="3:11" x14ac:dyDescent="0.25">
      <c r="C236" s="56" t="s">
        <v>49</v>
      </c>
      <c r="D236" s="57">
        <f t="shared" ref="D236:K236" si="155">D$14</f>
        <v>45291</v>
      </c>
      <c r="E236" s="57">
        <f t="shared" si="155"/>
        <v>45657</v>
      </c>
      <c r="F236" s="57">
        <f t="shared" si="155"/>
        <v>46022</v>
      </c>
      <c r="G236" s="57">
        <f t="shared" si="155"/>
        <v>46387</v>
      </c>
      <c r="H236" s="57">
        <f t="shared" si="155"/>
        <v>46752</v>
      </c>
      <c r="I236" s="57">
        <f t="shared" si="155"/>
        <v>47118</v>
      </c>
      <c r="J236" s="57">
        <f t="shared" si="155"/>
        <v>47483</v>
      </c>
      <c r="K236" s="57">
        <f t="shared" si="155"/>
        <v>47848</v>
      </c>
    </row>
    <row r="238" spans="3:11" x14ac:dyDescent="0.25">
      <c r="C238" s="18" t="s">
        <v>251</v>
      </c>
    </row>
    <row r="239" spans="3:11" x14ac:dyDescent="0.25">
      <c r="C239" s="23" t="s">
        <v>36</v>
      </c>
      <c r="D239" s="211"/>
      <c r="E239" s="211">
        <f>D243</f>
        <v>29867247832</v>
      </c>
      <c r="F239" s="211">
        <f t="shared" ref="F239" si="156">E243</f>
        <v>44620588973</v>
      </c>
      <c r="G239" s="211">
        <f>F243</f>
        <v>57407348122</v>
      </c>
      <c r="H239" s="211">
        <f t="shared" ref="H239:K239" si="157">G243</f>
        <v>72882523026.895294</v>
      </c>
      <c r="I239" s="211">
        <f t="shared" si="157"/>
        <v>90780912783.272568</v>
      </c>
      <c r="J239" s="211">
        <f t="shared" si="157"/>
        <v>111144163592.83698</v>
      </c>
      <c r="K239" s="211">
        <f t="shared" si="157"/>
        <v>133950165663.55173</v>
      </c>
    </row>
    <row r="240" spans="3:11" x14ac:dyDescent="0.25">
      <c r="C240" s="23" t="s">
        <v>252</v>
      </c>
      <c r="D240" s="211">
        <f t="shared" ref="D240:K240" si="158">D32</f>
        <v>10115701777</v>
      </c>
      <c r="E240" s="211">
        <f t="shared" si="158"/>
        <v>17461358714</v>
      </c>
      <c r="F240" s="211">
        <f t="shared" si="158"/>
        <v>17330244990</v>
      </c>
      <c r="G240" s="211">
        <f t="shared" si="158"/>
        <v>21345068834.338329</v>
      </c>
      <c r="H240" s="211">
        <f t="shared" si="158"/>
        <v>24687434146.727257</v>
      </c>
      <c r="I240" s="211">
        <f t="shared" si="158"/>
        <v>28087242495.950912</v>
      </c>
      <c r="J240" s="211">
        <f t="shared" si="158"/>
        <v>31456554580.296196</v>
      </c>
      <c r="K240" s="211">
        <f t="shared" si="158"/>
        <v>34979913808.426353</v>
      </c>
    </row>
    <row r="241" spans="3:11" x14ac:dyDescent="0.25">
      <c r="C241" s="23" t="s">
        <v>253</v>
      </c>
      <c r="D241" s="211">
        <v>1709747571</v>
      </c>
      <c r="E241" s="211">
        <v>2412103073</v>
      </c>
      <c r="F241" s="211">
        <v>4766370979</v>
      </c>
      <c r="G241" s="211">
        <f>G54*G240</f>
        <v>5869893929.4430408</v>
      </c>
      <c r="H241" s="211">
        <f>H54*H240</f>
        <v>6789044390.3499966</v>
      </c>
      <c r="I241" s="211">
        <f>I54*I240</f>
        <v>7723991686.3865013</v>
      </c>
      <c r="J241" s="211">
        <f>J54*J240</f>
        <v>8650552509.5814552</v>
      </c>
      <c r="K241" s="211">
        <f>K54*K240</f>
        <v>9619476297.3172474</v>
      </c>
    </row>
    <row r="242" spans="3:11" x14ac:dyDescent="0.25">
      <c r="C242" s="23" t="s">
        <v>254</v>
      </c>
      <c r="D242" s="211"/>
      <c r="E242" s="211">
        <f>E243-E239-E240+E241</f>
        <v>-295914500</v>
      </c>
      <c r="F242" s="211">
        <f t="shared" ref="F242" si="159">F243-F239-F240+F241</f>
        <v>222885138</v>
      </c>
      <c r="G242" s="211">
        <v>0</v>
      </c>
      <c r="H242" s="211">
        <v>0</v>
      </c>
      <c r="I242" s="211">
        <v>0</v>
      </c>
      <c r="J242" s="211">
        <v>0</v>
      </c>
      <c r="K242" s="211">
        <v>0</v>
      </c>
    </row>
    <row r="243" spans="3:11" x14ac:dyDescent="0.25">
      <c r="C243" s="23" t="s">
        <v>255</v>
      </c>
      <c r="D243" s="211">
        <f>D109</f>
        <v>29867247832</v>
      </c>
      <c r="E243" s="211">
        <f>E109</f>
        <v>44620588973</v>
      </c>
      <c r="F243" s="211">
        <f>F109</f>
        <v>57407348122</v>
      </c>
      <c r="G243" s="211">
        <f>G239+G240-G241+G242</f>
        <v>72882523026.895294</v>
      </c>
      <c r="H243" s="211">
        <f t="shared" ref="H243:K243" si="160">H239+H240-H241+H242</f>
        <v>90780912783.272568</v>
      </c>
      <c r="I243" s="211">
        <f t="shared" si="160"/>
        <v>111144163592.83698</v>
      </c>
      <c r="J243" s="211">
        <f t="shared" si="160"/>
        <v>133950165663.55173</v>
      </c>
      <c r="K243" s="211">
        <f t="shared" si="160"/>
        <v>159310603174.66083</v>
      </c>
    </row>
    <row r="244" spans="3:11" x14ac:dyDescent="0.25">
      <c r="D244" s="211"/>
      <c r="E244" s="211"/>
      <c r="F244" s="211"/>
      <c r="G244" s="211"/>
      <c r="H244" s="211"/>
      <c r="I244" s="211"/>
      <c r="J244" s="211"/>
      <c r="K244" s="211"/>
    </row>
    <row r="245" spans="3:11" x14ac:dyDescent="0.25">
      <c r="C245" s="18" t="s">
        <v>256</v>
      </c>
      <c r="D245" s="211"/>
      <c r="E245" s="211"/>
      <c r="F245" s="211"/>
      <c r="G245" s="211"/>
      <c r="H245" s="211"/>
      <c r="I245" s="211"/>
      <c r="J245" s="211"/>
      <c r="K245" s="211"/>
    </row>
    <row r="246" spans="3:11" x14ac:dyDescent="0.25">
      <c r="C246" s="23" t="s">
        <v>36</v>
      </c>
      <c r="D246" s="211"/>
      <c r="E246" s="211">
        <f>D249</f>
        <v>2384013396</v>
      </c>
      <c r="F246" s="211">
        <f>E249</f>
        <v>4251771900</v>
      </c>
      <c r="G246" s="211">
        <f t="shared" ref="G246:K246" si="161">F249</f>
        <v>5118978381</v>
      </c>
      <c r="H246" s="211">
        <f t="shared" si="161"/>
        <v>6776580198.2417278</v>
      </c>
      <c r="I246" s="211">
        <f t="shared" si="161"/>
        <v>8693741300.9887257</v>
      </c>
      <c r="J246" s="211">
        <f t="shared" si="161"/>
        <v>10874922564.161755</v>
      </c>
      <c r="K246" s="211">
        <f t="shared" si="161"/>
        <v>13317755728.165415</v>
      </c>
    </row>
    <row r="247" spans="3:11" x14ac:dyDescent="0.25">
      <c r="C247" s="23" t="s">
        <v>257</v>
      </c>
      <c r="D247" s="211">
        <f t="shared" ref="D247:K247" si="162">D33</f>
        <v>1022272479</v>
      </c>
      <c r="E247" s="211">
        <f t="shared" si="162"/>
        <v>1375850659</v>
      </c>
      <c r="F247" s="211">
        <f t="shared" si="162"/>
        <v>1856305067</v>
      </c>
      <c r="G247" s="211">
        <f t="shared" si="162"/>
        <v>2286347334.1265225</v>
      </c>
      <c r="H247" s="211">
        <f t="shared" si="162"/>
        <v>2644360141.7199945</v>
      </c>
      <c r="I247" s="211">
        <f t="shared" si="162"/>
        <v>3008525880.2386618</v>
      </c>
      <c r="J247" s="211">
        <f t="shared" si="162"/>
        <v>3369425053.798151</v>
      </c>
      <c r="K247" s="211">
        <f t="shared" si="162"/>
        <v>3746824772.7180634</v>
      </c>
    </row>
    <row r="248" spans="3:11" x14ac:dyDescent="0.25">
      <c r="C248" s="23" t="s">
        <v>258</v>
      </c>
      <c r="D248" s="211">
        <f>D249-D246-D247</f>
        <v>1361740917</v>
      </c>
      <c r="E248" s="211">
        <f t="shared" ref="E248:F248" si="163">E249-E246-E247</f>
        <v>491907845</v>
      </c>
      <c r="F248" s="211">
        <f t="shared" si="163"/>
        <v>-989098586</v>
      </c>
      <c r="G248" s="211">
        <f>G247*-G54</f>
        <v>-628745516.88479376</v>
      </c>
      <c r="H248" s="211">
        <f>H247*-H54</f>
        <v>-727199038.9729985</v>
      </c>
      <c r="I248" s="211">
        <f>I247*-I54</f>
        <v>-827344617.0656321</v>
      </c>
      <c r="J248" s="211">
        <f>J247*-J54</f>
        <v>-926591889.79449165</v>
      </c>
      <c r="K248" s="211">
        <f>K247*-K54</f>
        <v>-1030376812.4974675</v>
      </c>
    </row>
    <row r="249" spans="3:11" x14ac:dyDescent="0.25">
      <c r="C249" s="23" t="s">
        <v>255</v>
      </c>
      <c r="D249" s="211">
        <f>D111</f>
        <v>2384013396</v>
      </c>
      <c r="E249" s="211">
        <f>E111</f>
        <v>4251771900</v>
      </c>
      <c r="F249" s="211">
        <f>F111</f>
        <v>5118978381</v>
      </c>
      <c r="G249" s="211">
        <f>G246+G247+G248</f>
        <v>6776580198.2417278</v>
      </c>
      <c r="H249" s="211">
        <f t="shared" ref="H249:K249" si="164">H246+H247+H248</f>
        <v>8693741300.9887257</v>
      </c>
      <c r="I249" s="211">
        <f t="shared" si="164"/>
        <v>10874922564.161755</v>
      </c>
      <c r="J249" s="211">
        <f t="shared" si="164"/>
        <v>13317755728.165415</v>
      </c>
      <c r="K249" s="211">
        <f t="shared" si="164"/>
        <v>16034203688.386011</v>
      </c>
    </row>
    <row r="250" spans="3:11" x14ac:dyDescent="0.25">
      <c r="D250" s="211"/>
      <c r="E250" s="211"/>
      <c r="F250" s="211"/>
      <c r="G250" s="211"/>
      <c r="H250" s="211"/>
      <c r="I250" s="211"/>
      <c r="J250" s="211"/>
      <c r="K250" s="211"/>
    </row>
    <row r="251" spans="3:11" x14ac:dyDescent="0.25">
      <c r="C251" s="8" t="s">
        <v>260</v>
      </c>
      <c r="D251" s="211">
        <f>D107</f>
        <v>3942000468</v>
      </c>
      <c r="E251" s="211">
        <f>E107</f>
        <v>8514968667</v>
      </c>
      <c r="F251" s="211">
        <f>F107</f>
        <v>7324162712</v>
      </c>
      <c r="G251" s="211"/>
      <c r="H251" s="211"/>
      <c r="I251" s="211"/>
      <c r="J251" s="211"/>
      <c r="K251" s="211"/>
    </row>
    <row r="252" spans="3:11" x14ac:dyDescent="0.25">
      <c r="C252" s="8" t="s">
        <v>259</v>
      </c>
      <c r="D252" s="211">
        <f>D105+D106+D108</f>
        <v>1915217832</v>
      </c>
      <c r="E252" s="211">
        <f>E105+E106+E108</f>
        <v>2139355716</v>
      </c>
      <c r="F252" s="211">
        <f>F105+F106+F108</f>
        <v>2139355716</v>
      </c>
      <c r="G252" s="211"/>
      <c r="H252" s="211"/>
      <c r="I252" s="211"/>
      <c r="J252" s="211"/>
      <c r="K252" s="211"/>
    </row>
    <row r="253" spans="3:11" x14ac:dyDescent="0.25">
      <c r="D253" s="211"/>
      <c r="E253" s="211"/>
      <c r="F253" s="211"/>
      <c r="G253" s="211"/>
      <c r="H253" s="211"/>
      <c r="I253" s="211"/>
      <c r="J253" s="211"/>
      <c r="K253" s="211"/>
    </row>
    <row r="254" spans="3:11" x14ac:dyDescent="0.25">
      <c r="C254" s="8" t="s">
        <v>44</v>
      </c>
      <c r="D254" s="1">
        <f>D241/D240</f>
        <v>0.16901917520813445</v>
      </c>
      <c r="E254" s="1">
        <f t="shared" ref="E254:F254" si="165">E241/E240</f>
        <v>0.1381394834450109</v>
      </c>
      <c r="F254" s="1">
        <f t="shared" si="165"/>
        <v>0.27503194454263741</v>
      </c>
      <c r="G254" s="1">
        <f>F254</f>
        <v>0.27503194454263741</v>
      </c>
      <c r="H254" s="1">
        <f t="shared" ref="H254:K254" si="166">G254</f>
        <v>0.27503194454263741</v>
      </c>
      <c r="I254" s="1">
        <f t="shared" si="166"/>
        <v>0.27503194454263741</v>
      </c>
      <c r="J254" s="1">
        <f t="shared" si="166"/>
        <v>0.27503194454263741</v>
      </c>
      <c r="K254" s="1">
        <f t="shared" si="166"/>
        <v>0.27503194454263741</v>
      </c>
    </row>
    <row r="255" spans="3:11" x14ac:dyDescent="0.25">
      <c r="C255" s="8" t="s">
        <v>261</v>
      </c>
      <c r="D255" s="1">
        <f>D33/D31</f>
        <v>9.1782621821854565E-2</v>
      </c>
      <c r="E255" s="1">
        <f>E33/E31</f>
        <v>7.3038985327203113E-2</v>
      </c>
      <c r="F255" s="1">
        <f>F33/F31</f>
        <v>9.6750330908122156E-2</v>
      </c>
      <c r="G255" s="1">
        <f>F255</f>
        <v>9.6750330908122156E-2</v>
      </c>
      <c r="H255" s="1">
        <f t="shared" ref="H255:K255" si="167">G255</f>
        <v>9.6750330908122156E-2</v>
      </c>
      <c r="I255" s="1">
        <f t="shared" si="167"/>
        <v>9.6750330908122156E-2</v>
      </c>
      <c r="J255" s="1">
        <f t="shared" si="167"/>
        <v>9.6750330908122156E-2</v>
      </c>
      <c r="K255" s="1">
        <f t="shared" si="167"/>
        <v>9.6750330908122156E-2</v>
      </c>
    </row>
    <row r="257" spans="3:11" x14ac:dyDescent="0.25">
      <c r="C257" s="18" t="s">
        <v>267</v>
      </c>
    </row>
    <row r="258" spans="3:11" x14ac:dyDescent="0.25">
      <c r="C258" s="62" t="s">
        <v>48</v>
      </c>
      <c r="D258" s="63">
        <f t="shared" ref="D258:K258" si="168">D$13</f>
        <v>2023</v>
      </c>
      <c r="E258" s="63">
        <f t="shared" si="168"/>
        <v>2024</v>
      </c>
      <c r="F258" s="63">
        <f t="shared" si="168"/>
        <v>2025</v>
      </c>
      <c r="G258" s="64">
        <f t="shared" si="168"/>
        <v>2026</v>
      </c>
      <c r="H258" s="64">
        <f t="shared" si="168"/>
        <v>2027</v>
      </c>
      <c r="I258" s="64">
        <f t="shared" si="168"/>
        <v>2028</v>
      </c>
      <c r="J258" s="64">
        <f t="shared" si="168"/>
        <v>2029</v>
      </c>
      <c r="K258" s="64">
        <f t="shared" si="168"/>
        <v>2030</v>
      </c>
    </row>
    <row r="259" spans="3:11" x14ac:dyDescent="0.25">
      <c r="C259" s="56" t="s">
        <v>49</v>
      </c>
      <c r="D259" s="57">
        <f t="shared" ref="D259:K259" si="169">D$14</f>
        <v>45291</v>
      </c>
      <c r="E259" s="57">
        <f t="shared" si="169"/>
        <v>45657</v>
      </c>
      <c r="F259" s="57">
        <f t="shared" si="169"/>
        <v>46022</v>
      </c>
      <c r="G259" s="57">
        <f t="shared" si="169"/>
        <v>46387</v>
      </c>
      <c r="H259" s="57">
        <f t="shared" si="169"/>
        <v>46752</v>
      </c>
      <c r="I259" s="57">
        <f t="shared" si="169"/>
        <v>47118</v>
      </c>
      <c r="J259" s="57">
        <f t="shared" si="169"/>
        <v>47483</v>
      </c>
      <c r="K259" s="57">
        <f t="shared" si="169"/>
        <v>47848</v>
      </c>
    </row>
    <row r="261" spans="3:11" x14ac:dyDescent="0.25">
      <c r="C261" s="8" t="s">
        <v>36</v>
      </c>
      <c r="D261" s="211"/>
      <c r="E261" s="211">
        <f>D265</f>
        <v>3802844269</v>
      </c>
      <c r="F261" s="211">
        <f t="shared" ref="F261:K261" si="170">E265</f>
        <v>6474047538</v>
      </c>
      <c r="G261" s="211">
        <f t="shared" si="170"/>
        <v>6757650507</v>
      </c>
      <c r="H261" s="211">
        <f t="shared" si="170"/>
        <v>7649660373.9239998</v>
      </c>
      <c r="I261" s="211">
        <f t="shared" si="170"/>
        <v>8659415543.2819672</v>
      </c>
      <c r="J261" s="211">
        <f t="shared" si="170"/>
        <v>9802458394.9951878</v>
      </c>
      <c r="K261" s="211">
        <f t="shared" si="170"/>
        <v>11096382903.134552</v>
      </c>
    </row>
    <row r="262" spans="3:11" x14ac:dyDescent="0.25">
      <c r="C262" s="8" t="s">
        <v>268</v>
      </c>
      <c r="D262" s="211">
        <f>D28</f>
        <v>603624972</v>
      </c>
      <c r="E262" s="211">
        <f>E28</f>
        <v>1132366257</v>
      </c>
      <c r="F262" s="211">
        <f>F28</f>
        <v>1568902975</v>
      </c>
      <c r="G262" s="211">
        <f>G267*G261</f>
        <v>1486683111.54</v>
      </c>
      <c r="H262" s="211">
        <f t="shared" ref="H262:K262" si="171">H267*H261</f>
        <v>1682925282.2632799</v>
      </c>
      <c r="I262" s="211">
        <f t="shared" si="171"/>
        <v>1905071419.5220327</v>
      </c>
      <c r="J262" s="211">
        <f t="shared" si="171"/>
        <v>2156540846.8989415</v>
      </c>
      <c r="K262" s="211">
        <f t="shared" si="171"/>
        <v>2441204238.6896014</v>
      </c>
    </row>
    <row r="263" spans="3:11" x14ac:dyDescent="0.25">
      <c r="C263" s="8" t="s">
        <v>269</v>
      </c>
      <c r="D263" s="211">
        <v>0</v>
      </c>
      <c r="E263" s="211">
        <v>0</v>
      </c>
      <c r="F263" s="211">
        <v>0</v>
      </c>
      <c r="G263" s="211">
        <f>G262*G268</f>
        <v>594673244.61600006</v>
      </c>
      <c r="H263" s="211">
        <f t="shared" ref="H263:K263" si="172">H262*H268</f>
        <v>673170112.90531206</v>
      </c>
      <c r="I263" s="211">
        <f t="shared" si="172"/>
        <v>762028567.8088131</v>
      </c>
      <c r="J263" s="211">
        <f t="shared" si="172"/>
        <v>862616338.75957668</v>
      </c>
      <c r="K263" s="211">
        <f t="shared" si="172"/>
        <v>976481695.47584057</v>
      </c>
    </row>
    <row r="264" spans="3:11" x14ac:dyDescent="0.25">
      <c r="C264" s="8" t="s">
        <v>270</v>
      </c>
      <c r="D264" s="211"/>
      <c r="E264" s="211">
        <f t="shared" ref="E264" si="173">E265-E261-E262+E263</f>
        <v>1538837012</v>
      </c>
      <c r="F264" s="211">
        <f>F265-F261-F262+F263</f>
        <v>-1285300006</v>
      </c>
      <c r="G264" s="211">
        <v>0</v>
      </c>
      <c r="H264" s="211">
        <v>0</v>
      </c>
      <c r="I264" s="211">
        <v>0</v>
      </c>
      <c r="J264" s="211">
        <v>0</v>
      </c>
      <c r="K264" s="211">
        <v>0</v>
      </c>
    </row>
    <row r="265" spans="3:11" x14ac:dyDescent="0.25">
      <c r="C265" s="8" t="s">
        <v>255</v>
      </c>
      <c r="D265" s="211">
        <f>D75</f>
        <v>3802844269</v>
      </c>
      <c r="E265" s="211">
        <f>E75</f>
        <v>6474047538</v>
      </c>
      <c r="F265" s="211">
        <f>F75</f>
        <v>6757650507</v>
      </c>
      <c r="G265" s="211">
        <f>G261+G262-G263+G264</f>
        <v>7649660373.9239998</v>
      </c>
      <c r="H265" s="211">
        <f t="shared" ref="H265:K265" si="174">H261+H262-H263+H264</f>
        <v>8659415543.2819672</v>
      </c>
      <c r="I265" s="211">
        <f t="shared" si="174"/>
        <v>9802458394.9951878</v>
      </c>
      <c r="J265" s="211">
        <f t="shared" si="174"/>
        <v>11096382903.134552</v>
      </c>
      <c r="K265" s="211">
        <f t="shared" si="174"/>
        <v>12561105446.348312</v>
      </c>
    </row>
    <row r="267" spans="3:11" x14ac:dyDescent="0.25">
      <c r="C267" s="8" t="s">
        <v>271</v>
      </c>
      <c r="D267" s="1"/>
      <c r="E267" s="1">
        <f>E262/E261</f>
        <v>0.29776824316231287</v>
      </c>
      <c r="F267" s="1">
        <f>F262/F261</f>
        <v>0.24233726517934628</v>
      </c>
      <c r="G267" s="247">
        <v>0.22</v>
      </c>
      <c r="H267" s="247">
        <v>0.22</v>
      </c>
      <c r="I267" s="247">
        <v>0.22</v>
      </c>
      <c r="J267" s="247">
        <v>0.22</v>
      </c>
      <c r="K267" s="247">
        <v>0.22</v>
      </c>
    </row>
    <row r="268" spans="3:11" x14ac:dyDescent="0.25">
      <c r="C268" s="8" t="s">
        <v>272</v>
      </c>
      <c r="D268" s="247"/>
      <c r="E268" s="247"/>
      <c r="F268" s="247"/>
      <c r="G268" s="247">
        <v>0.4</v>
      </c>
      <c r="H268" s="247">
        <v>0.4</v>
      </c>
      <c r="I268" s="247">
        <v>0.4</v>
      </c>
      <c r="J268" s="247">
        <v>0.4</v>
      </c>
      <c r="K268" s="247">
        <v>0.4</v>
      </c>
    </row>
  </sheetData>
  <conditionalFormatting sqref="C46:C49">
    <cfRule type="expression" dxfId="2" priority="1">
      <formula>#REF!=$C46</formula>
    </cfRule>
  </conditionalFormatting>
  <pageMargins left="0.7" right="0.7" top="0.75" bottom="0.75" header="0.511811023622047" footer="0.511811023622047"/>
  <pageSetup orientation="portrait" horizontalDpi="300" verticalDpi="30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BFB8B-B60E-497E-A730-4D15A5E1DAC7}">
  <dimension ref="B1:Q132"/>
  <sheetViews>
    <sheetView showGridLines="0" zoomScaleNormal="100" workbookViewId="0">
      <selection activeCell="I51" sqref="I51"/>
    </sheetView>
  </sheetViews>
  <sheetFormatPr defaultColWidth="9.140625" defaultRowHeight="15" x14ac:dyDescent="0.25"/>
  <cols>
    <col min="1" max="1" width="1.42578125" style="65" customWidth="1"/>
    <col min="2" max="2" width="54.42578125" style="65" customWidth="1"/>
    <col min="3" max="3" width="16.7109375" style="65" bestFit="1" customWidth="1"/>
    <col min="4" max="4" width="15.5703125" style="65" bestFit="1" customWidth="1"/>
    <col min="5" max="9" width="16.42578125" style="65" customWidth="1"/>
    <col min="10" max="10" width="1.7109375" style="65" customWidth="1"/>
    <col min="11" max="11" width="12.140625" style="65" bestFit="1" customWidth="1"/>
    <col min="12" max="16" width="9.42578125" style="65" customWidth="1"/>
    <col min="17" max="16384" width="9.140625" style="65"/>
  </cols>
  <sheetData>
    <row r="1" spans="2:10" ht="15.75" thickBot="1" x14ac:dyDescent="0.3"/>
    <row r="2" spans="2:10" ht="15.75" thickBot="1" x14ac:dyDescent="0.3">
      <c r="B2" s="66" t="s">
        <v>52</v>
      </c>
      <c r="C2" s="67"/>
      <c r="D2" s="67"/>
      <c r="E2" s="67"/>
      <c r="F2" s="67"/>
      <c r="G2" s="67"/>
      <c r="H2" s="67"/>
      <c r="I2" s="67"/>
    </row>
    <row r="3" spans="2:10" x14ac:dyDescent="0.25">
      <c r="B3" s="209" t="str">
        <f>FSM!C3</f>
        <v>All amounts are shown in Egyptian pounds, except per-share data, ratios, and shares outstanding</v>
      </c>
    </row>
    <row r="4" spans="2:10" x14ac:dyDescent="0.25">
      <c r="B4" s="65" t="s">
        <v>53</v>
      </c>
      <c r="C4" s="69"/>
      <c r="D4" s="69">
        <v>46022</v>
      </c>
      <c r="F4" s="65" t="s">
        <v>54</v>
      </c>
      <c r="H4" s="70">
        <f>+WACC!E21</f>
        <v>0.2001941725927609</v>
      </c>
      <c r="I4" s="65" t="s">
        <v>55</v>
      </c>
    </row>
    <row r="5" spans="2:10" x14ac:dyDescent="0.25">
      <c r="B5" s="65" t="s">
        <v>56</v>
      </c>
      <c r="C5" s="71"/>
      <c r="D5" s="71">
        <f>EOMONTH(D4,12)</f>
        <v>46387</v>
      </c>
      <c r="F5" s="65" t="s">
        <v>57</v>
      </c>
      <c r="H5" s="177">
        <v>91.19</v>
      </c>
    </row>
    <row r="6" spans="2:10" x14ac:dyDescent="0.25">
      <c r="B6" s="65" t="s">
        <v>58</v>
      </c>
      <c r="C6" s="69"/>
      <c r="D6" s="69">
        <v>46022</v>
      </c>
      <c r="F6" s="65" t="s">
        <v>59</v>
      </c>
      <c r="H6" s="72">
        <v>46174</v>
      </c>
      <c r="J6" s="73"/>
    </row>
    <row r="7" spans="2:10" x14ac:dyDescent="0.25">
      <c r="B7" s="65" t="s">
        <v>60</v>
      </c>
      <c r="C7" s="69"/>
      <c r="D7" s="69">
        <v>46174</v>
      </c>
      <c r="E7" s="73"/>
      <c r="F7" s="250" t="s">
        <v>166</v>
      </c>
      <c r="G7" s="73"/>
      <c r="H7" s="177">
        <f ca="1">C73</f>
        <v>70.858323631500312</v>
      </c>
    </row>
    <row r="8" spans="2:10" x14ac:dyDescent="0.25">
      <c r="B8" s="65" t="s">
        <v>61</v>
      </c>
      <c r="C8" s="157"/>
      <c r="D8" s="157">
        <f>YEARFRAC(D7,D5)</f>
        <v>0.58333333333333337</v>
      </c>
      <c r="F8" s="250" t="s">
        <v>167</v>
      </c>
      <c r="H8" s="242">
        <f ca="1">(H7-H5)/H5</f>
        <v>-0.22295949521328748</v>
      </c>
    </row>
    <row r="9" spans="2:10" x14ac:dyDescent="0.25">
      <c r="D9" s="75"/>
    </row>
    <row r="10" spans="2:10" x14ac:dyDescent="0.25">
      <c r="B10" s="76" t="s">
        <v>62</v>
      </c>
      <c r="C10" s="77"/>
      <c r="D10" s="78"/>
      <c r="F10" s="77"/>
      <c r="G10" s="77"/>
      <c r="H10" s="77"/>
      <c r="I10" s="77"/>
    </row>
    <row r="11" spans="2:10" ht="17.25" customHeight="1" x14ac:dyDescent="0.4">
      <c r="C11" s="79" t="s">
        <v>63</v>
      </c>
      <c r="D11" s="79" t="s">
        <v>64</v>
      </c>
      <c r="E11" s="80" t="s">
        <v>65</v>
      </c>
      <c r="F11" s="79"/>
      <c r="G11" s="79"/>
      <c r="H11" s="79"/>
      <c r="I11" s="79"/>
    </row>
    <row r="12" spans="2:10" x14ac:dyDescent="0.25">
      <c r="B12" s="81" t="s">
        <v>66</v>
      </c>
      <c r="C12" s="82">
        <f>D7</f>
        <v>46174</v>
      </c>
      <c r="D12" s="83">
        <f>D4</f>
        <v>46022</v>
      </c>
      <c r="E12" s="84">
        <f>EOMONTH(D12,12)</f>
        <v>46387</v>
      </c>
      <c r="F12" s="85">
        <f>EOMONTH(E12,12)</f>
        <v>46752</v>
      </c>
      <c r="G12" s="85">
        <f t="shared" ref="G12:I12" si="0">EOMONTH(F12,12)</f>
        <v>47118</v>
      </c>
      <c r="H12" s="85">
        <f t="shared" si="0"/>
        <v>47483</v>
      </c>
      <c r="I12" s="85">
        <f t="shared" si="0"/>
        <v>47848</v>
      </c>
    </row>
    <row r="13" spans="2:10" x14ac:dyDescent="0.25">
      <c r="B13" s="81"/>
      <c r="D13" s="200"/>
      <c r="E13" s="208"/>
      <c r="F13" s="208"/>
      <c r="G13" s="208"/>
      <c r="H13" s="208"/>
      <c r="I13" s="206"/>
    </row>
    <row r="14" spans="2:10" x14ac:dyDescent="0.25">
      <c r="B14" s="65" t="s">
        <v>67</v>
      </c>
      <c r="C14" s="178">
        <f>+E14*(1-$D$8)+D14*$D$8</f>
        <v>303066680463.81671</v>
      </c>
      <c r="D14" s="201">
        <f>FSM!F16</f>
        <v>281049081719</v>
      </c>
      <c r="E14" s="201">
        <f>FSM!G16</f>
        <v>333891318706.56006</v>
      </c>
      <c r="F14" s="201">
        <f>FSM!H16</f>
        <v>386095863773.10168</v>
      </c>
      <c r="G14" s="201">
        <f>FSM!I16</f>
        <v>435287219104.55676</v>
      </c>
      <c r="H14" s="201">
        <f>FSM!J16</f>
        <v>481130186978.84436</v>
      </c>
      <c r="I14" s="201">
        <f>FSM!K16</f>
        <v>524598716826.12708</v>
      </c>
    </row>
    <row r="15" spans="2:10" x14ac:dyDescent="0.25">
      <c r="B15" s="88" t="s">
        <v>45</v>
      </c>
      <c r="D15" s="202"/>
      <c r="E15" s="202">
        <f>E14/D14-1</f>
        <v>0.1880178247313864</v>
      </c>
      <c r="F15" s="202">
        <f t="shared" ref="F15:I15" si="1">F14/E14-1</f>
        <v>0.15635190896478957</v>
      </c>
      <c r="G15" s="202">
        <f t="shared" si="1"/>
        <v>0.12740710260590493</v>
      </c>
      <c r="H15" s="202">
        <f t="shared" si="1"/>
        <v>0.10531659525541004</v>
      </c>
      <c r="I15" s="202">
        <f t="shared" si="1"/>
        <v>9.0346710773302696E-2</v>
      </c>
    </row>
    <row r="16" spans="2:10" x14ac:dyDescent="0.25">
      <c r="B16" s="65" t="s">
        <v>26</v>
      </c>
      <c r="C16" s="178">
        <f>+E16*(1-$D$8)+D16*$D$8</f>
        <v>30977934828.474445</v>
      </c>
      <c r="D16" s="201">
        <f>FSM!F36</f>
        <v>28363203246</v>
      </c>
      <c r="E16" s="201">
        <f>FSM!G36</f>
        <v>34638559043.938667</v>
      </c>
      <c r="F16" s="201">
        <f>FSM!H36</f>
        <v>40597013018.980911</v>
      </c>
      <c r="G16" s="201">
        <f>FSM!I36</f>
        <v>46152131568.704803</v>
      </c>
      <c r="H16" s="201">
        <f>FSM!J36</f>
        <v>51211561871.221909</v>
      </c>
      <c r="I16" s="201">
        <f>FSM!K36</f>
        <v>55816607510.188148</v>
      </c>
    </row>
    <row r="17" spans="2:13" x14ac:dyDescent="0.25">
      <c r="B17" s="88" t="s">
        <v>68</v>
      </c>
      <c r="D17" s="202">
        <f>D16/D14</f>
        <v>0.10091903902521286</v>
      </c>
      <c r="E17" s="202">
        <f t="shared" ref="E17" si="2">E16/E14</f>
        <v>0.10374201754667578</v>
      </c>
      <c r="F17" s="202">
        <f t="shared" ref="F17" si="3">F16/F14</f>
        <v>0.10514749529365251</v>
      </c>
      <c r="G17" s="202">
        <f t="shared" ref="G17" si="4">G16/G14</f>
        <v>0.10602684743109579</v>
      </c>
      <c r="H17" s="202">
        <f t="shared" ref="H17" si="5">H16/H14</f>
        <v>0.10644013461885259</v>
      </c>
      <c r="I17" s="202">
        <f t="shared" ref="I17" si="6">I16/I14</f>
        <v>0.1063986733476666</v>
      </c>
    </row>
    <row r="18" spans="2:13" x14ac:dyDescent="0.25">
      <c r="B18" s="65" t="s">
        <v>69</v>
      </c>
      <c r="C18" s="178">
        <f>+E18*(1-$D$8)+D18*$D$8</f>
        <v>27797814235.693066</v>
      </c>
      <c r="D18" s="201">
        <f>FSM!F24</f>
        <v>25354225619</v>
      </c>
      <c r="E18" s="201">
        <f>FSM!G24</f>
        <v>31218838299.063358</v>
      </c>
      <c r="F18" s="201">
        <f>FSM!H24</f>
        <v>36099963262.785019</v>
      </c>
      <c r="G18" s="201">
        <f>FSM!I24</f>
        <v>40699354986.276062</v>
      </c>
      <c r="H18" s="201">
        <f>FSM!J24</f>
        <v>44985672482.521942</v>
      </c>
      <c r="I18" s="201">
        <f>FSM!K24</f>
        <v>49049980023.242889</v>
      </c>
    </row>
    <row r="19" spans="2:13" x14ac:dyDescent="0.25">
      <c r="B19" s="88" t="s">
        <v>68</v>
      </c>
      <c r="D19" s="202">
        <f>D18/D14</f>
        <v>9.0212803628192589E-2</v>
      </c>
      <c r="E19" s="202">
        <f t="shared" ref="E19" si="7">E18/E14</f>
        <v>9.3499999999999972E-2</v>
      </c>
      <c r="F19" s="202">
        <f t="shared" ref="F19" si="8">F18/F14</f>
        <v>9.3500000000000028E-2</v>
      </c>
      <c r="G19" s="202">
        <f t="shared" ref="G19" si="9">G18/G14</f>
        <v>9.3500000000000014E-2</v>
      </c>
      <c r="H19" s="202">
        <f t="shared" ref="H19" si="10">H18/H14</f>
        <v>9.3499999999999986E-2</v>
      </c>
      <c r="I19" s="202">
        <f t="shared" ref="I19" si="11">I18/I14</f>
        <v>9.3500000000000014E-2</v>
      </c>
    </row>
    <row r="20" spans="2:13" x14ac:dyDescent="0.25">
      <c r="B20" s="88"/>
      <c r="D20" s="201"/>
      <c r="E20" s="201"/>
      <c r="F20" s="201"/>
      <c r="G20" s="201"/>
      <c r="H20" s="201"/>
      <c r="I20" s="207"/>
    </row>
    <row r="21" spans="2:13" x14ac:dyDescent="0.25">
      <c r="B21" s="65" t="s">
        <v>70</v>
      </c>
      <c r="D21" s="203">
        <f>D18*D22</f>
        <v>5721236338.8723297</v>
      </c>
      <c r="E21" s="203">
        <f t="shared" ref="E21:I21" si="12">E18*E22</f>
        <v>7024238617.2892561</v>
      </c>
      <c r="F21" s="203">
        <f t="shared" si="12"/>
        <v>8122491734.1266298</v>
      </c>
      <c r="G21" s="203">
        <f t="shared" si="12"/>
        <v>9157354871.9121151</v>
      </c>
      <c r="H21" s="203">
        <f t="shared" si="12"/>
        <v>10121776308.567438</v>
      </c>
      <c r="I21" s="203">
        <f t="shared" si="12"/>
        <v>11036245505.22965</v>
      </c>
    </row>
    <row r="22" spans="2:13" ht="15" customHeight="1" x14ac:dyDescent="0.25">
      <c r="B22" s="88" t="s">
        <v>29</v>
      </c>
      <c r="D22" s="204">
        <f>FSM!F50</f>
        <v>0.22565218219817915</v>
      </c>
      <c r="E22" s="204">
        <f>FSM!G50</f>
        <v>0.22500000000000001</v>
      </c>
      <c r="F22" s="204">
        <f>FSM!H50</f>
        <v>0.22500000000000001</v>
      </c>
      <c r="G22" s="204">
        <f>FSM!I50</f>
        <v>0.22500000000000001</v>
      </c>
      <c r="H22" s="204">
        <f>FSM!J50</f>
        <v>0.22500000000000001</v>
      </c>
      <c r="I22" s="204">
        <f>FSM!K50</f>
        <v>0.22500000000000001</v>
      </c>
    </row>
    <row r="23" spans="2:13" x14ac:dyDescent="0.25">
      <c r="B23" s="89" t="s">
        <v>71</v>
      </c>
      <c r="C23" s="89"/>
      <c r="D23" s="205">
        <f>D18*(1-D22)</f>
        <v>19632989280.12767</v>
      </c>
      <c r="E23" s="205">
        <f t="shared" ref="E23:I23" si="13">E18*(1-E22)</f>
        <v>24194599681.774105</v>
      </c>
      <c r="F23" s="205">
        <f t="shared" si="13"/>
        <v>27977471528.65839</v>
      </c>
      <c r="G23" s="205">
        <f t="shared" si="13"/>
        <v>31542000114.363949</v>
      </c>
      <c r="H23" s="205">
        <f t="shared" si="13"/>
        <v>34863896173.954506</v>
      </c>
      <c r="I23" s="205">
        <f t="shared" si="13"/>
        <v>38013734518.013237</v>
      </c>
    </row>
    <row r="24" spans="2:13" x14ac:dyDescent="0.25">
      <c r="D24" s="86"/>
      <c r="E24" s="86"/>
      <c r="F24" s="86"/>
      <c r="G24" s="86"/>
      <c r="H24" s="86"/>
      <c r="I24" s="86"/>
    </row>
    <row r="25" spans="2:13" x14ac:dyDescent="0.25">
      <c r="B25" s="65" t="s">
        <v>25</v>
      </c>
      <c r="D25" s="87">
        <f>FSM!F35</f>
        <v>3008977627</v>
      </c>
      <c r="E25" s="87">
        <f>FSM!G35</f>
        <v>3419720744.8753099</v>
      </c>
      <c r="F25" s="87">
        <f>FSM!H35</f>
        <v>4497049756.1958961</v>
      </c>
      <c r="G25" s="87">
        <f>FSM!I35</f>
        <v>5452776582.4287443</v>
      </c>
      <c r="H25" s="87">
        <f>FSM!J35</f>
        <v>6225889388.6999655</v>
      </c>
      <c r="I25" s="87">
        <f>FSM!K35</f>
        <v>6766627486.945261</v>
      </c>
      <c r="M25" s="91"/>
    </row>
    <row r="26" spans="2:13" x14ac:dyDescent="0.25">
      <c r="B26" s="65" t="s">
        <v>72</v>
      </c>
      <c r="D26" s="86"/>
      <c r="E26" s="86">
        <f>D32-E32</f>
        <v>-9667685457.8399048</v>
      </c>
      <c r="F26" s="86">
        <f t="shared" ref="F26:I26" si="14">E32-F32</f>
        <v>-9551017329.0310974</v>
      </c>
      <c r="G26" s="86">
        <f t="shared" si="14"/>
        <v>-8999742965.107666</v>
      </c>
      <c r="H26" s="86">
        <f t="shared" si="14"/>
        <v>-8387142920.6679382</v>
      </c>
      <c r="I26" s="86">
        <f t="shared" si="14"/>
        <v>-7952730577.5717163</v>
      </c>
      <c r="M26" s="91"/>
    </row>
    <row r="27" spans="2:13" x14ac:dyDescent="0.25">
      <c r="B27" s="65" t="s">
        <v>73</v>
      </c>
      <c r="D27" s="87"/>
      <c r="E27" s="87">
        <f>-FSM!G164</f>
        <v>-15025109341.795202</v>
      </c>
      <c r="F27" s="87">
        <f>-FSM!H164</f>
        <v>-14671642823.377863</v>
      </c>
      <c r="G27" s="87">
        <f>-FSM!I164</f>
        <v>-13493903792.241259</v>
      </c>
      <c r="H27" s="87">
        <f>-FSM!J164</f>
        <v>-11547124487.492266</v>
      </c>
      <c r="I27" s="87">
        <f>-FSM!K164</f>
        <v>-9442776902.8702869</v>
      </c>
      <c r="M27" s="91"/>
    </row>
    <row r="28" spans="2:13" x14ac:dyDescent="0.25">
      <c r="B28" s="88" t="s">
        <v>42</v>
      </c>
      <c r="D28" s="1"/>
      <c r="E28" s="1">
        <f>-E27/E14</f>
        <v>4.4999999999999998E-2</v>
      </c>
      <c r="F28" s="1">
        <f t="shared" ref="F28:I28" si="15">-F27/F14</f>
        <v>3.7999999999999999E-2</v>
      </c>
      <c r="G28" s="1">
        <f t="shared" si="15"/>
        <v>3.0999999999999996E-2</v>
      </c>
      <c r="H28" s="1">
        <f t="shared" si="15"/>
        <v>2.4E-2</v>
      </c>
      <c r="I28" s="1">
        <f t="shared" si="15"/>
        <v>1.7999999999999999E-2</v>
      </c>
      <c r="M28" s="91"/>
    </row>
    <row r="29" spans="2:13" x14ac:dyDescent="0.25">
      <c r="B29" s="250"/>
      <c r="D29" s="87"/>
      <c r="E29" s="87"/>
      <c r="F29" s="87"/>
      <c r="G29" s="87"/>
      <c r="H29" s="87"/>
      <c r="I29" s="87"/>
      <c r="M29" s="91"/>
    </row>
    <row r="30" spans="2:13" x14ac:dyDescent="0.25">
      <c r="B30" s="89" t="s">
        <v>74</v>
      </c>
      <c r="C30" s="89"/>
      <c r="D30" s="90"/>
      <c r="E30" s="90">
        <f>E23+E25+E26+E27</f>
        <v>2921525627.014307</v>
      </c>
      <c r="F30" s="90">
        <f t="shared" ref="F30:I30" si="16">F23+F25+F26+F27</f>
        <v>8251861132.4453259</v>
      </c>
      <c r="G30" s="90">
        <f t="shared" si="16"/>
        <v>14501129939.443769</v>
      </c>
      <c r="H30" s="90">
        <f t="shared" si="16"/>
        <v>21155518154.49427</v>
      </c>
      <c r="I30" s="90">
        <f t="shared" si="16"/>
        <v>27384854524.516495</v>
      </c>
      <c r="M30" s="90"/>
    </row>
    <row r="31" spans="2:13" x14ac:dyDescent="0.25">
      <c r="D31" s="87"/>
      <c r="E31" s="87"/>
      <c r="F31" s="87"/>
      <c r="G31" s="87"/>
      <c r="H31" s="87"/>
      <c r="I31" s="87"/>
      <c r="M31" s="91"/>
    </row>
    <row r="32" spans="2:13" x14ac:dyDescent="0.25">
      <c r="B32" s="65" t="s">
        <v>75</v>
      </c>
      <c r="C32" s="87"/>
      <c r="D32" s="87">
        <f>FSM!F211</f>
        <v>47054508568</v>
      </c>
      <c r="E32" s="87">
        <f>FSM!G211</f>
        <v>56722194025.839905</v>
      </c>
      <c r="F32" s="87">
        <f>FSM!H211</f>
        <v>66273211354.871002</v>
      </c>
      <c r="G32" s="87">
        <f>FSM!I211</f>
        <v>75272954319.978668</v>
      </c>
      <c r="H32" s="87">
        <f>FSM!J211</f>
        <v>83660097240.646606</v>
      </c>
      <c r="I32" s="87">
        <f>FSM!K211</f>
        <v>91612827818.218323</v>
      </c>
    </row>
    <row r="33" spans="2:13" x14ac:dyDescent="0.25">
      <c r="B33" s="88" t="s">
        <v>42</v>
      </c>
      <c r="D33" s="74">
        <f>D32/D14</f>
        <v>0.16742452343269454</v>
      </c>
      <c r="E33" s="74">
        <f t="shared" ref="E33:I33" si="17">E32/E14</f>
        <v>0.16988220671795942</v>
      </c>
      <c r="F33" s="74">
        <f t="shared" si="17"/>
        <v>0.17164962791162666</v>
      </c>
      <c r="G33" s="74">
        <f t="shared" si="17"/>
        <v>0.17292709506799916</v>
      </c>
      <c r="H33" s="74">
        <f t="shared" si="17"/>
        <v>0.17388245324196464</v>
      </c>
      <c r="I33" s="74">
        <f t="shared" si="17"/>
        <v>0.17463410580278346</v>
      </c>
      <c r="J33" s="87"/>
    </row>
    <row r="34" spans="2:13" x14ac:dyDescent="0.25">
      <c r="D34"/>
      <c r="E34" s="74"/>
      <c r="F34" s="74"/>
      <c r="G34" s="74"/>
      <c r="H34" s="74"/>
      <c r="I34" s="74"/>
      <c r="J34" s="87"/>
      <c r="K34" s="92"/>
      <c r="M34" s="74"/>
    </row>
    <row r="35" spans="2:13" x14ac:dyDescent="0.25">
      <c r="B35" s="76" t="str">
        <f>"Present value of UFCF on "&amp;TEXT(D7,"mmm dd, yyyy")&amp;" valuation date"</f>
        <v>Present value of UFCF on Jun 01, 2026 valuation date</v>
      </c>
      <c r="C35" s="77"/>
      <c r="D35" s="93"/>
      <c r="E35" s="77"/>
      <c r="F35" s="93"/>
      <c r="G35" s="93"/>
      <c r="H35" s="93"/>
      <c r="I35" s="93"/>
      <c r="J35" s="87"/>
    </row>
    <row r="36" spans="2:13" ht="17.25" x14ac:dyDescent="0.4">
      <c r="B36" s="89"/>
      <c r="D36" s="94" t="s">
        <v>76</v>
      </c>
      <c r="E36" s="94" t="s">
        <v>77</v>
      </c>
      <c r="F36" s="95" t="s">
        <v>78</v>
      </c>
      <c r="G36" s="95" t="s">
        <v>79</v>
      </c>
      <c r="H36" s="95" t="s">
        <v>80</v>
      </c>
      <c r="I36" s="95" t="s">
        <v>81</v>
      </c>
      <c r="J36" s="87"/>
    </row>
    <row r="37" spans="2:13" x14ac:dyDescent="0.25">
      <c r="B37" s="65" t="s">
        <v>82</v>
      </c>
      <c r="D37" s="96">
        <f>D7</f>
        <v>46174</v>
      </c>
      <c r="E37" s="179">
        <f ca="1">IF($H$7=1,AVERAGE(E12,D37),E12)</f>
        <v>46387</v>
      </c>
      <c r="F37" s="179">
        <f ca="1">IF($H$7=1,AVERAGE(F12,E12),F12)</f>
        <v>46752</v>
      </c>
      <c r="G37" s="179">
        <f ca="1">IF($H$7=1,AVERAGE(G12,F12),G12)</f>
        <v>47118</v>
      </c>
      <c r="H37" s="179">
        <f ca="1">IF($H$7=1,AVERAGE(H12,G12),H12)</f>
        <v>47483</v>
      </c>
      <c r="I37" s="179">
        <f ca="1">IF($H$7=1,AVERAGE(I12,H12),I12)</f>
        <v>47848</v>
      </c>
      <c r="J37" s="87"/>
    </row>
    <row r="38" spans="2:13" x14ac:dyDescent="0.25">
      <c r="B38" s="65" t="s">
        <v>83</v>
      </c>
      <c r="C38" s="97">
        <f>$D$8</f>
        <v>0.58333333333333337</v>
      </c>
      <c r="D38" s="91"/>
      <c r="E38" s="98">
        <f>E30*C38</f>
        <v>1704223282.4250126</v>
      </c>
      <c r="F38" s="98">
        <f>F30</f>
        <v>8251861132.4453259</v>
      </c>
      <c r="G38" s="98">
        <f t="shared" ref="G38:I38" si="18">G30</f>
        <v>14501129939.443769</v>
      </c>
      <c r="H38" s="98">
        <f t="shared" si="18"/>
        <v>21155518154.49427</v>
      </c>
      <c r="I38" s="98">
        <f t="shared" si="18"/>
        <v>27384854524.516495</v>
      </c>
      <c r="J38" s="86"/>
    </row>
    <row r="39" spans="2:13" ht="15" customHeight="1" x14ac:dyDescent="0.25">
      <c r="B39" s="89" t="s">
        <v>84</v>
      </c>
      <c r="C39" s="99"/>
      <c r="D39" s="90"/>
      <c r="E39" s="90">
        <f ca="1">E38/(1+$H$4)^((E37-$D$37)/365)</f>
        <v>1532069089.6149652</v>
      </c>
      <c r="F39" s="90">
        <f t="shared" ref="F39:I39" ca="1" si="19">F38/(1+$H$4)^((F37-$D$37)/365)</f>
        <v>6180907629.9258823</v>
      </c>
      <c r="G39" s="90">
        <f t="shared" ca="1" si="19"/>
        <v>9045520151.8575764</v>
      </c>
      <c r="H39" s="90">
        <f t="shared" ca="1" si="19"/>
        <v>10995218252.563282</v>
      </c>
      <c r="I39" s="90">
        <f t="shared" ca="1" si="19"/>
        <v>11858755418.604391</v>
      </c>
      <c r="J39" s="86"/>
    </row>
    <row r="41" spans="2:13" x14ac:dyDescent="0.25">
      <c r="B41" s="76" t="s">
        <v>85</v>
      </c>
      <c r="C41" s="76"/>
      <c r="E41" s="76" t="s">
        <v>86</v>
      </c>
      <c r="F41" s="77"/>
      <c r="G41" s="77"/>
      <c r="H41" s="77"/>
      <c r="I41" s="77"/>
    </row>
    <row r="42" spans="2:13" x14ac:dyDescent="0.25">
      <c r="B42" s="65" t="s">
        <v>87</v>
      </c>
      <c r="C42" s="100">
        <v>0.1</v>
      </c>
      <c r="E42" s="65" t="s">
        <v>88</v>
      </c>
      <c r="I42" s="91">
        <f>I16</f>
        <v>55816607510.188148</v>
      </c>
      <c r="J42" s="91"/>
    </row>
    <row r="43" spans="2:13" x14ac:dyDescent="0.25">
      <c r="B43" s="101" t="str">
        <f>YEAR(I12)&amp;" FCF x (1+g)"</f>
        <v>2030 FCF x (1+g)</v>
      </c>
      <c r="C43" s="91">
        <f>I38*(1+C42)</f>
        <v>30123339976.968147</v>
      </c>
      <c r="E43" s="65" t="s">
        <v>89</v>
      </c>
      <c r="I43" s="102">
        <v>5.4</v>
      </c>
      <c r="J43" s="102"/>
    </row>
    <row r="44" spans="2:13" x14ac:dyDescent="0.25">
      <c r="B44" s="65" t="str">
        <f>"Terminal value in "&amp;YEAR(I12)</f>
        <v>Terminal value in 2030</v>
      </c>
      <c r="C44" s="91">
        <f>C43/(H4-C42)</f>
        <v>300649620606.22455</v>
      </c>
      <c r="E44" s="65" t="str">
        <f>"Terminal value in "&amp;YEAR(I12)</f>
        <v>Terminal value in 2030</v>
      </c>
      <c r="I44" s="91">
        <f>I42*I43</f>
        <v>301409680555.01599</v>
      </c>
      <c r="J44" s="91"/>
    </row>
    <row r="45" spans="2:13" x14ac:dyDescent="0.25">
      <c r="B45" s="65" t="s">
        <v>90</v>
      </c>
      <c r="C45" s="91">
        <f ca="1">C44/(1+H4)^((I37-$D$37)/365)</f>
        <v>130193509491.66196</v>
      </c>
      <c r="E45" s="65" t="s">
        <v>90</v>
      </c>
      <c r="I45" s="91">
        <f ca="1">I44/(1+H4)^((I37-$D$37)/365)</f>
        <v>130522646351.89706</v>
      </c>
      <c r="J45" s="91"/>
    </row>
    <row r="46" spans="2:13" x14ac:dyDescent="0.25">
      <c r="B46" s="65" t="s">
        <v>91</v>
      </c>
      <c r="C46" s="86">
        <f ca="1">SUM(E39:I39)</f>
        <v>39612470542.566101</v>
      </c>
      <c r="E46" s="65" t="s">
        <v>91</v>
      </c>
      <c r="I46" s="91">
        <f ca="1">C46</f>
        <v>39612470542.566101</v>
      </c>
      <c r="J46" s="91"/>
    </row>
    <row r="47" spans="2:13" x14ac:dyDescent="0.25">
      <c r="B47" s="89" t="s">
        <v>92</v>
      </c>
      <c r="C47" s="103">
        <f ca="1">C45+C46</f>
        <v>169805980034.22806</v>
      </c>
      <c r="E47" s="89" t="s">
        <v>93</v>
      </c>
      <c r="I47" s="103">
        <f ca="1">I45+I46</f>
        <v>170135116894.46317</v>
      </c>
      <c r="J47" s="103"/>
    </row>
    <row r="49" spans="2:10" x14ac:dyDescent="0.25">
      <c r="B49" s="104" t="s">
        <v>94</v>
      </c>
      <c r="C49" s="105">
        <f ca="1">C45/C47</f>
        <v>0.7667192254679055</v>
      </c>
      <c r="E49" s="104" t="s">
        <v>94</v>
      </c>
      <c r="I49" s="105">
        <f ca="1">I45/I47</f>
        <v>0.76717052149123222</v>
      </c>
      <c r="J49" s="105"/>
    </row>
    <row r="50" spans="2:10" x14ac:dyDescent="0.25">
      <c r="B50" s="104" t="s">
        <v>95</v>
      </c>
      <c r="C50" s="105">
        <f ca="1">1-C49</f>
        <v>0.2332807745320945</v>
      </c>
      <c r="E50" s="104" t="s">
        <v>96</v>
      </c>
      <c r="G50" s="106"/>
      <c r="I50" s="107">
        <f ca="1">1-I49</f>
        <v>0.23282947850876778</v>
      </c>
      <c r="J50" s="107"/>
    </row>
    <row r="51" spans="2:10" x14ac:dyDescent="0.25">
      <c r="B51" s="104" t="s">
        <v>97</v>
      </c>
      <c r="C51" s="108">
        <f>C44/I16</f>
        <v>5.3863829067602733</v>
      </c>
      <c r="E51" s="65" t="s">
        <v>98</v>
      </c>
      <c r="I51" s="257">
        <f>(H4-I38/I44)/(1+I38/I44)</f>
        <v>0.10023161448736255</v>
      </c>
      <c r="J51" s="109"/>
    </row>
    <row r="52" spans="2:10" x14ac:dyDescent="0.25">
      <c r="B52" s="104"/>
      <c r="C52" s="81"/>
      <c r="D52" s="108"/>
      <c r="I52" s="109"/>
      <c r="J52" s="109"/>
    </row>
    <row r="53" spans="2:10" x14ac:dyDescent="0.25">
      <c r="B53" s="76" t="s">
        <v>99</v>
      </c>
      <c r="C53" s="77"/>
      <c r="E53" s="76" t="s">
        <v>33</v>
      </c>
      <c r="F53" s="77"/>
      <c r="G53" s="76"/>
      <c r="H53" s="77"/>
      <c r="I53" s="77"/>
    </row>
    <row r="54" spans="2:10" x14ac:dyDescent="0.25">
      <c r="B54" s="65" t="s">
        <v>100</v>
      </c>
      <c r="C54" s="219"/>
    </row>
    <row r="55" spans="2:10" x14ac:dyDescent="0.25">
      <c r="B55" s="110" t="s">
        <v>101</v>
      </c>
      <c r="C55" s="72"/>
      <c r="G55" s="111" t="s">
        <v>100</v>
      </c>
      <c r="H55" s="112" t="s">
        <v>102</v>
      </c>
      <c r="I55" s="112" t="s">
        <v>103</v>
      </c>
    </row>
    <row r="56" spans="2:10" x14ac:dyDescent="0.25">
      <c r="B56" s="113" t="s">
        <v>104</v>
      </c>
      <c r="C56" s="114"/>
      <c r="E56" s="65" t="s">
        <v>105</v>
      </c>
      <c r="G56" s="220"/>
      <c r="H56" s="72"/>
      <c r="I56" s="217">
        <v>2140777876</v>
      </c>
      <c r="J56" s="115"/>
    </row>
    <row r="57" spans="2:10" x14ac:dyDescent="0.25">
      <c r="B57" s="88" t="s">
        <v>106</v>
      </c>
      <c r="C57" s="117">
        <f>FSM!F221</f>
        <v>62509211797</v>
      </c>
      <c r="E57" s="110" t="s">
        <v>107</v>
      </c>
      <c r="G57" s="220"/>
      <c r="H57" s="72"/>
      <c r="I57" s="217">
        <v>-1422160</v>
      </c>
      <c r="J57" s="116"/>
    </row>
    <row r="58" spans="2:10" x14ac:dyDescent="0.25">
      <c r="B58" s="88" t="s">
        <v>108</v>
      </c>
      <c r="C58" s="117">
        <v>0</v>
      </c>
      <c r="E58" s="110" t="s">
        <v>109</v>
      </c>
      <c r="G58" s="72"/>
      <c r="H58" s="72"/>
      <c r="I58" s="118">
        <v>0</v>
      </c>
    </row>
    <row r="59" spans="2:10" ht="15" customHeight="1" x14ac:dyDescent="0.25">
      <c r="B59" s="88" t="s">
        <v>110</v>
      </c>
      <c r="C59" s="117">
        <v>0</v>
      </c>
      <c r="E59" s="65" t="s">
        <v>108</v>
      </c>
      <c r="G59" s="72"/>
      <c r="H59" s="72"/>
      <c r="I59" s="118">
        <v>0</v>
      </c>
    </row>
    <row r="60" spans="2:10" x14ac:dyDescent="0.25">
      <c r="B60" s="119" t="s">
        <v>111</v>
      </c>
      <c r="C60" s="117">
        <f>FSM!F111</f>
        <v>5118978381</v>
      </c>
      <c r="E60" s="65" t="s">
        <v>112</v>
      </c>
      <c r="G60" s="72"/>
      <c r="H60" s="72"/>
      <c r="I60" s="118">
        <v>0</v>
      </c>
    </row>
    <row r="61" spans="2:10" ht="15" customHeight="1" x14ac:dyDescent="0.25">
      <c r="B61" s="113" t="s">
        <v>113</v>
      </c>
      <c r="C61" s="117"/>
      <c r="E61" s="120" t="s">
        <v>114</v>
      </c>
      <c r="I61" s="218">
        <f>SUM(I56:I60)</f>
        <v>2139355716</v>
      </c>
      <c r="J61" s="121"/>
    </row>
    <row r="62" spans="2:10" x14ac:dyDescent="0.25">
      <c r="B62" s="122" t="s">
        <v>115</v>
      </c>
      <c r="C62" s="117">
        <f>FSM!F68</f>
        <v>41949208624</v>
      </c>
      <c r="J62" s="123"/>
    </row>
    <row r="63" spans="2:10" x14ac:dyDescent="0.25">
      <c r="B63" s="122" t="s">
        <v>116</v>
      </c>
      <c r="C63" s="117">
        <f>FSM!F75</f>
        <v>6757650507</v>
      </c>
      <c r="J63" s="123"/>
    </row>
    <row r="64" spans="2:10" x14ac:dyDescent="0.25">
      <c r="B64" s="122" t="s">
        <v>273</v>
      </c>
      <c r="C64" s="117">
        <f>FSM!F67</f>
        <v>706510700</v>
      </c>
      <c r="J64" s="124"/>
    </row>
    <row r="65" spans="2:6" x14ac:dyDescent="0.25">
      <c r="B65" s="125" t="s">
        <v>99</v>
      </c>
      <c r="C65" s="126">
        <f>SUM(C57:C60)-SUM(C62:C64)</f>
        <v>18214820347</v>
      </c>
    </row>
    <row r="67" spans="2:6" x14ac:dyDescent="0.25">
      <c r="B67" s="76" t="s">
        <v>117</v>
      </c>
      <c r="C67" s="77"/>
      <c r="D67" s="77"/>
    </row>
    <row r="68" spans="2:6" ht="17.25" x14ac:dyDescent="0.4">
      <c r="C68" s="127" t="s">
        <v>118</v>
      </c>
      <c r="D68" s="127" t="s">
        <v>26</v>
      </c>
    </row>
    <row r="69" spans="2:6" x14ac:dyDescent="0.25">
      <c r="B69" s="65" t="s">
        <v>119</v>
      </c>
      <c r="C69" s="128">
        <f ca="1">C47</f>
        <v>169805980034.22806</v>
      </c>
      <c r="D69" s="128">
        <f ca="1">I47</f>
        <v>170135116894.46317</v>
      </c>
    </row>
    <row r="70" spans="2:6" x14ac:dyDescent="0.25">
      <c r="B70" s="65" t="s">
        <v>99</v>
      </c>
      <c r="C70" s="129">
        <f>$C$65</f>
        <v>18214820347</v>
      </c>
      <c r="D70" s="129">
        <f t="shared" ref="D70" si="20">$C$65</f>
        <v>18214820347</v>
      </c>
    </row>
    <row r="71" spans="2:6" x14ac:dyDescent="0.25">
      <c r="B71" s="65" t="s">
        <v>120</v>
      </c>
      <c r="C71" s="130">
        <f ca="1">C69-C70</f>
        <v>151591159687.22806</v>
      </c>
      <c r="D71" s="130">
        <f t="shared" ref="D71" ca="1" si="21">D69-D70</f>
        <v>151920296547.46317</v>
      </c>
    </row>
    <row r="72" spans="2:6" x14ac:dyDescent="0.25">
      <c r="B72" s="65" t="s">
        <v>33</v>
      </c>
      <c r="C72" s="251">
        <f>$I$61</f>
        <v>2139355716</v>
      </c>
      <c r="D72" s="251">
        <f t="shared" ref="D72" si="22">$I$61</f>
        <v>2139355716</v>
      </c>
    </row>
    <row r="73" spans="2:6" x14ac:dyDescent="0.25">
      <c r="B73" s="89" t="s">
        <v>121</v>
      </c>
      <c r="C73" s="258">
        <f ca="1">C71/C72</f>
        <v>70.858323631500312</v>
      </c>
      <c r="D73" s="258">
        <f t="shared" ref="D73" ca="1" si="23">D71/D72</f>
        <v>71.012172221416193</v>
      </c>
    </row>
    <row r="75" spans="2:6" ht="17.25" x14ac:dyDescent="0.4">
      <c r="C75" s="79" t="s">
        <v>122</v>
      </c>
      <c r="D75" s="79"/>
    </row>
    <row r="76" spans="2:6" x14ac:dyDescent="0.25">
      <c r="B76" s="111"/>
      <c r="C76" s="112" t="s">
        <v>118</v>
      </c>
      <c r="D76" s="112" t="s">
        <v>26</v>
      </c>
    </row>
    <row r="77" spans="2:6" x14ac:dyDescent="0.25">
      <c r="B77" s="65" t="s">
        <v>123</v>
      </c>
      <c r="C77" s="131">
        <f ca="1">C$69/$C14</f>
        <v>0.56029247350568212</v>
      </c>
      <c r="D77" s="131">
        <f t="shared" ref="D77" ca="1" si="24">D$69/$C14</f>
        <v>0.56137849477245882</v>
      </c>
    </row>
    <row r="78" spans="2:6" x14ac:dyDescent="0.25">
      <c r="B78" s="65" t="s">
        <v>124</v>
      </c>
      <c r="C78" s="131">
        <f ca="1">C69/C16</f>
        <v>5.4815138896265285</v>
      </c>
      <c r="D78" s="131">
        <f ca="1">D69/C16</f>
        <v>5.4921387702732707</v>
      </c>
    </row>
    <row r="79" spans="2:6" x14ac:dyDescent="0.25">
      <c r="B79" s="86" t="s">
        <v>125</v>
      </c>
      <c r="C79" s="131">
        <f ca="1">C69/C18</f>
        <v>6.1086090652477658</v>
      </c>
      <c r="D79" s="131">
        <f ca="1">D69/C18</f>
        <v>6.1204494515977288</v>
      </c>
    </row>
    <row r="80" spans="2:6" ht="17.25" x14ac:dyDescent="0.4">
      <c r="B80" s="86"/>
      <c r="C80" s="79" t="s">
        <v>126</v>
      </c>
      <c r="D80" s="79"/>
      <c r="E80" s="132"/>
      <c r="F80" s="132"/>
    </row>
    <row r="81" spans="2:17" x14ac:dyDescent="0.25">
      <c r="B81" s="111"/>
      <c r="C81" s="112" t="s">
        <v>118</v>
      </c>
      <c r="D81" s="112" t="s">
        <v>26</v>
      </c>
      <c r="E81" s="132"/>
      <c r="F81" s="132"/>
    </row>
    <row r="82" spans="2:17" x14ac:dyDescent="0.25">
      <c r="B82" s="65" t="s">
        <v>123</v>
      </c>
      <c r="C82" s="131">
        <f ca="1">C69/E14</f>
        <v>0.50856662189370017</v>
      </c>
      <c r="D82" s="131">
        <f ca="1">D69/E14</f>
        <v>0.50955238235464928</v>
      </c>
      <c r="E82" s="132"/>
      <c r="F82" s="132"/>
    </row>
    <row r="83" spans="2:17" x14ac:dyDescent="0.25">
      <c r="B83" s="65" t="s">
        <v>124</v>
      </c>
      <c r="C83" s="131">
        <f ca="1">C69/E16</f>
        <v>4.9022241317495583</v>
      </c>
      <c r="D83" s="131">
        <f ca="1">D69/E16</f>
        <v>4.9117261684774034</v>
      </c>
      <c r="E83" s="132"/>
      <c r="F83" s="132"/>
    </row>
    <row r="84" spans="2:17" x14ac:dyDescent="0.25">
      <c r="B84" s="86" t="s">
        <v>125</v>
      </c>
      <c r="C84" s="131">
        <f ca="1">C69/E18</f>
        <v>5.4392152074192541</v>
      </c>
      <c r="D84" s="131">
        <f ca="1">D69/E18</f>
        <v>5.4497581000497268</v>
      </c>
      <c r="E84" s="132"/>
      <c r="F84" s="132"/>
    </row>
    <row r="86" spans="2:17" x14ac:dyDescent="0.25">
      <c r="B86" s="76" t="s">
        <v>127</v>
      </c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</row>
    <row r="87" spans="2:17" x14ac:dyDescent="0.25">
      <c r="B87" s="89"/>
    </row>
    <row r="88" spans="2:17" ht="17.25" customHeight="1" x14ac:dyDescent="0.4">
      <c r="B88" s="133"/>
      <c r="C88" s="89"/>
      <c r="D88" s="134" t="s">
        <v>121</v>
      </c>
      <c r="E88" s="79"/>
      <c r="F88" s="79"/>
      <c r="G88" s="79"/>
      <c r="H88" s="79"/>
      <c r="I88" s="79"/>
      <c r="J88" s="135"/>
      <c r="L88" s="134" t="s">
        <v>128</v>
      </c>
      <c r="M88" s="79"/>
      <c r="N88" s="79"/>
      <c r="O88" s="79"/>
      <c r="P88" s="79"/>
      <c r="Q88" s="79"/>
    </row>
    <row r="89" spans="2:17" ht="15" customHeight="1" x14ac:dyDescent="0.25">
      <c r="B89" s="133"/>
      <c r="D89" s="110"/>
      <c r="E89" s="136" t="s">
        <v>129</v>
      </c>
      <c r="F89" s="136"/>
      <c r="G89" s="136"/>
      <c r="H89" s="136"/>
      <c r="I89" s="136"/>
      <c r="J89" s="137"/>
      <c r="L89" s="136" t="s">
        <v>129</v>
      </c>
      <c r="M89" s="136"/>
      <c r="N89" s="136"/>
      <c r="O89" s="136"/>
      <c r="P89" s="136"/>
      <c r="Q89" s="136"/>
    </row>
    <row r="90" spans="2:17" ht="15" customHeight="1" x14ac:dyDescent="0.25">
      <c r="B90" s="133"/>
      <c r="C90" s="138"/>
      <c r="D90" s="184">
        <f ca="1">C73</f>
        <v>70.858323631500312</v>
      </c>
      <c r="E90" s="223">
        <f>F90-0.005</f>
        <v>0.09</v>
      </c>
      <c r="F90" s="224">
        <f>G90-0.005</f>
        <v>9.5000000000000001E-2</v>
      </c>
      <c r="G90" s="139">
        <f>$C$42</f>
        <v>0.1</v>
      </c>
      <c r="H90" s="224">
        <f>G90+0.005</f>
        <v>0.10500000000000001</v>
      </c>
      <c r="I90" s="259">
        <f>H90+0.005</f>
        <v>0.11000000000000001</v>
      </c>
      <c r="K90" s="143"/>
      <c r="L90" s="140">
        <f ca="1">C78</f>
        <v>5.4815138896265285</v>
      </c>
      <c r="M90" s="223">
        <f>N90-0.005</f>
        <v>0.09</v>
      </c>
      <c r="N90" s="224">
        <f>O90-0.005</f>
        <v>9.5000000000000001E-2</v>
      </c>
      <c r="O90" s="139">
        <f>$C$42</f>
        <v>0.1</v>
      </c>
      <c r="P90" s="224">
        <f>O90+0.005</f>
        <v>0.10500000000000001</v>
      </c>
      <c r="Q90" s="259">
        <f>P90+0.005</f>
        <v>0.11000000000000001</v>
      </c>
    </row>
    <row r="91" spans="2:17" ht="15" customHeight="1" x14ac:dyDescent="0.25">
      <c r="B91" s="133"/>
      <c r="D91" s="221">
        <f>D92+0.01</f>
        <v>0.22019417259276092</v>
      </c>
      <c r="E91" s="141">
        <f t="dataTable" ref="E91:I95" dt2D="1" dtr="1" r1="C42" r2="H4" ca="1"/>
        <v>52.063383887907563</v>
      </c>
      <c r="F91" s="141">
        <v>50.282286473542179</v>
      </c>
      <c r="G91" s="141">
        <v>50.282286473542179</v>
      </c>
      <c r="H91" s="141">
        <v>52.063383887907563</v>
      </c>
      <c r="I91" s="141">
        <v>56.070133733560851</v>
      </c>
      <c r="J91" s="142"/>
      <c r="L91" s="221">
        <f>L92+0.01</f>
        <v>0.22019417259276092</v>
      </c>
      <c r="M91" s="143">
        <f t="dataTable" ref="M91:Q95" dt2D="1" dtr="1" r1="C42" r2="H4" ca="1"/>
        <v>4.1835234975952575</v>
      </c>
      <c r="N91" s="143">
        <v>4.0605197868807217</v>
      </c>
      <c r="O91" s="143">
        <v>4.0605197868807217</v>
      </c>
      <c r="P91" s="143">
        <v>4.1835234975952575</v>
      </c>
      <c r="Q91" s="143">
        <v>4.4602321688589512</v>
      </c>
    </row>
    <row r="92" spans="2:17" ht="15" customHeight="1" x14ac:dyDescent="0.25">
      <c r="B92" s="133"/>
      <c r="D92" s="221">
        <f>D93+0.01</f>
        <v>0.21019417259276091</v>
      </c>
      <c r="E92" s="141">
        <v>57.905162217654933</v>
      </c>
      <c r="F92" s="141">
        <v>55.759374729695246</v>
      </c>
      <c r="G92" s="141">
        <v>55.759374729695246</v>
      </c>
      <c r="H92" s="141">
        <v>57.905162217654933</v>
      </c>
      <c r="I92" s="141">
        <v>62.780920759040065</v>
      </c>
      <c r="J92" s="142"/>
      <c r="L92" s="221">
        <f>L93+0.01</f>
        <v>0.21019417259276091</v>
      </c>
      <c r="M92" s="143">
        <v>4.5869603932614691</v>
      </c>
      <c r="N92" s="143">
        <v>4.4387709560667012</v>
      </c>
      <c r="O92" s="143">
        <v>4.4387709560667012</v>
      </c>
      <c r="P92" s="143">
        <v>4.5869603932614691</v>
      </c>
      <c r="Q92" s="143">
        <v>4.9236833531070729</v>
      </c>
    </row>
    <row r="93" spans="2:17" ht="15" customHeight="1" x14ac:dyDescent="0.25">
      <c r="B93" s="133"/>
      <c r="C93" s="138" t="s">
        <v>130</v>
      </c>
      <c r="D93" s="144">
        <f>WACC!$E$21</f>
        <v>0.2001941725927609</v>
      </c>
      <c r="E93" s="141">
        <v>64.83263713524029</v>
      </c>
      <c r="F93" s="141">
        <v>62.212111030458473</v>
      </c>
      <c r="G93" s="141">
        <v>62.212111030458473</v>
      </c>
      <c r="H93" s="141">
        <v>64.83263713524029</v>
      </c>
      <c r="I93" s="141">
        <v>70.858323631500312</v>
      </c>
      <c r="J93" s="142"/>
      <c r="K93" s="138" t="s">
        <v>130</v>
      </c>
      <c r="L93" s="144">
        <f>WACC!$E$21</f>
        <v>0.2001941725927609</v>
      </c>
      <c r="M93" s="143">
        <v>5.0653761799962345</v>
      </c>
      <c r="N93" s="143">
        <v>4.8844009945219904</v>
      </c>
      <c r="O93" s="143">
        <v>4.8844009945219904</v>
      </c>
      <c r="P93" s="143">
        <v>5.0653761799962345</v>
      </c>
      <c r="Q93" s="143">
        <v>5.4815138896265285</v>
      </c>
    </row>
    <row r="94" spans="2:17" ht="15" customHeight="1" x14ac:dyDescent="0.25">
      <c r="B94" s="133"/>
      <c r="D94" s="221">
        <f t="shared" ref="D94:D95" si="25">D93-0.01</f>
        <v>0.19019417259276089</v>
      </c>
      <c r="E94" s="141">
        <v>73.171999349654158</v>
      </c>
      <c r="F94" s="141">
        <v>69.919816122359151</v>
      </c>
      <c r="G94" s="141">
        <v>69.919816122359151</v>
      </c>
      <c r="H94" s="141">
        <v>73.171999349654158</v>
      </c>
      <c r="I94" s="141">
        <v>80.758093082339741</v>
      </c>
      <c r="J94" s="142"/>
      <c r="L94" s="221">
        <f t="shared" ref="L94:L95" si="26">L93-0.01</f>
        <v>0.19019417259276089</v>
      </c>
      <c r="M94" s="143">
        <v>5.6412977938799873</v>
      </c>
      <c r="N94" s="143">
        <v>5.4166999691599989</v>
      </c>
      <c r="O94" s="143">
        <v>5.4166999691599989</v>
      </c>
      <c r="P94" s="143">
        <v>5.6412977938799873</v>
      </c>
      <c r="Q94" s="143">
        <v>6.1651982113543928</v>
      </c>
    </row>
    <row r="95" spans="2:17" ht="15" customHeight="1" x14ac:dyDescent="0.25">
      <c r="B95" s="145" t="s">
        <v>131</v>
      </c>
      <c r="D95" s="222">
        <f t="shared" si="25"/>
        <v>0.18019417259276088</v>
      </c>
      <c r="E95" s="141">
        <v>83.39416311133246</v>
      </c>
      <c r="F95" s="141">
        <v>79.279239427765546</v>
      </c>
      <c r="G95" s="141">
        <v>79.279239427765546</v>
      </c>
      <c r="H95" s="141">
        <v>83.39416311133246</v>
      </c>
      <c r="I95" s="141">
        <v>93.163370590501984</v>
      </c>
      <c r="J95" s="142"/>
      <c r="L95" s="222">
        <f t="shared" si="26"/>
        <v>0.18019417259276088</v>
      </c>
      <c r="M95" s="143">
        <v>6.3472468700376732</v>
      </c>
      <c r="N95" s="143">
        <v>6.0630676453060488</v>
      </c>
      <c r="O95" s="143">
        <v>6.0630676453060488</v>
      </c>
      <c r="P95" s="143">
        <v>6.3472468700376732</v>
      </c>
      <c r="Q95" s="143">
        <v>7.0219144996609515</v>
      </c>
    </row>
    <row r="96" spans="2:17" ht="15" customHeight="1" x14ac:dyDescent="0.25">
      <c r="B96" s="145" t="s">
        <v>132</v>
      </c>
      <c r="E96" s="146"/>
      <c r="F96" s="146"/>
      <c r="G96" s="146"/>
      <c r="H96" s="146"/>
      <c r="I96" s="146"/>
      <c r="J96" s="146"/>
    </row>
    <row r="97" spans="2:17" ht="17.25" customHeight="1" x14ac:dyDescent="0.4">
      <c r="B97" s="133"/>
      <c r="D97" s="134" t="s">
        <v>121</v>
      </c>
      <c r="E97" s="79"/>
      <c r="F97" s="79"/>
      <c r="G97" s="79"/>
      <c r="H97" s="79"/>
      <c r="I97" s="79"/>
      <c r="J97" s="135"/>
      <c r="L97" s="134" t="s">
        <v>128</v>
      </c>
      <c r="M97" s="79"/>
      <c r="N97" s="79"/>
      <c r="O97" s="79"/>
      <c r="P97" s="79"/>
      <c r="Q97" s="79"/>
    </row>
    <row r="98" spans="2:17" ht="15" customHeight="1" x14ac:dyDescent="0.25">
      <c r="B98" s="133"/>
      <c r="E98" s="136" t="s">
        <v>133</v>
      </c>
      <c r="F98" s="136"/>
      <c r="G98" s="136"/>
      <c r="H98" s="136"/>
      <c r="I98" s="136"/>
      <c r="J98" s="137"/>
      <c r="M98" s="136" t="s">
        <v>133</v>
      </c>
      <c r="N98" s="136"/>
      <c r="O98" s="136"/>
      <c r="P98" s="136"/>
      <c r="Q98" s="136"/>
    </row>
    <row r="99" spans="2:17" ht="15" customHeight="1" x14ac:dyDescent="0.25">
      <c r="B99" s="133"/>
      <c r="D99" s="185">
        <f ca="1">D73</f>
        <v>71.012172221416193</v>
      </c>
      <c r="E99" s="186">
        <f>+F99-0.5</f>
        <v>4.4000000000000004</v>
      </c>
      <c r="F99" s="186">
        <f>+G99-0.5</f>
        <v>4.9000000000000004</v>
      </c>
      <c r="G99" s="147">
        <f>$I$43</f>
        <v>5.4</v>
      </c>
      <c r="H99" s="186">
        <f>+G99+0.5</f>
        <v>5.9</v>
      </c>
      <c r="I99" s="261">
        <f>+H99+0.5</f>
        <v>6.4</v>
      </c>
      <c r="J99" s="260"/>
      <c r="L99" s="140">
        <f ca="1">D78</f>
        <v>5.4921387702732707</v>
      </c>
      <c r="M99" s="186">
        <f>+N99-0.5</f>
        <v>4.4000000000000004</v>
      </c>
      <c r="N99" s="186">
        <f>+O99-0.5</f>
        <v>4.9000000000000004</v>
      </c>
      <c r="O99" s="147">
        <f>$I$43</f>
        <v>5.4</v>
      </c>
      <c r="P99" s="186">
        <f>+O99+0.5</f>
        <v>5.9</v>
      </c>
      <c r="Q99" s="261">
        <f>+P99+0.5</f>
        <v>6.4</v>
      </c>
    </row>
    <row r="100" spans="2:17" ht="15" customHeight="1" x14ac:dyDescent="0.25">
      <c r="B100" s="133"/>
      <c r="D100" s="221">
        <f>D101+0.01</f>
        <v>0.22019417259276092</v>
      </c>
      <c r="E100" s="141">
        <f t="dataTable" ref="E100:I104" dt2D="1" dtr="1" r1="I43" r2="H4" ca="1"/>
        <v>55.126444428161484</v>
      </c>
      <c r="F100" s="141">
        <v>49.889701638353117</v>
      </c>
      <c r="G100" s="141">
        <v>49.889701638353117</v>
      </c>
      <c r="H100" s="141">
        <v>55.126444428161484</v>
      </c>
      <c r="I100" s="141">
        <v>65.599930007778198</v>
      </c>
      <c r="J100" s="142"/>
      <c r="L100" s="221">
        <f>L101+0.01</f>
        <v>0.22019417259276092</v>
      </c>
      <c r="M100" s="143">
        <f t="dataTable" ref="M100:Q104" dt2D="1" dtr="1" r1="I43" r2="H4" ca="1"/>
        <v>4.3950603902748453</v>
      </c>
      <c r="N100" s="143">
        <v>4.0334076305724631</v>
      </c>
      <c r="O100" s="143">
        <v>4.0334076305724631</v>
      </c>
      <c r="P100" s="143">
        <v>4.3950603902748453</v>
      </c>
      <c r="Q100" s="143">
        <v>5.1183659096796079</v>
      </c>
    </row>
    <row r="101" spans="2:17" ht="15" customHeight="1" x14ac:dyDescent="0.25">
      <c r="B101" s="133"/>
      <c r="D101" s="221">
        <f>D102+0.01</f>
        <v>0.21019417259276091</v>
      </c>
      <c r="E101" s="141">
        <v>57.369137964863967</v>
      </c>
      <c r="F101" s="141">
        <v>51.930975520322136</v>
      </c>
      <c r="G101" s="141">
        <v>51.930975520322136</v>
      </c>
      <c r="H101" s="141">
        <v>57.369137964863967</v>
      </c>
      <c r="I101" s="141">
        <v>68.2454628539476</v>
      </c>
      <c r="J101" s="142"/>
      <c r="L101" s="221">
        <f>L102+0.01</f>
        <v>0.21019417259276091</v>
      </c>
      <c r="M101" s="143">
        <v>4.5499422203111886</v>
      </c>
      <c r="N101" s="143">
        <v>4.1743792922242866</v>
      </c>
      <c r="O101" s="143">
        <v>4.1743792922242866</v>
      </c>
      <c r="P101" s="143">
        <v>4.5499422203111886</v>
      </c>
      <c r="Q101" s="143">
        <v>5.3010680764849925</v>
      </c>
    </row>
    <row r="102" spans="2:17" ht="15" customHeight="1" x14ac:dyDescent="0.25">
      <c r="B102" s="133"/>
      <c r="C102" s="138" t="s">
        <v>130</v>
      </c>
      <c r="D102" s="144">
        <f>WACC!$E$21</f>
        <v>0.2001941725927609</v>
      </c>
      <c r="E102" s="141">
        <v>59.713976108088559</v>
      </c>
      <c r="F102" s="141">
        <v>54.064878051424728</v>
      </c>
      <c r="G102" s="141">
        <v>54.064878051424728</v>
      </c>
      <c r="H102" s="141">
        <v>59.713976108088559</v>
      </c>
      <c r="I102" s="141">
        <v>71.012172221416193</v>
      </c>
      <c r="J102" s="142"/>
      <c r="K102" s="138" t="s">
        <v>130</v>
      </c>
      <c r="L102" s="144">
        <f>WACC!$E$21</f>
        <v>0.2001941725927609</v>
      </c>
      <c r="M102" s="143">
        <v>4.7118782212931309</v>
      </c>
      <c r="N102" s="143">
        <v>4.3217479468030602</v>
      </c>
      <c r="O102" s="143">
        <v>4.3217479468030602</v>
      </c>
      <c r="P102" s="143">
        <v>4.7118782212931309</v>
      </c>
      <c r="Q102" s="143">
        <v>5.4921387702732707</v>
      </c>
    </row>
    <row r="103" spans="2:17" ht="15" customHeight="1" x14ac:dyDescent="0.25">
      <c r="B103" s="133"/>
      <c r="D103" s="221">
        <f t="shared" ref="D103:D104" si="27">D102-0.01</f>
        <v>0.19019417259276089</v>
      </c>
      <c r="E103" s="141">
        <v>62.166580139963898</v>
      </c>
      <c r="F103" s="141">
        <v>56.296495950093323</v>
      </c>
      <c r="G103" s="141">
        <v>56.296495950093323</v>
      </c>
      <c r="H103" s="141">
        <v>62.166580139963898</v>
      </c>
      <c r="I103" s="141">
        <v>73.906748519705033</v>
      </c>
      <c r="J103" s="142"/>
      <c r="L103" s="221">
        <f t="shared" ref="L103:L104" si="28">L102-0.01</f>
        <v>0.19019417259276089</v>
      </c>
      <c r="M103" s="143">
        <v>4.8812566025096285</v>
      </c>
      <c r="N103" s="143">
        <v>4.4758648862917498</v>
      </c>
      <c r="O103" s="143">
        <v>4.4758648862917498</v>
      </c>
      <c r="P103" s="143">
        <v>4.8812566025096285</v>
      </c>
      <c r="Q103" s="143">
        <v>5.6920400349453839</v>
      </c>
    </row>
    <row r="104" spans="2:17" ht="15" customHeight="1" x14ac:dyDescent="0.25">
      <c r="B104" s="133"/>
      <c r="D104" s="222">
        <f t="shared" si="27"/>
        <v>0.18019417259276088</v>
      </c>
      <c r="E104" s="141">
        <v>64.732933378237135</v>
      </c>
      <c r="F104" s="141">
        <v>58.631243084845103</v>
      </c>
      <c r="G104" s="141">
        <v>58.631243084845103</v>
      </c>
      <c r="H104" s="141">
        <v>64.732933378237135</v>
      </c>
      <c r="I104" s="141">
        <v>76.936313965021185</v>
      </c>
      <c r="J104" s="142"/>
      <c r="L104" s="222">
        <f t="shared" si="28"/>
        <v>0.18019417259276088</v>
      </c>
      <c r="M104" s="143">
        <v>5.0584905756577774</v>
      </c>
      <c r="N104" s="143">
        <v>4.6371039958644973</v>
      </c>
      <c r="O104" s="143">
        <v>4.6371039958644973</v>
      </c>
      <c r="P104" s="143">
        <v>5.0584905756577774</v>
      </c>
      <c r="Q104" s="143">
        <v>5.9012637352443358</v>
      </c>
    </row>
    <row r="105" spans="2:17" x14ac:dyDescent="0.25">
      <c r="J105" s="148"/>
    </row>
    <row r="106" spans="2:17" x14ac:dyDescent="0.25">
      <c r="B106" s="149" t="s">
        <v>134</v>
      </c>
      <c r="C106" s="149"/>
      <c r="D106" s="149"/>
      <c r="E106" s="149"/>
      <c r="G106" s="149" t="s">
        <v>135</v>
      </c>
      <c r="H106" s="149"/>
      <c r="I106" s="149"/>
      <c r="J106" s="150"/>
      <c r="K106" s="149"/>
      <c r="L106" s="149"/>
      <c r="M106" s="149"/>
      <c r="N106" s="149"/>
      <c r="O106" s="149"/>
      <c r="P106" s="149"/>
    </row>
    <row r="107" spans="2:17" x14ac:dyDescent="0.25">
      <c r="J107" s="148"/>
    </row>
    <row r="108" spans="2:17" x14ac:dyDescent="0.25">
      <c r="J108" s="148"/>
    </row>
    <row r="109" spans="2:17" x14ac:dyDescent="0.25">
      <c r="J109" s="148"/>
    </row>
    <row r="110" spans="2:17" x14ac:dyDescent="0.25">
      <c r="J110" s="148"/>
    </row>
    <row r="111" spans="2:17" x14ac:dyDescent="0.25">
      <c r="J111" s="148"/>
    </row>
    <row r="112" spans="2:17" x14ac:dyDescent="0.25">
      <c r="J112" s="148"/>
    </row>
    <row r="113" spans="2:17" x14ac:dyDescent="0.25">
      <c r="J113" s="148"/>
    </row>
    <row r="114" spans="2:17" x14ac:dyDescent="0.25">
      <c r="J114" s="148"/>
    </row>
    <row r="115" spans="2:17" x14ac:dyDescent="0.25">
      <c r="J115" s="148"/>
    </row>
    <row r="116" spans="2:17" x14ac:dyDescent="0.25">
      <c r="J116" s="148"/>
    </row>
    <row r="117" spans="2:17" x14ac:dyDescent="0.25">
      <c r="J117" s="148"/>
    </row>
    <row r="118" spans="2:17" x14ac:dyDescent="0.25">
      <c r="J118" s="148"/>
    </row>
    <row r="119" spans="2:17" x14ac:dyDescent="0.25">
      <c r="J119" s="148"/>
    </row>
    <row r="120" spans="2:17" x14ac:dyDescent="0.25">
      <c r="J120" s="148"/>
      <c r="M120" s="151"/>
    </row>
    <row r="121" spans="2:17" x14ac:dyDescent="0.25">
      <c r="J121" s="148"/>
    </row>
    <row r="122" spans="2:17" x14ac:dyDescent="0.25">
      <c r="J122" s="148"/>
    </row>
    <row r="123" spans="2:17" x14ac:dyDescent="0.25">
      <c r="J123" s="148"/>
    </row>
    <row r="124" spans="2:17" x14ac:dyDescent="0.25">
      <c r="J124" s="148"/>
    </row>
    <row r="125" spans="2:17" x14ac:dyDescent="0.25">
      <c r="J125" s="148"/>
    </row>
    <row r="126" spans="2:17" x14ac:dyDescent="0.25">
      <c r="J126" s="148"/>
    </row>
    <row r="127" spans="2:17" x14ac:dyDescent="0.25">
      <c r="B127" s="152"/>
      <c r="C127" s="153" t="s">
        <v>136</v>
      </c>
      <c r="D127" s="153" t="s">
        <v>137</v>
      </c>
      <c r="E127" s="154" t="s">
        <v>138</v>
      </c>
      <c r="G127" s="152"/>
      <c r="H127" s="155"/>
      <c r="I127" s="155"/>
      <c r="J127" s="156"/>
      <c r="K127" s="155"/>
      <c r="L127" s="155"/>
      <c r="M127" s="155"/>
      <c r="N127" s="155"/>
      <c r="O127" s="153" t="s">
        <v>136</v>
      </c>
      <c r="P127" s="153" t="s">
        <v>137</v>
      </c>
      <c r="Q127" s="154" t="s">
        <v>138</v>
      </c>
    </row>
    <row r="128" spans="2:17" x14ac:dyDescent="0.25">
      <c r="B128" s="187" t="str">
        <f>"DCF Value at "&amp;TEXT(E99,"0.0x")&amp;"-"&amp;TEXT(I99,"0.0x")&amp;" Exit EBITDA Range at "&amp;TEXT(D102,"0.0%")&amp;" WACC"</f>
        <v>DCF Value at 4.4x-6.4x Exit EBITDA Range at 20.0% WACC</v>
      </c>
      <c r="C128" s="188">
        <f>E102</f>
        <v>59.713976108088559</v>
      </c>
      <c r="D128" s="188">
        <f>E128-C128</f>
        <v>11.298196113327634</v>
      </c>
      <c r="E128" s="189">
        <f>I102</f>
        <v>71.012172221416193</v>
      </c>
      <c r="G128" s="187" t="str">
        <f>"LTM EBITDA Purchase Multiple at "&amp;TEXT(M90,"0.0%")&amp;"-"&amp;TEXT(Q90,"0.0%")&amp;" Perpetuity Growth at "&amp;TEXT(L93,"0.0%")&amp;" WACC"</f>
        <v>LTM EBITDA Purchase Multiple at 9.0%-11.0% Perpetuity Growth at 20.0% WACC</v>
      </c>
      <c r="H128"/>
      <c r="I128"/>
      <c r="J128" s="195"/>
      <c r="K128"/>
      <c r="L128"/>
      <c r="M128"/>
      <c r="N128"/>
      <c r="O128" s="196">
        <f>M93</f>
        <v>5.0653761799962345</v>
      </c>
      <c r="P128" s="196">
        <f>Q128-O128</f>
        <v>0.41613770963029406</v>
      </c>
      <c r="Q128" s="197">
        <f>Q93</f>
        <v>5.4815138896265285</v>
      </c>
    </row>
    <row r="129" spans="2:17" x14ac:dyDescent="0.25">
      <c r="B129" s="190" t="str">
        <f>"DCF Value at "&amp;TEXT(E90,"0.0%")&amp;"-"&amp;TEXT(I90,"0.0%")&amp;" Perpetuity Range at "&amp;TEXT(D102,"0.0%")&amp;" WACC"</f>
        <v>DCF Value at 9.0%-11.0% Perpetuity Range at 20.0% WACC</v>
      </c>
      <c r="C129" s="188">
        <f>E93</f>
        <v>64.83263713524029</v>
      </c>
      <c r="D129" s="188">
        <f>E129-C129</f>
        <v>6.0256864962600218</v>
      </c>
      <c r="E129" s="189">
        <f>I93</f>
        <v>70.858323631500312</v>
      </c>
      <c r="G129" s="190" t="str">
        <f>"LTM EBITDA Purchase Multiple at "&amp;TEXT(M102,"0.0x")&amp;"-"&amp;TEXT(Q102,"0.0x")&amp;" Exit EBITDA Multiple at "&amp;TEXT(L102,"0.0%")&amp;" WACC"</f>
        <v>LTM EBITDA Purchase Multiple at 4.7x-5.5x Exit EBITDA Multiple at 20.0% WACC</v>
      </c>
      <c r="H129"/>
      <c r="I129"/>
      <c r="J129" s="195"/>
      <c r="K129"/>
      <c r="L129"/>
      <c r="M129"/>
      <c r="N129"/>
      <c r="O129" s="196">
        <f>M102</f>
        <v>4.7118782212931309</v>
      </c>
      <c r="P129" s="196">
        <f>Q129-O129</f>
        <v>0.78026054898013975</v>
      </c>
      <c r="Q129" s="197">
        <f>Q102</f>
        <v>5.4921387702732707</v>
      </c>
    </row>
    <row r="130" spans="2:17" x14ac:dyDescent="0.25">
      <c r="B130" s="191" t="s">
        <v>139</v>
      </c>
      <c r="C130" s="192">
        <v>62.03</v>
      </c>
      <c r="D130" s="193">
        <f>E130-C130</f>
        <v>30.97</v>
      </c>
      <c r="E130" s="194">
        <v>93</v>
      </c>
      <c r="G130" s="191" t="str">
        <f>"LTM EBITDA Purchase Multiple at "&amp;TEXT(L104,"0.0%")&amp;"-"&amp;TEXT(L100,"0.0%")&amp;" WACC at "&amp;TEXT(O99,"0.0x")&amp;" Exit EBITDA"</f>
        <v>LTM EBITDA Purchase Multiple at 18.0%-22.0% WACC at 5.4x Exit EBITDA</v>
      </c>
      <c r="H130" s="53"/>
      <c r="I130" s="53"/>
      <c r="J130" s="198"/>
      <c r="K130" s="53"/>
      <c r="L130" s="53"/>
      <c r="M130" s="53"/>
      <c r="N130" s="53"/>
      <c r="O130" s="193">
        <f>O100</f>
        <v>4.0334076305724631</v>
      </c>
      <c r="P130" s="193">
        <f>Q130-O130</f>
        <v>0.60369636529203419</v>
      </c>
      <c r="Q130" s="199">
        <f>O104</f>
        <v>4.6371039958644973</v>
      </c>
    </row>
    <row r="131" spans="2:17" x14ac:dyDescent="0.25">
      <c r="J131" s="148"/>
    </row>
    <row r="132" spans="2:17" x14ac:dyDescent="0.25">
      <c r="J132" s="148"/>
    </row>
  </sheetData>
  <conditionalFormatting sqref="E91:J95 E100:J104">
    <cfRule type="cellIs" dxfId="1" priority="2" operator="lessThan">
      <formula>#REF!</formula>
    </cfRule>
  </conditionalFormatting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F4E94-4BEA-4BEC-A3D4-AE92824096F5}">
  <dimension ref="B1:I24"/>
  <sheetViews>
    <sheetView zoomScaleNormal="100" workbookViewId="0">
      <selection activeCell="E21" sqref="E21"/>
    </sheetView>
  </sheetViews>
  <sheetFormatPr defaultColWidth="9.140625" defaultRowHeight="15" x14ac:dyDescent="0.25"/>
  <cols>
    <col min="1" max="1" width="1.42578125" style="65" customWidth="1"/>
    <col min="2" max="2" width="50.28515625" style="65" customWidth="1"/>
    <col min="3" max="3" width="15.5703125" style="65" bestFit="1" customWidth="1"/>
    <col min="4" max="9" width="12.7109375" style="65" customWidth="1"/>
    <col min="10" max="10" width="1.7109375" style="65" customWidth="1"/>
    <col min="11" max="11" width="11" style="65" bestFit="1" customWidth="1"/>
    <col min="12" max="16" width="9.42578125" style="65" customWidth="1"/>
    <col min="17" max="16384" width="9.140625" style="65"/>
  </cols>
  <sheetData>
    <row r="1" spans="2:9" ht="15.75" thickBot="1" x14ac:dyDescent="0.3"/>
    <row r="2" spans="2:9" ht="15.75" thickBot="1" x14ac:dyDescent="0.3">
      <c r="B2" s="66" t="s">
        <v>140</v>
      </c>
      <c r="C2" s="67"/>
      <c r="D2" s="67"/>
      <c r="E2" s="67"/>
      <c r="F2" s="67"/>
      <c r="G2" s="67"/>
      <c r="H2" s="67"/>
      <c r="I2" s="67"/>
    </row>
    <row r="3" spans="2:9" x14ac:dyDescent="0.25">
      <c r="B3" s="68" t="str">
        <f>DCF!B3</f>
        <v>All amounts are shown in Egyptian pounds, except per-share data, ratios, and shares outstanding</v>
      </c>
    </row>
    <row r="4" spans="2:9" ht="15" customHeight="1" x14ac:dyDescent="0.25">
      <c r="B4" s="158" t="s">
        <v>141</v>
      </c>
      <c r="C4" s="159"/>
      <c r="D4" s="159"/>
      <c r="E4" s="160"/>
      <c r="F4" s="161"/>
    </row>
    <row r="5" spans="2:9" x14ac:dyDescent="0.25">
      <c r="E5" s="111"/>
    </row>
    <row r="6" spans="2:9" ht="15" customHeight="1" x14ac:dyDescent="0.25">
      <c r="B6" s="65" t="s">
        <v>142</v>
      </c>
      <c r="C6" s="165">
        <f>FSM!F223</f>
        <v>9.6362172267788107E-2</v>
      </c>
    </row>
    <row r="7" spans="2:9" ht="15" customHeight="1" x14ac:dyDescent="0.25">
      <c r="B7" s="65" t="s">
        <v>29</v>
      </c>
      <c r="C7" s="165">
        <f>DCF!E22</f>
        <v>0.22500000000000001</v>
      </c>
    </row>
    <row r="8" spans="2:9" ht="15" customHeight="1" x14ac:dyDescent="0.25">
      <c r="B8" s="65" t="s">
        <v>143</v>
      </c>
      <c r="C8" s="166">
        <f>C6*(1-C7)</f>
        <v>7.4680683507535789E-2</v>
      </c>
    </row>
    <row r="10" spans="2:9" x14ac:dyDescent="0.25">
      <c r="B10" s="65" t="s">
        <v>144</v>
      </c>
      <c r="C10" s="164">
        <v>0.19700000000000001</v>
      </c>
    </row>
    <row r="11" spans="2:9" x14ac:dyDescent="0.25">
      <c r="B11" s="65" t="s">
        <v>145</v>
      </c>
      <c r="C11" s="180">
        <f>(2/3*0.96)+1/3</f>
        <v>0.97333333333333316</v>
      </c>
    </row>
    <row r="12" spans="2:9" ht="15" customHeight="1" x14ac:dyDescent="0.25">
      <c r="B12" s="65" t="s">
        <v>146</v>
      </c>
      <c r="C12" s="167">
        <v>4.4600000000000001E-2</v>
      </c>
    </row>
    <row r="13" spans="2:9" x14ac:dyDescent="0.25">
      <c r="B13" s="65" t="s">
        <v>147</v>
      </c>
      <c r="C13" s="168">
        <f>C10+C11*C12</f>
        <v>0.24041066666666666</v>
      </c>
    </row>
    <row r="14" spans="2:9" x14ac:dyDescent="0.25">
      <c r="C14" s="169"/>
    </row>
    <row r="15" spans="2:9" x14ac:dyDescent="0.25">
      <c r="B15" s="162" t="s">
        <v>148</v>
      </c>
      <c r="C15" s="170"/>
      <c r="D15" s="170"/>
      <c r="E15" s="170"/>
    </row>
    <row r="16" spans="2:9" x14ac:dyDescent="0.25">
      <c r="B16" s="89"/>
      <c r="C16" s="138"/>
      <c r="D16" s="138" t="s">
        <v>149</v>
      </c>
    </row>
    <row r="17" spans="2:5" ht="17.25" x14ac:dyDescent="0.4">
      <c r="C17" s="171" t="s">
        <v>150</v>
      </c>
      <c r="D17" s="171" t="s">
        <v>151</v>
      </c>
      <c r="E17" s="171" t="s">
        <v>152</v>
      </c>
    </row>
    <row r="18" spans="2:5" x14ac:dyDescent="0.25">
      <c r="B18" s="65" t="s">
        <v>16</v>
      </c>
      <c r="C18" s="87">
        <f>DCF!H5*DCF!I61</f>
        <v>195087847742.04001</v>
      </c>
      <c r="D18" s="172"/>
      <c r="E18" s="173">
        <f>C18/(C18+C19)</f>
        <v>0.75733724636120525</v>
      </c>
    </row>
    <row r="19" spans="2:5" x14ac:dyDescent="0.25">
      <c r="B19" s="65" t="s">
        <v>106</v>
      </c>
      <c r="C19" s="87">
        <f>DCF!C57</f>
        <v>62509211797</v>
      </c>
      <c r="D19" s="174"/>
      <c r="E19" s="173">
        <f>C19/(C18+C19)</f>
        <v>0.24266275363879472</v>
      </c>
    </row>
    <row r="21" spans="2:5" x14ac:dyDescent="0.25">
      <c r="B21" s="163" t="s">
        <v>153</v>
      </c>
      <c r="C21" s="175"/>
      <c r="D21" s="155"/>
      <c r="E21" s="176">
        <f>+C8*E19+C13*E18</f>
        <v>0.2001941725927609</v>
      </c>
    </row>
    <row r="22" spans="2:5" x14ac:dyDescent="0.25">
      <c r="B22" s="88"/>
      <c r="C22" s="116"/>
    </row>
    <row r="23" spans="2:5" x14ac:dyDescent="0.25">
      <c r="B23" s="88"/>
      <c r="C23" s="116"/>
    </row>
    <row r="24" spans="2:5" x14ac:dyDescent="0.25">
      <c r="B24" s="88"/>
      <c r="C24" s="116"/>
    </row>
  </sheetData>
  <conditionalFormatting sqref="B22:C24">
    <cfRule type="expression" dxfId="0" priority="1">
      <formula>#REF!="Industry"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FSM</vt:lpstr>
      <vt:lpstr>DCF</vt:lpstr>
      <vt:lpstr>WACC</vt:lpstr>
      <vt:lpstr>Company_Name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Ahmed WAEL</dc:creator>
  <dc:description/>
  <cp:lastModifiedBy>Ahmed Wael</cp:lastModifiedBy>
  <cp:revision>0</cp:revision>
  <dcterms:created xsi:type="dcterms:W3CDTF">2015-06-05T18:17:20Z</dcterms:created>
  <dcterms:modified xsi:type="dcterms:W3CDTF">2026-06-02T16:04:53Z</dcterms:modified>
  <dc:language>en-US</dc:language>
</cp:coreProperties>
</file>