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user\Desktop\FWRY - CA\"/>
    </mc:Choice>
  </mc:AlternateContent>
  <xr:revisionPtr revIDLastSave="0" documentId="13_ncr:1_{F32B53C9-C153-4F9C-B022-F93F65B3E943}" xr6:coauthVersionLast="47" xr6:coauthVersionMax="47" xr10:uidLastSave="{00000000-0000-0000-0000-000000000000}"/>
  <bookViews>
    <workbookView xWindow="-120" yWindow="-120" windowWidth="29040" windowHeight="15840" tabRatio="500" activeTab="1" xr2:uid="{00000000-000D-0000-FFFF-FFFF00000000}"/>
  </bookViews>
  <sheets>
    <sheet name="FSM" sheetId="1" r:id="rId1"/>
    <sheet name="DCF" sheetId="2" r:id="rId2"/>
    <sheet name="WACC" sheetId="3" r:id="rId3"/>
  </sheets>
  <definedNames>
    <definedName name="CIQWBGuid" localSheetId="1" hidden="1">"DCF_complete.xlsx"</definedName>
    <definedName name="CIQWBGuid" localSheetId="2" hidden="1">"DCF_complete.xlsx"</definedName>
    <definedName name="CIQWBGuid" hidden="1">"a611639b-bab1-425e-aaa5-008c326fdfdb"</definedName>
    <definedName name="Company_Name">FSM!$D$5</definedName>
    <definedName name="Hist_Yr">FSM!#REF!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localSheetId="1" hidden="1">43549.6880671296</definedName>
    <definedName name="IQ_NAMES_REVISION_DATE_" localSheetId="2" hidden="1">43549.6880671296</definedName>
    <definedName name="IQ_NAMES_REVISION_DATE_" hidden="1">43588.5561574074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MLNK841c85bef3244d5c8fb6b3f84988d79e" localSheetId="1" hidden="1">#REF!</definedName>
    <definedName name="MLNK841c85bef3244d5c8fb6b3f84988d79e" localSheetId="2" hidden="1">#REF!</definedName>
    <definedName name="MLNK841c85bef3244d5c8fb6b3f84988d79e" hidden="1">#REF!</definedName>
    <definedName name="MLNKa7775792bf444a4785f8ed5c82461a24" localSheetId="1" hidden="1">#REF!</definedName>
    <definedName name="MLNKa7775792bf444a4785f8ed5c82461a24" localSheetId="2" hidden="1">#REF!</definedName>
    <definedName name="MLNKa7775792bf444a4785f8ed5c82461a24" hidden="1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11" i="3" l="1"/>
  <c r="C13" i="3" s="1"/>
  <c r="I61" i="2"/>
  <c r="D72" i="2" s="1"/>
  <c r="C63" i="2"/>
  <c r="C60" i="2"/>
  <c r="C57" i="2"/>
  <c r="C19" i="3" s="1"/>
  <c r="C8" i="3"/>
  <c r="C6" i="3"/>
  <c r="C7" i="3"/>
  <c r="I32" i="2"/>
  <c r="H32" i="2"/>
  <c r="G32" i="2"/>
  <c r="F32" i="2"/>
  <c r="E32" i="2"/>
  <c r="D32" i="2"/>
  <c r="C65" i="2" l="1"/>
  <c r="C72" i="2"/>
  <c r="C70" i="2" l="1"/>
  <c r="D70" i="2"/>
  <c r="I18" i="2" l="1"/>
  <c r="H18" i="2"/>
  <c r="G18" i="2"/>
  <c r="F18" i="2"/>
  <c r="E18" i="2"/>
  <c r="D18" i="2"/>
  <c r="I26" i="2"/>
  <c r="H26" i="2"/>
  <c r="G26" i="2"/>
  <c r="F26" i="2"/>
  <c r="I29" i="2"/>
  <c r="H29" i="2"/>
  <c r="G29" i="2"/>
  <c r="F29" i="2"/>
  <c r="E29" i="2"/>
  <c r="I27" i="2"/>
  <c r="H27" i="2"/>
  <c r="G27" i="2"/>
  <c r="F27" i="2"/>
  <c r="E27" i="2"/>
  <c r="I25" i="2"/>
  <c r="H25" i="2"/>
  <c r="G25" i="2"/>
  <c r="F25" i="2"/>
  <c r="E25" i="2"/>
  <c r="E26" i="2"/>
  <c r="D29" i="2"/>
  <c r="D27" i="2"/>
  <c r="D25" i="2"/>
  <c r="I22" i="2" l="1"/>
  <c r="I21" i="2" s="1"/>
  <c r="I23" i="2" s="1"/>
  <c r="I30" i="2" s="1"/>
  <c r="I38" i="2" s="1"/>
  <c r="C43" i="2" s="1"/>
  <c r="H22" i="2"/>
  <c r="H21" i="2" s="1"/>
  <c r="H23" i="2" s="1"/>
  <c r="H30" i="2" s="1"/>
  <c r="H38" i="2" s="1"/>
  <c r="G22" i="2"/>
  <c r="G21" i="2" s="1"/>
  <c r="G23" i="2" s="1"/>
  <c r="G30" i="2" s="1"/>
  <c r="G38" i="2" s="1"/>
  <c r="F22" i="2"/>
  <c r="F21" i="2" s="1"/>
  <c r="F23" i="2" s="1"/>
  <c r="F30" i="2" s="1"/>
  <c r="F38" i="2" s="1"/>
  <c r="E22" i="2"/>
  <c r="E21" i="2" s="1"/>
  <c r="E23" i="2" s="1"/>
  <c r="E30" i="2" s="1"/>
  <c r="D22" i="2"/>
  <c r="D21" i="2" s="1"/>
  <c r="D23" i="2" s="1"/>
  <c r="D30" i="2" s="1"/>
  <c r="I16" i="2"/>
  <c r="H16" i="2"/>
  <c r="G16" i="2"/>
  <c r="F16" i="2"/>
  <c r="E16" i="2"/>
  <c r="I14" i="2"/>
  <c r="H14" i="2"/>
  <c r="G14" i="2"/>
  <c r="F14" i="2"/>
  <c r="E14" i="2"/>
  <c r="D16" i="2"/>
  <c r="D14" i="2"/>
  <c r="F17" i="2" l="1"/>
  <c r="D19" i="2"/>
  <c r="D33" i="2"/>
  <c r="D28" i="2"/>
  <c r="E33" i="2"/>
  <c r="E15" i="2"/>
  <c r="E19" i="2"/>
  <c r="E28" i="2"/>
  <c r="I19" i="2"/>
  <c r="I15" i="2"/>
  <c r="I28" i="2"/>
  <c r="I33" i="2"/>
  <c r="H17" i="2"/>
  <c r="F33" i="2"/>
  <c r="F15" i="2"/>
  <c r="F19" i="2"/>
  <c r="F28" i="2"/>
  <c r="E17" i="2"/>
  <c r="I42" i="2"/>
  <c r="I44" i="2" s="1"/>
  <c r="I17" i="2"/>
  <c r="G15" i="2"/>
  <c r="G33" i="2"/>
  <c r="G28" i="2"/>
  <c r="G19" i="2"/>
  <c r="D17" i="2"/>
  <c r="H15" i="2"/>
  <c r="H33" i="2"/>
  <c r="H19" i="2"/>
  <c r="H28" i="2"/>
  <c r="G17" i="2"/>
  <c r="M43" i="1"/>
  <c r="M38" i="1"/>
  <c r="M33" i="1"/>
  <c r="M16" i="1"/>
  <c r="G119" i="1"/>
  <c r="H119" i="1" s="1"/>
  <c r="I119" i="1" s="1"/>
  <c r="J119" i="1" s="1"/>
  <c r="K119" i="1" s="1"/>
  <c r="G118" i="1"/>
  <c r="H118" i="1" s="1"/>
  <c r="I118" i="1" s="1"/>
  <c r="J118" i="1" s="1"/>
  <c r="K118" i="1" s="1"/>
  <c r="G117" i="1"/>
  <c r="H117" i="1" s="1"/>
  <c r="I117" i="1" s="1"/>
  <c r="J117" i="1" s="1"/>
  <c r="K117" i="1" s="1"/>
  <c r="G116" i="1"/>
  <c r="H116" i="1" s="1"/>
  <c r="I116" i="1" s="1"/>
  <c r="J116" i="1" s="1"/>
  <c r="K116" i="1" s="1"/>
  <c r="G115" i="1"/>
  <c r="H115" i="1" s="1"/>
  <c r="I115" i="1" s="1"/>
  <c r="J115" i="1" s="1"/>
  <c r="K115" i="1" s="1"/>
  <c r="G114" i="1"/>
  <c r="H114" i="1" s="1"/>
  <c r="I114" i="1" s="1"/>
  <c r="H57" i="1"/>
  <c r="I57" i="1" s="1"/>
  <c r="J57" i="1" s="1"/>
  <c r="K57" i="1" s="1"/>
  <c r="H71" i="1"/>
  <c r="I71" i="1" s="1"/>
  <c r="J71" i="1" s="1"/>
  <c r="K71" i="1" s="1"/>
  <c r="H70" i="1"/>
  <c r="I70" i="1" s="1"/>
  <c r="J70" i="1" s="1"/>
  <c r="K70" i="1" s="1"/>
  <c r="G85" i="1"/>
  <c r="H85" i="1" s="1"/>
  <c r="I85" i="1" s="1"/>
  <c r="J85" i="1" s="1"/>
  <c r="K85" i="1" s="1"/>
  <c r="G84" i="1"/>
  <c r="H84" i="1" s="1"/>
  <c r="I84" i="1" s="1"/>
  <c r="J84" i="1" s="1"/>
  <c r="K84" i="1" s="1"/>
  <c r="G83" i="1"/>
  <c r="H83" i="1" s="1"/>
  <c r="I83" i="1" s="1"/>
  <c r="J83" i="1" s="1"/>
  <c r="K83" i="1" s="1"/>
  <c r="G81" i="1"/>
  <c r="H81" i="1" s="1"/>
  <c r="I81" i="1" s="1"/>
  <c r="J81" i="1" s="1"/>
  <c r="K81" i="1" s="1"/>
  <c r="G80" i="1"/>
  <c r="H80" i="1" s="1"/>
  <c r="I80" i="1" s="1"/>
  <c r="J80" i="1" s="1"/>
  <c r="K80" i="1" s="1"/>
  <c r="G79" i="1"/>
  <c r="H79" i="1" s="1"/>
  <c r="I79" i="1" s="1"/>
  <c r="J79" i="1" s="1"/>
  <c r="K79" i="1" s="1"/>
  <c r="H101" i="1"/>
  <c r="I101" i="1" s="1"/>
  <c r="J101" i="1" s="1"/>
  <c r="K101" i="1" s="1"/>
  <c r="K157" i="1" s="1"/>
  <c r="G106" i="1"/>
  <c r="H106" i="1" s="1"/>
  <c r="G108" i="1"/>
  <c r="H108" i="1" s="1"/>
  <c r="I108" i="1" s="1"/>
  <c r="J108" i="1" s="1"/>
  <c r="K108" i="1" s="1"/>
  <c r="G101" i="1"/>
  <c r="G157" i="1" s="1"/>
  <c r="G107" i="1"/>
  <c r="H107" i="1" s="1"/>
  <c r="I107" i="1" s="1"/>
  <c r="J107" i="1" s="1"/>
  <c r="K107" i="1" s="1"/>
  <c r="G95" i="1"/>
  <c r="H95" i="1" s="1"/>
  <c r="I95" i="1" s="1"/>
  <c r="G94" i="1"/>
  <c r="H94" i="1" s="1"/>
  <c r="I94" i="1" s="1"/>
  <c r="J94" i="1" s="1"/>
  <c r="K94" i="1" s="1"/>
  <c r="D191" i="1"/>
  <c r="E191" i="1"/>
  <c r="F191" i="1"/>
  <c r="F55" i="1"/>
  <c r="E55" i="1"/>
  <c r="D55" i="1"/>
  <c r="K46" i="1"/>
  <c r="J46" i="1"/>
  <c r="I46" i="1"/>
  <c r="H46" i="1"/>
  <c r="G46" i="1"/>
  <c r="F46" i="1"/>
  <c r="E46" i="1"/>
  <c r="D46" i="1"/>
  <c r="G156" i="1" l="1"/>
  <c r="J95" i="1"/>
  <c r="K95" i="1" s="1"/>
  <c r="K156" i="1" s="1"/>
  <c r="I156" i="1"/>
  <c r="I106" i="1"/>
  <c r="H109" i="1"/>
  <c r="I157" i="1"/>
  <c r="J157" i="1"/>
  <c r="G109" i="1"/>
  <c r="H157" i="1"/>
  <c r="J156" i="1"/>
  <c r="H156" i="1"/>
  <c r="J114" i="1"/>
  <c r="H35" i="1"/>
  <c r="I35" i="1" s="1"/>
  <c r="J35" i="1" s="1"/>
  <c r="K35" i="1" s="1"/>
  <c r="H34" i="1"/>
  <c r="I34" i="1" s="1"/>
  <c r="J34" i="1" s="1"/>
  <c r="K34" i="1" s="1"/>
  <c r="H31" i="1"/>
  <c r="I31" i="1" s="1"/>
  <c r="J31" i="1" s="1"/>
  <c r="K31" i="1" s="1"/>
  <c r="H30" i="1"/>
  <c r="I30" i="1" s="1"/>
  <c r="J30" i="1" s="1"/>
  <c r="K30" i="1" s="1"/>
  <c r="H27" i="1"/>
  <c r="I27" i="1" s="1"/>
  <c r="J27" i="1" s="1"/>
  <c r="K27" i="1" s="1"/>
  <c r="H26" i="1"/>
  <c r="I26" i="1" s="1"/>
  <c r="J26" i="1" s="1"/>
  <c r="K26" i="1" s="1"/>
  <c r="G21" i="1"/>
  <c r="H21" i="1" s="1"/>
  <c r="I21" i="1" s="1"/>
  <c r="J21" i="1" s="1"/>
  <c r="K21" i="1" s="1"/>
  <c r="H53" i="1"/>
  <c r="I53" i="1" s="1"/>
  <c r="J53" i="1" s="1"/>
  <c r="K53" i="1" s="1"/>
  <c r="H52" i="1"/>
  <c r="I52" i="1" s="1"/>
  <c r="H51" i="1"/>
  <c r="I51" i="1" s="1"/>
  <c r="J51" i="1" s="1"/>
  <c r="K51" i="1" s="1"/>
  <c r="F18" i="1"/>
  <c r="F51" i="1" s="1"/>
  <c r="G217" i="1"/>
  <c r="G218" i="1" s="1"/>
  <c r="F222" i="1"/>
  <c r="E222" i="1"/>
  <c r="D222" i="1"/>
  <c r="F221" i="1"/>
  <c r="E221" i="1"/>
  <c r="F219" i="1"/>
  <c r="E219" i="1"/>
  <c r="E220" i="1" s="1"/>
  <c r="D219" i="1"/>
  <c r="D220" i="1" s="1"/>
  <c r="F52" i="1"/>
  <c r="E52" i="1"/>
  <c r="D52" i="1"/>
  <c r="J106" i="1" l="1"/>
  <c r="I109" i="1"/>
  <c r="K114" i="1"/>
  <c r="J52" i="1"/>
  <c r="H217" i="1"/>
  <c r="I217" i="1" s="1"/>
  <c r="J217" i="1" s="1"/>
  <c r="G219" i="1"/>
  <c r="G28" i="1" s="1"/>
  <c r="G25" i="1"/>
  <c r="D224" i="1"/>
  <c r="E223" i="1"/>
  <c r="E224" i="1"/>
  <c r="F220" i="1"/>
  <c r="F223" i="1"/>
  <c r="F224" i="1"/>
  <c r="K106" i="1" l="1"/>
  <c r="K109" i="1" s="1"/>
  <c r="J109" i="1"/>
  <c r="I218" i="1"/>
  <c r="I219" i="1" s="1"/>
  <c r="I67" i="1" s="1"/>
  <c r="I82" i="1" s="1"/>
  <c r="I220" i="1" s="1"/>
  <c r="H218" i="1"/>
  <c r="H25" i="1" s="1"/>
  <c r="K52" i="1"/>
  <c r="G67" i="1"/>
  <c r="G82" i="1" s="1"/>
  <c r="K217" i="1"/>
  <c r="J218" i="1"/>
  <c r="H219" i="1" l="1"/>
  <c r="H28" i="1" s="1"/>
  <c r="I25" i="1"/>
  <c r="G220" i="1"/>
  <c r="J219" i="1"/>
  <c r="J25" i="1"/>
  <c r="I28" i="1"/>
  <c r="H67" i="1"/>
  <c r="H82" i="1" s="1"/>
  <c r="H220" i="1" s="1"/>
  <c r="K218" i="1"/>
  <c r="K219" i="1" l="1"/>
  <c r="K28" i="1" s="1"/>
  <c r="K25" i="1"/>
  <c r="J67" i="1"/>
  <c r="J82" i="1" s="1"/>
  <c r="J28" i="1"/>
  <c r="J220" i="1" l="1"/>
  <c r="K67" i="1"/>
  <c r="K82" i="1" s="1"/>
  <c r="K220" i="1" s="1"/>
  <c r="F50" i="1" l="1"/>
  <c r="E50" i="1"/>
  <c r="G202" i="1"/>
  <c r="H202" i="1" s="1"/>
  <c r="I202" i="1" s="1"/>
  <c r="J202" i="1" s="1"/>
  <c r="K202" i="1" s="1"/>
  <c r="G201" i="1"/>
  <c r="H201" i="1" s="1"/>
  <c r="I201" i="1" s="1"/>
  <c r="J201" i="1" s="1"/>
  <c r="K201" i="1" s="1"/>
  <c r="G200" i="1"/>
  <c r="H200" i="1" s="1"/>
  <c r="I200" i="1" s="1"/>
  <c r="J200" i="1" s="1"/>
  <c r="K200" i="1" s="1"/>
  <c r="G199" i="1"/>
  <c r="H199" i="1" s="1"/>
  <c r="I199" i="1" s="1"/>
  <c r="J199" i="1" s="1"/>
  <c r="K199" i="1" s="1"/>
  <c r="G198" i="1"/>
  <c r="H198" i="1" s="1"/>
  <c r="I198" i="1" s="1"/>
  <c r="J198" i="1" s="1"/>
  <c r="K198" i="1" s="1"/>
  <c r="G197" i="1"/>
  <c r="H197" i="1" s="1"/>
  <c r="F203" i="1"/>
  <c r="F204" i="1" s="1"/>
  <c r="E203" i="1"/>
  <c r="E204" i="1" s="1"/>
  <c r="D203" i="1"/>
  <c r="D204" i="1" s="1"/>
  <c r="I197" i="1" l="1"/>
  <c r="H203" i="1"/>
  <c r="H16" i="1" s="1"/>
  <c r="G203" i="1"/>
  <c r="H188" i="1" l="1"/>
  <c r="H66" i="1"/>
  <c r="H69" i="1"/>
  <c r="H68" i="1"/>
  <c r="H100" i="1"/>
  <c r="H99" i="1"/>
  <c r="H98" i="1"/>
  <c r="H97" i="1"/>
  <c r="H96" i="1"/>
  <c r="H65" i="1"/>
  <c r="H169" i="1"/>
  <c r="H17" i="1"/>
  <c r="H18" i="1" s="1"/>
  <c r="H19" i="1"/>
  <c r="G16" i="1"/>
  <c r="H50" i="1" s="1"/>
  <c r="J197" i="1"/>
  <c r="I203" i="1"/>
  <c r="H204" i="1"/>
  <c r="G188" i="1" l="1"/>
  <c r="G98" i="1"/>
  <c r="G68" i="1"/>
  <c r="G96" i="1"/>
  <c r="G69" i="1"/>
  <c r="G139" i="1" s="1"/>
  <c r="G97" i="1"/>
  <c r="G66" i="1"/>
  <c r="G100" i="1"/>
  <c r="G65" i="1"/>
  <c r="H138" i="1" s="1"/>
  <c r="G99" i="1"/>
  <c r="G19" i="1"/>
  <c r="G17" i="1"/>
  <c r="G18" i="1" s="1"/>
  <c r="G50" i="1"/>
  <c r="G204" i="1"/>
  <c r="K197" i="1"/>
  <c r="K203" i="1" s="1"/>
  <c r="J203" i="1"/>
  <c r="I16" i="1"/>
  <c r="F157" i="1"/>
  <c r="F156" i="1"/>
  <c r="F149" i="1"/>
  <c r="K148" i="1"/>
  <c r="J148" i="1"/>
  <c r="I148" i="1"/>
  <c r="H148" i="1"/>
  <c r="G148" i="1"/>
  <c r="F148" i="1"/>
  <c r="F141" i="1"/>
  <c r="F140" i="1"/>
  <c r="F138" i="1"/>
  <c r="H139" i="1"/>
  <c r="F139" i="1"/>
  <c r="F135" i="1"/>
  <c r="F189" i="1"/>
  <c r="G186" i="1" s="1"/>
  <c r="E189" i="1"/>
  <c r="F186" i="1" s="1"/>
  <c r="D189" i="1"/>
  <c r="E186" i="1" s="1"/>
  <c r="F187" i="1"/>
  <c r="E187" i="1"/>
  <c r="D187" i="1"/>
  <c r="F180" i="1"/>
  <c r="E180" i="1"/>
  <c r="E42" i="1" s="1"/>
  <c r="D180" i="1"/>
  <c r="D42" i="1" s="1"/>
  <c r="F179" i="1"/>
  <c r="E179" i="1"/>
  <c r="D179" i="1"/>
  <c r="G138" i="1" l="1"/>
  <c r="H140" i="1"/>
  <c r="G140" i="1"/>
  <c r="I188" i="1"/>
  <c r="I69" i="1"/>
  <c r="I68" i="1"/>
  <c r="I100" i="1"/>
  <c r="I99" i="1"/>
  <c r="I98" i="1"/>
  <c r="I97" i="1"/>
  <c r="I96" i="1"/>
  <c r="I65" i="1"/>
  <c r="I138" i="1" s="1"/>
  <c r="I66" i="1"/>
  <c r="G93" i="1"/>
  <c r="G102" i="1"/>
  <c r="G29" i="1"/>
  <c r="H29" i="1" s="1"/>
  <c r="G72" i="1"/>
  <c r="G178" i="1"/>
  <c r="G187" i="1" s="1"/>
  <c r="G189" i="1" s="1"/>
  <c r="F182" i="1"/>
  <c r="E182" i="1"/>
  <c r="I169" i="1"/>
  <c r="I17" i="1"/>
  <c r="I18" i="1" s="1"/>
  <c r="I19" i="1"/>
  <c r="F134" i="1"/>
  <c r="F147" i="1" s="1"/>
  <c r="F151" i="1" s="1"/>
  <c r="F42" i="1"/>
  <c r="G32" i="1"/>
  <c r="H32" i="1" s="1"/>
  <c r="G23" i="1"/>
  <c r="H23" i="1" s="1"/>
  <c r="G22" i="1"/>
  <c r="H22" i="1" s="1"/>
  <c r="G20" i="1"/>
  <c r="H20" i="1" s="1"/>
  <c r="G24" i="1"/>
  <c r="H24" i="1" s="1"/>
  <c r="I50" i="1"/>
  <c r="I204" i="1"/>
  <c r="K16" i="1"/>
  <c r="J16" i="1"/>
  <c r="I140" i="1" l="1"/>
  <c r="K188" i="1"/>
  <c r="K99" i="1"/>
  <c r="K96" i="1"/>
  <c r="K66" i="1"/>
  <c r="K69" i="1"/>
  <c r="K68" i="1"/>
  <c r="K100" i="1"/>
  <c r="K98" i="1"/>
  <c r="K97" i="1"/>
  <c r="K65" i="1"/>
  <c r="H102" i="1"/>
  <c r="G141" i="1"/>
  <c r="H93" i="1"/>
  <c r="G103" i="1"/>
  <c r="G111" i="1" s="1"/>
  <c r="G135" i="1"/>
  <c r="H72" i="1"/>
  <c r="G149" i="1"/>
  <c r="I139" i="1"/>
  <c r="J188" i="1"/>
  <c r="J66" i="1"/>
  <c r="J69" i="1"/>
  <c r="J100" i="1"/>
  <c r="J98" i="1"/>
  <c r="J96" i="1"/>
  <c r="J65" i="1"/>
  <c r="J138" i="1" s="1"/>
  <c r="J68" i="1"/>
  <c r="J99" i="1"/>
  <c r="J97" i="1"/>
  <c r="G179" i="1"/>
  <c r="I29" i="1"/>
  <c r="H186" i="1"/>
  <c r="H178" i="1" s="1"/>
  <c r="G78" i="1"/>
  <c r="I24" i="1"/>
  <c r="I32" i="1"/>
  <c r="G33" i="1"/>
  <c r="G36" i="1" s="1"/>
  <c r="G37" i="1" s="1"/>
  <c r="G38" i="1" s="1"/>
  <c r="J169" i="1"/>
  <c r="J17" i="1"/>
  <c r="J18" i="1" s="1"/>
  <c r="J19" i="1"/>
  <c r="I20" i="1"/>
  <c r="H33" i="1"/>
  <c r="H36" i="1" s="1"/>
  <c r="H37" i="1" s="1"/>
  <c r="H38" i="1" s="1"/>
  <c r="I22" i="1"/>
  <c r="K169" i="1"/>
  <c r="K17" i="1"/>
  <c r="K18" i="1" s="1"/>
  <c r="K19" i="1"/>
  <c r="I23" i="1"/>
  <c r="K204" i="1"/>
  <c r="J50" i="1"/>
  <c r="J204" i="1"/>
  <c r="K50" i="1"/>
  <c r="J24" i="1" l="1"/>
  <c r="K138" i="1"/>
  <c r="J139" i="1"/>
  <c r="J140" i="1"/>
  <c r="I72" i="1"/>
  <c r="H149" i="1"/>
  <c r="K139" i="1"/>
  <c r="I102" i="1"/>
  <c r="H141" i="1"/>
  <c r="K140" i="1"/>
  <c r="J29" i="1"/>
  <c r="K29" i="1" s="1"/>
  <c r="I93" i="1"/>
  <c r="H103" i="1"/>
  <c r="H111" i="1" s="1"/>
  <c r="H135" i="1"/>
  <c r="H179" i="1"/>
  <c r="H187" i="1"/>
  <c r="H189" i="1" s="1"/>
  <c r="I186" i="1" s="1"/>
  <c r="I178" i="1" s="1"/>
  <c r="K24" i="1"/>
  <c r="J32" i="1"/>
  <c r="K32" i="1" s="1"/>
  <c r="G133" i="1"/>
  <c r="J22" i="1"/>
  <c r="K22" i="1" s="1"/>
  <c r="J23" i="1"/>
  <c r="K23" i="1" s="1"/>
  <c r="J20" i="1"/>
  <c r="K20" i="1" s="1"/>
  <c r="H133" i="1"/>
  <c r="I33" i="1"/>
  <c r="I36" i="1" s="1"/>
  <c r="I37" i="1" s="1"/>
  <c r="I38" i="1" s="1"/>
  <c r="K173" i="1"/>
  <c r="J173" i="1"/>
  <c r="I173" i="1"/>
  <c r="H173" i="1"/>
  <c r="F173" i="1"/>
  <c r="E173" i="1"/>
  <c r="D173" i="1"/>
  <c r="F171" i="1"/>
  <c r="G168" i="1" s="1"/>
  <c r="E171" i="1"/>
  <c r="D171" i="1"/>
  <c r="E168" i="1" s="1"/>
  <c r="E56" i="1" s="1"/>
  <c r="F109" i="1"/>
  <c r="E109" i="1"/>
  <c r="D109" i="1"/>
  <c r="F103" i="1"/>
  <c r="E103" i="1"/>
  <c r="D103" i="1"/>
  <c r="F121" i="1"/>
  <c r="F123" i="1" s="1"/>
  <c r="E121" i="1"/>
  <c r="E123" i="1" s="1"/>
  <c r="D121" i="1"/>
  <c r="D123" i="1" s="1"/>
  <c r="F86" i="1"/>
  <c r="E86" i="1"/>
  <c r="D86" i="1"/>
  <c r="F74" i="1"/>
  <c r="E74" i="1"/>
  <c r="D74" i="1"/>
  <c r="F33" i="1"/>
  <c r="E18" i="1"/>
  <c r="D18" i="1"/>
  <c r="J93" i="1" l="1"/>
  <c r="I103" i="1"/>
  <c r="I111" i="1" s="1"/>
  <c r="I135" i="1"/>
  <c r="J72" i="1"/>
  <c r="I149" i="1"/>
  <c r="J102" i="1"/>
  <c r="I141" i="1"/>
  <c r="H78" i="1"/>
  <c r="I179" i="1"/>
  <c r="I187" i="1"/>
  <c r="I189" i="1" s="1"/>
  <c r="E174" i="1"/>
  <c r="G170" i="1"/>
  <c r="G180" i="1" s="1"/>
  <c r="I133" i="1"/>
  <c r="J33" i="1"/>
  <c r="J36" i="1" s="1"/>
  <c r="J37" i="1" s="1"/>
  <c r="J38" i="1" s="1"/>
  <c r="F36" i="1"/>
  <c r="F38" i="1" s="1"/>
  <c r="F43" i="1"/>
  <c r="F44" i="1" s="1"/>
  <c r="K33" i="1"/>
  <c r="K36" i="1" s="1"/>
  <c r="K37" i="1" s="1"/>
  <c r="K38" i="1" s="1"/>
  <c r="E33" i="1"/>
  <c r="E51" i="1"/>
  <c r="D33" i="1"/>
  <c r="D51" i="1"/>
  <c r="D111" i="1"/>
  <c r="D125" i="1" s="1"/>
  <c r="D88" i="1"/>
  <c r="E111" i="1"/>
  <c r="E125" i="1" s="1"/>
  <c r="F111" i="1"/>
  <c r="F125" i="1" s="1"/>
  <c r="E88" i="1"/>
  <c r="F88" i="1"/>
  <c r="F168" i="1"/>
  <c r="D174" i="1"/>
  <c r="H5" i="2"/>
  <c r="C18" i="3" s="1"/>
  <c r="O99" i="2"/>
  <c r="N99" i="2" s="1"/>
  <c r="M99" i="2" s="1"/>
  <c r="G99" i="2"/>
  <c r="H99" i="2" s="1"/>
  <c r="I99" i="2" s="1"/>
  <c r="O90" i="2"/>
  <c r="P90" i="2" s="1"/>
  <c r="Q90" i="2" s="1"/>
  <c r="G90" i="2"/>
  <c r="F90" i="2" s="1"/>
  <c r="E90" i="2" s="1"/>
  <c r="E18" i="3" l="1"/>
  <c r="E19" i="3"/>
  <c r="E21" i="3" s="1"/>
  <c r="K72" i="1"/>
  <c r="K149" i="1" s="1"/>
  <c r="J149" i="1"/>
  <c r="K102" i="1"/>
  <c r="K141" i="1" s="1"/>
  <c r="J141" i="1"/>
  <c r="F53" i="1"/>
  <c r="K93" i="1"/>
  <c r="J135" i="1"/>
  <c r="J103" i="1"/>
  <c r="J111" i="1" s="1"/>
  <c r="J186" i="1"/>
  <c r="J178" i="1" s="1"/>
  <c r="I78" i="1"/>
  <c r="J133" i="1"/>
  <c r="G134" i="1"/>
  <c r="G42" i="1"/>
  <c r="G43" i="1" s="1"/>
  <c r="G44" i="1" s="1"/>
  <c r="F174" i="1"/>
  <c r="F56" i="1"/>
  <c r="D36" i="1"/>
  <c r="D38" i="1" s="1"/>
  <c r="D43" i="1"/>
  <c r="D44" i="1" s="1"/>
  <c r="E36" i="1"/>
  <c r="E38" i="1" s="1"/>
  <c r="E43" i="1"/>
  <c r="E44" i="1" s="1"/>
  <c r="K133" i="1"/>
  <c r="D127" i="1"/>
  <c r="F133" i="1"/>
  <c r="F136" i="1" s="1"/>
  <c r="F142" i="1" s="1"/>
  <c r="F143" i="1" s="1"/>
  <c r="F54" i="1"/>
  <c r="G54" i="1" s="1"/>
  <c r="H54" i="1" s="1"/>
  <c r="I54" i="1" s="1"/>
  <c r="J54" i="1" s="1"/>
  <c r="K54" i="1" s="1"/>
  <c r="F40" i="1"/>
  <c r="F47" i="1" s="1"/>
  <c r="F155" i="1"/>
  <c r="F158" i="1" s="1"/>
  <c r="E127" i="1"/>
  <c r="F127" i="1"/>
  <c r="F99" i="2"/>
  <c r="E99" i="2" s="1"/>
  <c r="H90" i="2"/>
  <c r="I90" i="2" s="1"/>
  <c r="N90" i="2"/>
  <c r="M90" i="2" s="1"/>
  <c r="P99" i="2"/>
  <c r="Q99" i="2" s="1"/>
  <c r="K103" i="1" l="1"/>
  <c r="K111" i="1" s="1"/>
  <c r="K135" i="1"/>
  <c r="J179" i="1"/>
  <c r="J187" i="1"/>
  <c r="J189" i="1" s="1"/>
  <c r="D53" i="1"/>
  <c r="E53" i="1"/>
  <c r="D40" i="1"/>
  <c r="D47" i="1" s="1"/>
  <c r="D54" i="1"/>
  <c r="F160" i="1"/>
  <c r="F162" i="1" s="1"/>
  <c r="G136" i="1"/>
  <c r="G142" i="1" s="1"/>
  <c r="G143" i="1" s="1"/>
  <c r="E40" i="1"/>
  <c r="E47" i="1" s="1"/>
  <c r="E54" i="1"/>
  <c r="H4" i="2"/>
  <c r="I51" i="2" l="1"/>
  <c r="C44" i="2"/>
  <c r="K186" i="1"/>
  <c r="J78" i="1"/>
  <c r="K178" i="1"/>
  <c r="L102" i="2"/>
  <c r="D93" i="2"/>
  <c r="D102" i="2"/>
  <c r="L93" i="2"/>
  <c r="C51" i="2" l="1"/>
  <c r="K179" i="1"/>
  <c r="K187" i="1"/>
  <c r="K189" i="1" s="1"/>
  <c r="K78" i="1" s="1"/>
  <c r="L94" i="2"/>
  <c r="L95" i="2" s="1"/>
  <c r="L92" i="2"/>
  <c r="L91" i="2" s="1"/>
  <c r="D92" i="2"/>
  <c r="D91" i="2" s="1"/>
  <c r="D94" i="2"/>
  <c r="D95" i="2" s="1"/>
  <c r="D103" i="2"/>
  <c r="D104" i="2" s="1"/>
  <c r="D101" i="2"/>
  <c r="D100" i="2" s="1"/>
  <c r="L101" i="2"/>
  <c r="L100" i="2" s="1"/>
  <c r="L103" i="2"/>
  <c r="L104" i="2" s="1"/>
  <c r="B3" i="2" l="1"/>
  <c r="Q130" i="2"/>
  <c r="O130" i="2"/>
  <c r="G130" i="2"/>
  <c r="Q129" i="2"/>
  <c r="O129" i="2"/>
  <c r="G129" i="2"/>
  <c r="Q128" i="2"/>
  <c r="O128" i="2"/>
  <c r="G128" i="2"/>
  <c r="D130" i="2"/>
  <c r="E129" i="2"/>
  <c r="C129" i="2"/>
  <c r="B129" i="2"/>
  <c r="E128" i="2"/>
  <c r="C128" i="2"/>
  <c r="B128" i="2"/>
  <c r="P129" i="2" l="1"/>
  <c r="D128" i="2"/>
  <c r="P128" i="2"/>
  <c r="P130" i="2"/>
  <c r="D129" i="2"/>
  <c r="B3" i="3" l="1"/>
  <c r="B35" i="2"/>
  <c r="C12" i="2" l="1"/>
  <c r="D37" i="2"/>
  <c r="D12" i="2"/>
  <c r="E12" i="2" s="1"/>
  <c r="D5" i="2"/>
  <c r="D8" i="2" s="1"/>
  <c r="C38" i="2" l="1"/>
  <c r="E38" i="2" s="1"/>
  <c r="C18" i="2"/>
  <c r="C16" i="2"/>
  <c r="C14" i="2"/>
  <c r="F12" i="2"/>
  <c r="G12" i="2" l="1"/>
  <c r="H12" i="2" l="1"/>
  <c r="I12" i="2" l="1"/>
  <c r="B43" i="2" l="1"/>
  <c r="E44" i="2"/>
  <c r="B44" i="2"/>
  <c r="F13" i="1" l="1"/>
  <c r="F214" i="1" s="1"/>
  <c r="F14" i="1"/>
  <c r="F215" i="1" s="1"/>
  <c r="F195" i="1" l="1"/>
  <c r="F166" i="1"/>
  <c r="F131" i="1"/>
  <c r="F194" i="1"/>
  <c r="F165" i="1"/>
  <c r="F130" i="1"/>
  <c r="F61" i="1"/>
  <c r="G13" i="1"/>
  <c r="G214" i="1" s="1"/>
  <c r="F60" i="1"/>
  <c r="E13" i="1"/>
  <c r="E214" i="1" s="1"/>
  <c r="G194" i="1" l="1"/>
  <c r="E165" i="1"/>
  <c r="E194" i="1"/>
  <c r="D13" i="1"/>
  <c r="D214" i="1" s="1"/>
  <c r="E60" i="1"/>
  <c r="H13" i="1"/>
  <c r="H214" i="1" s="1"/>
  <c r="G165" i="1"/>
  <c r="G130" i="1"/>
  <c r="G60" i="1"/>
  <c r="H194" i="1" l="1"/>
  <c r="D194" i="1"/>
  <c r="D165" i="1"/>
  <c r="I13" i="1"/>
  <c r="I214" i="1" s="1"/>
  <c r="H60" i="1"/>
  <c r="H165" i="1"/>
  <c r="H130" i="1"/>
  <c r="D60" i="1"/>
  <c r="I194" i="1" l="1"/>
  <c r="J13" i="1"/>
  <c r="J214" i="1" s="1"/>
  <c r="I60" i="1"/>
  <c r="I165" i="1"/>
  <c r="I130" i="1"/>
  <c r="J194" i="1" l="1"/>
  <c r="K13" i="1"/>
  <c r="K214" i="1" s="1"/>
  <c r="J60" i="1"/>
  <c r="J165" i="1"/>
  <c r="J130" i="1"/>
  <c r="K194" i="1" l="1"/>
  <c r="K165" i="1"/>
  <c r="K130" i="1"/>
  <c r="K60" i="1"/>
  <c r="C2" i="1" l="1"/>
  <c r="G14" i="1"/>
  <c r="G215" i="1" s="1"/>
  <c r="G195" i="1" l="1"/>
  <c r="G166" i="1"/>
  <c r="G131" i="1"/>
  <c r="G61" i="1"/>
  <c r="H14" i="1"/>
  <c r="H215" i="1" s="1"/>
  <c r="E14" i="1"/>
  <c r="E215" i="1" s="1"/>
  <c r="H195" i="1" l="1"/>
  <c r="E195" i="1"/>
  <c r="E166" i="1"/>
  <c r="H166" i="1"/>
  <c r="H131" i="1"/>
  <c r="H61" i="1"/>
  <c r="E61" i="1"/>
  <c r="D14" i="1"/>
  <c r="D215" i="1" s="1"/>
  <c r="I14" i="1"/>
  <c r="I215" i="1" s="1"/>
  <c r="I195" i="1" l="1"/>
  <c r="D195" i="1"/>
  <c r="D166" i="1"/>
  <c r="I166" i="1"/>
  <c r="I131" i="1"/>
  <c r="I61" i="1"/>
  <c r="D61" i="1"/>
  <c r="J14" i="1"/>
  <c r="J215" i="1" s="1"/>
  <c r="J195" i="1" l="1"/>
  <c r="J166" i="1"/>
  <c r="J131" i="1"/>
  <c r="J61" i="1"/>
  <c r="K14" i="1"/>
  <c r="K215" i="1" s="1"/>
  <c r="K195" i="1" l="1"/>
  <c r="K166" i="1"/>
  <c r="K131" i="1"/>
  <c r="K61" i="1"/>
  <c r="G39" i="1" l="1"/>
  <c r="G40" i="1" l="1"/>
  <c r="G122" i="1"/>
  <c r="I39" i="1"/>
  <c r="I40" i="1" s="1"/>
  <c r="I47" i="1" s="1"/>
  <c r="H39" i="1"/>
  <c r="H40" i="1" s="1"/>
  <c r="H47" i="1" s="1"/>
  <c r="H122" i="1" l="1"/>
  <c r="I122" i="1" s="1"/>
  <c r="G47" i="1"/>
  <c r="G120" i="1"/>
  <c r="J39" i="1"/>
  <c r="J40" i="1" s="1"/>
  <c r="J47" i="1" s="1"/>
  <c r="K39" i="1"/>
  <c r="K40" i="1" s="1"/>
  <c r="K47" i="1" s="1"/>
  <c r="G169" i="1"/>
  <c r="G171" i="1" s="1"/>
  <c r="G77" i="1" s="1"/>
  <c r="H120" i="1" l="1"/>
  <c r="G121" i="1"/>
  <c r="G123" i="1" s="1"/>
  <c r="G125" i="1" s="1"/>
  <c r="G155" i="1"/>
  <c r="G158" i="1" s="1"/>
  <c r="G86" i="1"/>
  <c r="G147" i="1"/>
  <c r="G151" i="1" s="1"/>
  <c r="J122" i="1"/>
  <c r="K122" i="1" s="1"/>
  <c r="G173" i="1"/>
  <c r="H168" i="1"/>
  <c r="G174" i="1"/>
  <c r="G160" i="1" l="1"/>
  <c r="I120" i="1"/>
  <c r="H121" i="1"/>
  <c r="H123" i="1" s="1"/>
  <c r="H125" i="1" s="1"/>
  <c r="H155" i="1"/>
  <c r="H158" i="1" s="1"/>
  <c r="H170" i="1"/>
  <c r="H171" i="1" s="1"/>
  <c r="J120" i="1" l="1"/>
  <c r="I121" i="1"/>
  <c r="I123" i="1" s="1"/>
  <c r="I125" i="1" s="1"/>
  <c r="I155" i="1"/>
  <c r="I158" i="1" s="1"/>
  <c r="I168" i="1"/>
  <c r="I170" i="1" s="1"/>
  <c r="H77" i="1"/>
  <c r="H86" i="1" s="1"/>
  <c r="G73" i="1"/>
  <c r="G74" i="1" s="1"/>
  <c r="G88" i="1" s="1"/>
  <c r="G127" i="1" s="1"/>
  <c r="H180" i="1"/>
  <c r="H174" i="1"/>
  <c r="G162" i="1" l="1"/>
  <c r="I171" i="1"/>
  <c r="J168" i="1" s="1"/>
  <c r="J170" i="1" s="1"/>
  <c r="J171" i="1" s="1"/>
  <c r="K120" i="1"/>
  <c r="J121" i="1"/>
  <c r="J123" i="1" s="1"/>
  <c r="J125" i="1" s="1"/>
  <c r="J155" i="1"/>
  <c r="J158" i="1" s="1"/>
  <c r="H42" i="1"/>
  <c r="H43" i="1" s="1"/>
  <c r="H44" i="1" s="1"/>
  <c r="H134" i="1"/>
  <c r="I180" i="1"/>
  <c r="I174" i="1"/>
  <c r="I77" i="1" l="1"/>
  <c r="I86" i="1" s="1"/>
  <c r="K168" i="1"/>
  <c r="J77" i="1"/>
  <c r="J86" i="1" s="1"/>
  <c r="K121" i="1"/>
  <c r="K123" i="1" s="1"/>
  <c r="K125" i="1" s="1"/>
  <c r="K155" i="1"/>
  <c r="K158" i="1" s="1"/>
  <c r="K170" i="1"/>
  <c r="K171" i="1" s="1"/>
  <c r="K77" i="1" s="1"/>
  <c r="K86" i="1" s="1"/>
  <c r="J180" i="1"/>
  <c r="J174" i="1"/>
  <c r="H147" i="1"/>
  <c r="H151" i="1" s="1"/>
  <c r="H136" i="1"/>
  <c r="H142" i="1" s="1"/>
  <c r="H143" i="1" s="1"/>
  <c r="I134" i="1"/>
  <c r="I42" i="1"/>
  <c r="I43" i="1" s="1"/>
  <c r="I44" i="1" s="1"/>
  <c r="H160" i="1" l="1"/>
  <c r="I136" i="1"/>
  <c r="I142" i="1" s="1"/>
  <c r="I143" i="1" s="1"/>
  <c r="I147" i="1"/>
  <c r="I151" i="1" s="1"/>
  <c r="J134" i="1"/>
  <c r="J42" i="1"/>
  <c r="J43" i="1" s="1"/>
  <c r="J44" i="1" s="1"/>
  <c r="K174" i="1"/>
  <c r="K180" i="1"/>
  <c r="I160" i="1" l="1"/>
  <c r="H73" i="1"/>
  <c r="J147" i="1"/>
  <c r="J151" i="1" s="1"/>
  <c r="J136" i="1"/>
  <c r="J142" i="1" s="1"/>
  <c r="J143" i="1" s="1"/>
  <c r="K42" i="1"/>
  <c r="K43" i="1" s="1"/>
  <c r="K44" i="1" s="1"/>
  <c r="K134" i="1"/>
  <c r="J160" i="1" l="1"/>
  <c r="I73" i="1"/>
  <c r="H74" i="1"/>
  <c r="H88" i="1" s="1"/>
  <c r="H127" i="1" s="1"/>
  <c r="H162" i="1"/>
  <c r="K147" i="1"/>
  <c r="K151" i="1" s="1"/>
  <c r="K136" i="1"/>
  <c r="K142" i="1" s="1"/>
  <c r="K143" i="1" s="1"/>
  <c r="K160" i="1" l="1"/>
  <c r="J73" i="1"/>
  <c r="J162" i="1" s="1"/>
  <c r="I74" i="1"/>
  <c r="I88" i="1" s="1"/>
  <c r="I127" i="1" s="1"/>
  <c r="I162" i="1"/>
  <c r="K73" i="1" l="1"/>
  <c r="K74" i="1" s="1"/>
  <c r="K88" i="1" s="1"/>
  <c r="K127" i="1" s="1"/>
  <c r="J74" i="1"/>
  <c r="J88" i="1" s="1"/>
  <c r="J127" i="1" s="1"/>
  <c r="K162" i="1" l="1"/>
  <c r="H7" i="2"/>
  <c r="H8" i="2"/>
  <c r="E37" i="2"/>
  <c r="F37" i="2"/>
  <c r="G37" i="2"/>
  <c r="H37" i="2"/>
  <c r="I37" i="2"/>
  <c r="E39" i="2"/>
  <c r="F39" i="2"/>
  <c r="G39" i="2"/>
  <c r="H39" i="2"/>
  <c r="I39" i="2"/>
  <c r="C45" i="2"/>
  <c r="I45" i="2"/>
  <c r="C46" i="2"/>
  <c r="I46" i="2"/>
  <c r="C47" i="2"/>
  <c r="I47" i="2"/>
  <c r="C49" i="2"/>
  <c r="I49" i="2"/>
  <c r="C50" i="2"/>
  <c r="I50" i="2"/>
  <c r="C69" i="2"/>
  <c r="D69" i="2"/>
  <c r="C71" i="2"/>
  <c r="D71" i="2"/>
  <c r="C73" i="2"/>
  <c r="D73" i="2"/>
  <c r="C77" i="2"/>
  <c r="D77" i="2"/>
  <c r="C78" i="2"/>
  <c r="D78" i="2"/>
  <c r="C79" i="2"/>
  <c r="D79" i="2"/>
  <c r="C82" i="2"/>
  <c r="D82" i="2"/>
  <c r="C83" i="2"/>
  <c r="D83" i="2"/>
  <c r="C84" i="2"/>
  <c r="D84" i="2"/>
  <c r="D90" i="2"/>
  <c r="L90" i="2"/>
  <c r="D99" i="2"/>
  <c r="L9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Ahmed Wael</author>
  </authors>
  <commentList>
    <comment ref="F170" authorId="0" shapeId="0" xr:uid="{6ECCBB9C-BF59-4DB8-978C-7E7F325809BE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total D&amp;A − amortization from Note 7</t>
        </r>
      </text>
    </comment>
  </commentList>
</comments>
</file>

<file path=xl/sharedStrings.xml><?xml version="1.0" encoding="utf-8"?>
<sst xmlns="http://schemas.openxmlformats.org/spreadsheetml/2006/main" count="328" uniqueCount="273">
  <si>
    <t>Company Name</t>
  </si>
  <si>
    <t>Ticker</t>
  </si>
  <si>
    <t>Last Historical Year</t>
  </si>
  <si>
    <t>Profit Before Tax</t>
  </si>
  <si>
    <t>ASSETS</t>
  </si>
  <si>
    <t>Current Assets</t>
  </si>
  <si>
    <t>Total Current Assets</t>
  </si>
  <si>
    <t>Non-Current Assets</t>
  </si>
  <si>
    <t>Total Non-Current Assets</t>
  </si>
  <si>
    <t>Total Assets</t>
  </si>
  <si>
    <t>LIABILITIES AND EQUITY</t>
  </si>
  <si>
    <t>Current Liabilities</t>
  </si>
  <si>
    <t>Provisions</t>
  </si>
  <si>
    <t>Creditors and other credit balances</t>
  </si>
  <si>
    <t>Total Current Liabilities</t>
  </si>
  <si>
    <t>Non-Current Liabilities</t>
  </si>
  <si>
    <t>Total Non-Current Liabilities</t>
  </si>
  <si>
    <t>Total Liabilities</t>
  </si>
  <si>
    <t>Equity</t>
  </si>
  <si>
    <t>Retained earnings</t>
  </si>
  <si>
    <t>Total Equity</t>
  </si>
  <si>
    <t>Total Liabilites &amp; Equity</t>
  </si>
  <si>
    <t>Balance Check</t>
  </si>
  <si>
    <t>(+/-) Change in Provisions</t>
  </si>
  <si>
    <t>Operating Cash Flow Before WC Changes</t>
  </si>
  <si>
    <t>Cash Generated from Operations</t>
  </si>
  <si>
    <t>Net Cash Inflow from Operating Activities</t>
  </si>
  <si>
    <t>CASH FLOWS FROM INVESTING ACTIVITIES</t>
  </si>
  <si>
    <t>Net Cash Used in Investing Activities</t>
  </si>
  <si>
    <t>CASH FLOWS FROM FINANCING ACTIVITIES</t>
  </si>
  <si>
    <t>(+/-) Change in Borrowings &amp; Overdraft</t>
  </si>
  <si>
    <t>(+/-) Lease Payments</t>
  </si>
  <si>
    <t>Net Cash Used in Financing Activities</t>
  </si>
  <si>
    <t>Reconciliation Check vs BS Cash</t>
  </si>
  <si>
    <t>Depreciation &amp; amortization</t>
  </si>
  <si>
    <t>EBITDA</t>
  </si>
  <si>
    <t>Revenue growth</t>
  </si>
  <si>
    <t>Gross profit margin</t>
  </si>
  <si>
    <t>Tax rate</t>
  </si>
  <si>
    <t>Growth Rates &amp; Margins</t>
  </si>
  <si>
    <t>Net change in cash during period</t>
  </si>
  <si>
    <t>Latest Closing Share Price</t>
  </si>
  <si>
    <t>Latest Closing Share Price Date</t>
  </si>
  <si>
    <t>G&amp;A % of sales</t>
  </si>
  <si>
    <t>Inventory</t>
  </si>
  <si>
    <t>Non-controlling interest</t>
  </si>
  <si>
    <t>Shares outstanding</t>
  </si>
  <si>
    <t>Net income</t>
  </si>
  <si>
    <t>PROPERTY, PLANT &amp; EQUIPMENT</t>
  </si>
  <si>
    <t>Beginning of period</t>
  </si>
  <si>
    <t>Plus: Capital expenditures</t>
  </si>
  <si>
    <t>Less: Depreciation</t>
  </si>
  <si>
    <t>End of period</t>
  </si>
  <si>
    <t>IMPUTING TOTAL DEPRECIATION &amp; AMORTIZATION</t>
  </si>
  <si>
    <t>D&amp;A not related to PP&amp;E</t>
  </si>
  <si>
    <t>as % of revenue</t>
  </si>
  <si>
    <t xml:space="preserve">Depreciation &amp; Amortization - Total </t>
  </si>
  <si>
    <t>Less: D&amp;A not related to PP&amp;E</t>
  </si>
  <si>
    <t xml:space="preserve">Plus: Additions </t>
  </si>
  <si>
    <t>OTHER NON-CURRENT ASSETS</t>
  </si>
  <si>
    <t>Dividend payout ratio</t>
  </si>
  <si>
    <t>% growth</t>
  </si>
  <si>
    <t>Basic EPS (EGP)</t>
  </si>
  <si>
    <t>INCOME STATEMENT</t>
  </si>
  <si>
    <t xml:space="preserve">Fiscal year  </t>
  </si>
  <si>
    <t>Fiscal year end date</t>
  </si>
  <si>
    <t>BALANCE SHEET</t>
  </si>
  <si>
    <t>CASH FLOW STATEMENT</t>
  </si>
  <si>
    <t>Discounted Cash Flow Valuation</t>
  </si>
  <si>
    <t>Most recent fiscal year end</t>
  </si>
  <si>
    <t>Discount rate (WACC)</t>
  </si>
  <si>
    <t>Link from WACC</t>
  </si>
  <si>
    <t>End of first fiscal year</t>
  </si>
  <si>
    <t>Share price (Public Co)</t>
  </si>
  <si>
    <t>Most recent quarter end date</t>
  </si>
  <si>
    <t>Share price date</t>
  </si>
  <si>
    <t xml:space="preserve">Valuation date </t>
  </si>
  <si>
    <t>Portion of First Year Cash Flows</t>
  </si>
  <si>
    <t>Unlevered Free Cash Flows</t>
  </si>
  <si>
    <t>LTM</t>
  </si>
  <si>
    <t>Actual</t>
  </si>
  <si>
    <t>Forecasts</t>
  </si>
  <si>
    <t>Fiscal year ended</t>
  </si>
  <si>
    <t>Revenue</t>
  </si>
  <si>
    <t>% margin</t>
  </si>
  <si>
    <t>EBIT</t>
  </si>
  <si>
    <t>Tax on EBIT</t>
  </si>
  <si>
    <t>NOPAT (aka EBIAT)</t>
  </si>
  <si>
    <t>Changes in net working capital</t>
  </si>
  <si>
    <t>Capital expenditures</t>
  </si>
  <si>
    <t>Unlevered free cash flows (UFCF)</t>
  </si>
  <si>
    <t>Net working capital (WC Assets - WC liabilities)</t>
  </si>
  <si>
    <t>Val date</t>
  </si>
  <si>
    <t xml:space="preserve">Yr 1 - Stub </t>
  </si>
  <si>
    <t>Year 2</t>
  </si>
  <si>
    <t>Year 3</t>
  </si>
  <si>
    <t>Year 4</t>
  </si>
  <si>
    <t>Year 5</t>
  </si>
  <si>
    <t>Date for discounting cash flows</t>
  </si>
  <si>
    <t>Unlevered free cash flows (UFCF) stub adjusted</t>
  </si>
  <si>
    <t>Present value of of unlevered free cash flows</t>
  </si>
  <si>
    <t>Terminal value - growth in perpetuity approach</t>
  </si>
  <si>
    <t>Terminal value - EBITDA multiple approach</t>
  </si>
  <si>
    <t>Long term growth rate</t>
  </si>
  <si>
    <t>Terminal year EBITDA</t>
  </si>
  <si>
    <t>EBITDA multiple</t>
  </si>
  <si>
    <t>Present value of terminal value</t>
  </si>
  <si>
    <t>Present value of stage 1 cash flows</t>
  </si>
  <si>
    <t>Total enterprise value (TEV)</t>
  </si>
  <si>
    <t>Enterprise value (stage 1 + 2)</t>
  </si>
  <si>
    <t>Terminal value as % of TEV</t>
  </si>
  <si>
    <t>Stage 1 cash flows as % of TEV</t>
  </si>
  <si>
    <t>Cash flows as % of TEV</t>
  </si>
  <si>
    <t>Implied TV exit EBITDA multiple</t>
  </si>
  <si>
    <t>Implied terminal growth rate</t>
  </si>
  <si>
    <t>Net debt</t>
  </si>
  <si>
    <t>Source doc</t>
  </si>
  <si>
    <t>Source date</t>
  </si>
  <si>
    <t>Date</t>
  </si>
  <si>
    <t>Shares</t>
  </si>
  <si>
    <t>Gross debt and equivalents</t>
  </si>
  <si>
    <t>Basic shares</t>
  </si>
  <si>
    <t>Debt</t>
  </si>
  <si>
    <t>Restricted stock / RSUs</t>
  </si>
  <si>
    <t>Convertible debt</t>
  </si>
  <si>
    <t>Options / warrants</t>
  </si>
  <si>
    <t>Preferred stock</t>
  </si>
  <si>
    <t>Noncontrolling (minority) interests</t>
  </si>
  <si>
    <t>Convertible preferred stock</t>
  </si>
  <si>
    <t>Nonoperating assets</t>
  </si>
  <si>
    <t>Net diluted shares outstanding</t>
  </si>
  <si>
    <t xml:space="preserve">Cash </t>
  </si>
  <si>
    <t xml:space="preserve">Equity investments </t>
  </si>
  <si>
    <t>Valuation</t>
  </si>
  <si>
    <t>Perpetuity</t>
  </si>
  <si>
    <t>Enterprise value</t>
  </si>
  <si>
    <t xml:space="preserve">Equity value </t>
  </si>
  <si>
    <t>Equity value per share</t>
  </si>
  <si>
    <t>Last twelve months (LTM)</t>
  </si>
  <si>
    <t>EV / Revenue</t>
  </si>
  <si>
    <t xml:space="preserve">EV / EBITDA </t>
  </si>
  <si>
    <t>EV / EBIT</t>
  </si>
  <si>
    <t>Year 1</t>
  </si>
  <si>
    <t>Outputs</t>
  </si>
  <si>
    <t>LTM EBITDA multiple</t>
  </si>
  <si>
    <t>Long term growth rate (g):</t>
  </si>
  <si>
    <t>WACC:</t>
  </si>
  <si>
    <t xml:space="preserve">Data </t>
  </si>
  <si>
    <t>Tables</t>
  </si>
  <si>
    <t>Exit EBITDA Multiple</t>
  </si>
  <si>
    <t>Equity value range</t>
  </si>
  <si>
    <t>Football field</t>
  </si>
  <si>
    <t>Low</t>
  </si>
  <si>
    <t>Diff.</t>
  </si>
  <si>
    <t>High</t>
  </si>
  <si>
    <t>52 Week Market High/Low</t>
  </si>
  <si>
    <t>WACC Buildup</t>
  </si>
  <si>
    <t>Cost of capital assumptions</t>
  </si>
  <si>
    <t>Cost of debt</t>
  </si>
  <si>
    <t>Cost of debt (after tax)</t>
  </si>
  <si>
    <t xml:space="preserve">Risk free rate </t>
  </si>
  <si>
    <t xml:space="preserve">Beta </t>
  </si>
  <si>
    <t>Market risk premium</t>
  </si>
  <si>
    <t>Cost of equity</t>
  </si>
  <si>
    <t>Capital weights (capital structure)</t>
  </si>
  <si>
    <t xml:space="preserve">Target </t>
  </si>
  <si>
    <t xml:space="preserve">Current </t>
  </si>
  <si>
    <t>(override)</t>
  </si>
  <si>
    <t>% of total</t>
  </si>
  <si>
    <t>Cost of capital (WACC)</t>
  </si>
  <si>
    <t>CapEx % of revenue</t>
  </si>
  <si>
    <t>D&amp;A as % of PP&amp;E (avg of BOP and EOP)</t>
  </si>
  <si>
    <t>All amounts are shown in Egyptian pounds, except per-share data, ratios, and shares outstanding</t>
  </si>
  <si>
    <t>EBITDA margin %</t>
  </si>
  <si>
    <t>NCI share of NI</t>
  </si>
  <si>
    <t>D&amp;A % of BOP PP&amp;E</t>
  </si>
  <si>
    <t xml:space="preserve">5 Year </t>
  </si>
  <si>
    <t>CAGR</t>
  </si>
  <si>
    <t>FWRY.CA</t>
  </si>
  <si>
    <t>Fawry for Banking Technology and Electronic Payments S.A.E.</t>
  </si>
  <si>
    <t>Operating revenues</t>
  </si>
  <si>
    <t>Operating costs (enter as -)</t>
  </si>
  <si>
    <t>Gross margin</t>
  </si>
  <si>
    <t>General &amp; administrative expenses (-)</t>
  </si>
  <si>
    <t>Selling &amp; marketing expenses (-)</t>
  </si>
  <si>
    <t>ESOP expense (-)</t>
  </si>
  <si>
    <t>Board of directors allowances (-)</t>
  </si>
  <si>
    <t>Social contribution – health &amp; insurance (-)</t>
  </si>
  <si>
    <t>Provisions formed (-)</t>
  </si>
  <si>
    <t>Impairment loss on customer loans (-)</t>
  </si>
  <si>
    <t>Expected credit loss / (reverse)</t>
  </si>
  <si>
    <t>Revaluation gain – FV through P&amp;L</t>
  </si>
  <si>
    <t>Finance costs (-)</t>
  </si>
  <si>
    <t>Credit interest income</t>
  </si>
  <si>
    <t>FX gain / (loss)</t>
  </si>
  <si>
    <t>Gain on disposal of fixed assets</t>
  </si>
  <si>
    <t>Other revenues</t>
  </si>
  <si>
    <t>Operating Profit</t>
  </si>
  <si>
    <t>Group's share of associates / JV profit (loss)</t>
  </si>
  <si>
    <t>Effect of change from investment in associate</t>
  </si>
  <si>
    <t>Taxes (enter as -)</t>
  </si>
  <si>
    <t>Net Profit After Tax</t>
  </si>
  <si>
    <t>o/w Non-controlling interest</t>
  </si>
  <si>
    <t>o/w Parent company</t>
  </si>
  <si>
    <t>Fixed assets</t>
  </si>
  <si>
    <t>Intangible assets</t>
  </si>
  <si>
    <t>Projects under construction</t>
  </si>
  <si>
    <t>Goodwill</t>
  </si>
  <si>
    <t>Deferred tax assets</t>
  </si>
  <si>
    <t>Loans &amp; facilities to customers — non-current</t>
  </si>
  <si>
    <t>Investments in associate and joint ventures</t>
  </si>
  <si>
    <t>Investments at fair value through OCI</t>
  </si>
  <si>
    <t>Investments at fair value through P&amp;L</t>
  </si>
  <si>
    <t>Accounts and notes receivable</t>
  </si>
  <si>
    <t>Loans &amp; facilities to customers — current</t>
  </si>
  <si>
    <t>Advances to billers</t>
  </si>
  <si>
    <t>Debtors and other debit balances</t>
  </si>
  <si>
    <t>Due from related parties</t>
  </si>
  <si>
    <t>Treasury bills</t>
  </si>
  <si>
    <t>Cash and cash at banks</t>
  </si>
  <si>
    <t>Issued and paid-up capital</t>
  </si>
  <si>
    <t>Legal reserve</t>
  </si>
  <si>
    <t>Employee stock ownership shares</t>
  </si>
  <si>
    <t>Reserve for ESOP plan</t>
  </si>
  <si>
    <t>Combination reserve</t>
  </si>
  <si>
    <t>Revaluation reserve for FV through OCI</t>
  </si>
  <si>
    <t>Total equity of parent company</t>
  </si>
  <si>
    <t>Deferred tax liability</t>
  </si>
  <si>
    <t>Long-term loans</t>
  </si>
  <si>
    <t>Lease liabilities — non-current</t>
  </si>
  <si>
    <t>Banks overdraft</t>
  </si>
  <si>
    <t>Short-term loans</t>
  </si>
  <si>
    <t>Accounts and notes payable</t>
  </si>
  <si>
    <t>Accounts and notes payable — billers</t>
  </si>
  <si>
    <t>Merchants advances</t>
  </si>
  <si>
    <t>Retailer's POS security deposits</t>
  </si>
  <si>
    <t>Lease liabilities — current</t>
  </si>
  <si>
    <t>Current income tax</t>
  </si>
  <si>
    <t>(+) D&amp;A</t>
  </si>
  <si>
    <t>(Inc)/Dec Inventory</t>
  </si>
  <si>
    <t>(Inc)/Dec Receivables (AR + advances to billers + debtors)</t>
  </si>
  <si>
    <t>Inc/(Dec) Payables (AP + biller payables + merchant advances + POS + creditors)</t>
  </si>
  <si>
    <t>Other WC (loans to customers net + current tax + deferred tax net)</t>
  </si>
  <si>
    <t>(-) CapEx (PP&amp;E + intangibles + PUC, net of D&amp;A)</t>
  </si>
  <si>
    <t>(+/-) Net Investments (goodwill + associate + FVOCI + FVPL)</t>
  </si>
  <si>
    <t>(-) Net change in Treasury bills (relabel this line)</t>
  </si>
  <si>
    <t>(-) Dividends Paid (+ equity movements)</t>
  </si>
  <si>
    <t>Price / volume build</t>
  </si>
  <si>
    <t>Alternative Digital Payments</t>
  </si>
  <si>
    <t>Acceptance</t>
  </si>
  <si>
    <t>Agent Banking</t>
  </si>
  <si>
    <t>Financial Services (Lending/Other)</t>
  </si>
  <si>
    <t>Supply Chain Solutions</t>
  </si>
  <si>
    <t>Technology &amp; Others</t>
  </si>
  <si>
    <t>Total Operating Revenue</t>
  </si>
  <si>
    <t>Check vs IS (row 16)</t>
  </si>
  <si>
    <t>ADP</t>
  </si>
  <si>
    <t>Financial Services (NBFI)</t>
  </si>
  <si>
    <t>Supply Chain</t>
  </si>
  <si>
    <t>Loans schedule</t>
  </si>
  <si>
    <t>Gross loans (MF + BNPL)</t>
  </si>
  <si>
    <t>Less: ECL provision</t>
  </si>
  <si>
    <t>Net loans</t>
  </si>
  <si>
    <t>Check vs BS (rows 73 + 88)</t>
  </si>
  <si>
    <t>Gross loan growth %</t>
  </si>
  <si>
    <t>ECL % of gross</t>
  </si>
  <si>
    <t>Current % of net loans</t>
  </si>
  <si>
    <t>Effective yield (credit int ÷ avg net loans)</t>
  </si>
  <si>
    <t>Additions % of Revenue</t>
  </si>
  <si>
    <t>Amortization % of BOP</t>
  </si>
  <si>
    <t>(−) Net loans</t>
  </si>
  <si>
    <t>Implied Share Price</t>
  </si>
  <si>
    <t>Upside / (Downside)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</si>
</sst>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7" formatCode="&quot;$&quot;#,##0.00_);\(&quot;$&quot;#,##0.00\)"/>
    <numFmt numFmtId="41" formatCode="_(* #,##0_);_(* \(#,##0\);_(* &quot;-&quot;_);_(@_)"/>
    <numFmt numFmtId="164" formatCode="&quot;FY&quot;yy"/>
    <numFmt numFmtId="165" formatCode="0.0%"/>
    <numFmt numFmtId="166" formatCode="_(* #,##0.00_);_(* \(#,##0.00\);_(* \-??_);_(@_)"/>
    <numFmt numFmtId="167" formatCode="_(* #,##0_);_(* \(#,##0\);_(* \-??_);_(@_)"/>
    <numFmt numFmtId="168" formatCode="_(* #,##0_);_(* \(#,##0\);_(* \-_);_(@_)"/>
    <numFmt numFmtId="169" formatCode="_(* #,##0_);_(* \(#,##0\);_(* &quot;-&quot;??_);_(@_)"/>
    <numFmt numFmtId="170" formatCode="#,##0.000_);\(#,##0.000\)"/>
    <numFmt numFmtId="171" formatCode="m/d/yy;@"/>
    <numFmt numFmtId="172" formatCode="0\A;[Red]0\A"/>
    <numFmt numFmtId="173" formatCode="0\P_);\(0\P\)"/>
    <numFmt numFmtId="174" formatCode="0.0%_);\(0.0%\);@_)"/>
    <numFmt numFmtId="175" formatCode="_(#,##0.0%_);\(#,##0.0%\);_(&quot;–&quot;_)_%;_(@_)_%"/>
    <numFmt numFmtId="176" formatCode="0000\A"/>
    <numFmt numFmtId="177" formatCode="0000\P"/>
    <numFmt numFmtId="178" formatCode="#,##0_);\(#,##0\);@_)"/>
    <numFmt numFmtId="179" formatCode="0.0\x_);\(0.0\x\);@_)"/>
    <numFmt numFmtId="180" formatCode="0.000%_);\(0.000%\);@_)"/>
    <numFmt numFmtId="181" formatCode="#,##0.000_);\(#,##0.000\);@_)"/>
    <numFmt numFmtId="182" formatCode="_([$$]#,##0_)_%;\([$$]#,##0\)_%;_(&quot;–&quot;_)_%;_(@_)_%"/>
    <numFmt numFmtId="183" formatCode="&quot;$&quot;#,##0.00_);\(&quot;$&quot;#,##0.00\);@_)"/>
    <numFmt numFmtId="184" formatCode="_(0.0\x_)_';_(\(0.0\x\)_';_(&quot;–&quot;_)_%;_(@_)_%"/>
    <numFmt numFmtId="185" formatCode="_(0.0_)_'_x;_(\(0.0\)_';_(&quot;–&quot;_)_%;_(@_)_%"/>
    <numFmt numFmtId="186" formatCode="#,##0.00_);\(#,##0.00\);\-_);@_)"/>
    <numFmt numFmtId="187" formatCode="#,##0.0_);\(#,##0.0\);\-_);@_)"/>
    <numFmt numFmtId="188" formatCode="_(#,##0.00%_);\(#,##0.00%\);_(&quot;–&quot;_)_%;_(@_)_%"/>
    <numFmt numFmtId="189" formatCode="[$EGP]\ #,##0.00_);\([$EGP]\ #,##0.00\)"/>
    <numFmt numFmtId="190" formatCode="[$EGP]\ #,##0.00_);[Red]\([$EGP]\ #,##0.00\)"/>
    <numFmt numFmtId="196" formatCode="_(* #,##0.0_);_(* \(#,##0.0\);_(* \-??_);_(@_)"/>
  </numFmts>
  <fonts count="37" x14ac:knownFonts="1">
    <font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  <font>
      <b/>
      <sz val="11"/>
      <color theme="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sz val="11"/>
      <color theme="4" tint="-0.249977111117893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i/>
      <sz val="11"/>
      <color theme="1"/>
      <name val="Calibri"/>
      <family val="2"/>
    </font>
    <font>
      <sz val="11"/>
      <color theme="0"/>
      <name val="Calibri"/>
      <family val="2"/>
    </font>
    <font>
      <i/>
      <sz val="11"/>
      <color theme="1"/>
      <name val="Calibri"/>
      <family val="2"/>
      <scheme val="minor"/>
    </font>
    <font>
      <i/>
      <sz val="11"/>
      <name val="Calibri"/>
      <family val="2"/>
    </font>
    <font>
      <i/>
      <sz val="9"/>
      <color rgb="FF000000"/>
      <name val="Calibri"/>
      <family val="2"/>
      <scheme val="minor"/>
    </font>
    <font>
      <sz val="10"/>
      <name val="Times New Roman"/>
      <family val="1"/>
    </font>
    <font>
      <sz val="11"/>
      <color rgb="FF008000"/>
      <name val="Calibri"/>
      <family val="2"/>
      <scheme val="minor"/>
    </font>
    <font>
      <u/>
      <sz val="11"/>
      <color theme="10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singleAccounting"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0000"/>
      <name val="Calibri"/>
      <family val="2"/>
    </font>
    <font>
      <sz val="11"/>
      <color theme="4" tint="-0.249977111117893"/>
      <name val="Calibri"/>
      <family val="2"/>
      <charset val="1"/>
    </font>
    <font>
      <sz val="11"/>
      <name val="Calibri"/>
      <family val="2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2F2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rgb="FFC0C0C0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6">
    <xf numFmtId="0" fontId="0" fillId="0" borderId="0"/>
    <xf numFmtId="166" fontId="3" fillId="0" borderId="0"/>
    <xf numFmtId="9" fontId="3" fillId="0" borderId="0"/>
    <xf numFmtId="0" fontId="2" fillId="0" borderId="0"/>
    <xf numFmtId="37" fontId="22" fillId="0" borderId="0"/>
    <xf numFmtId="0" fontId="24" fillId="0" borderId="0" applyNumberFormat="0" applyFill="0" applyBorder="0" applyAlignment="0" applyProtection="0"/>
  </cellStyleXfs>
  <cellXfs count="288">
    <xf numFmtId="0" fontId="0" fillId="0" borderId="0" xfId="0"/>
    <xf numFmtId="165" fontId="3" fillId="0" borderId="0" xfId="2" applyNumberFormat="1"/>
    <xf numFmtId="0" fontId="4" fillId="0" borderId="4" xfId="0" applyFont="1" applyBorder="1"/>
    <xf numFmtId="14" fontId="5" fillId="0" borderId="0" xfId="0" applyNumberFormat="1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center"/>
    </xf>
    <xf numFmtId="14" fontId="7" fillId="0" borderId="0" xfId="0" applyNumberFormat="1" applyFont="1" applyAlignment="1">
      <alignment horizontal="center"/>
    </xf>
    <xf numFmtId="171" fontId="7" fillId="0" borderId="0" xfId="0" applyNumberFormat="1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 vertical="center"/>
    </xf>
    <xf numFmtId="0" fontId="8" fillId="0" borderId="4" xfId="0" applyFont="1" applyBorder="1"/>
    <xf numFmtId="0" fontId="8" fillId="0" borderId="5" xfId="0" applyFont="1" applyBorder="1"/>
    <xf numFmtId="167" fontId="11" fillId="0" borderId="0" xfId="1" applyNumberFormat="1" applyFont="1"/>
    <xf numFmtId="168" fontId="12" fillId="0" borderId="0" xfId="1" applyNumberFormat="1" applyFont="1"/>
    <xf numFmtId="169" fontId="8" fillId="0" borderId="0" xfId="0" applyNumberFormat="1" applyFont="1"/>
    <xf numFmtId="0" fontId="13" fillId="0" borderId="1" xfId="0" applyFont="1" applyBorder="1"/>
    <xf numFmtId="167" fontId="13" fillId="0" borderId="1" xfId="1" applyNumberFormat="1" applyFont="1" applyBorder="1"/>
    <xf numFmtId="167" fontId="13" fillId="0" borderId="3" xfId="1" applyNumberFormat="1" applyFont="1" applyBorder="1"/>
    <xf numFmtId="0" fontId="13" fillId="0" borderId="0" xfId="0" applyFont="1"/>
    <xf numFmtId="167" fontId="13" fillId="0" borderId="0" xfId="1" applyNumberFormat="1" applyFont="1"/>
    <xf numFmtId="169" fontId="8" fillId="0" borderId="0" xfId="2" applyNumberFormat="1" applyFont="1"/>
    <xf numFmtId="165" fontId="9" fillId="0" borderId="0" xfId="2" applyNumberFormat="1" applyFont="1"/>
    <xf numFmtId="0" fontId="13" fillId="0" borderId="3" xfId="0" applyFont="1" applyBorder="1"/>
    <xf numFmtId="0" fontId="8" fillId="0" borderId="0" xfId="0" applyFont="1" applyAlignment="1">
      <alignment horizontal="left" indent="1"/>
    </xf>
    <xf numFmtId="167" fontId="8" fillId="0" borderId="0" xfId="0" applyNumberFormat="1" applyFont="1"/>
    <xf numFmtId="0" fontId="8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167" fontId="8" fillId="0" borderId="0" xfId="1" applyNumberFormat="1" applyFont="1"/>
    <xf numFmtId="166" fontId="8" fillId="0" borderId="0" xfId="1" applyFont="1"/>
    <xf numFmtId="0" fontId="15" fillId="0" borderId="2" xfId="0" applyFont="1" applyBorder="1"/>
    <xf numFmtId="167" fontId="13" fillId="0" borderId="2" xfId="1" applyNumberFormat="1" applyFont="1" applyBorder="1"/>
    <xf numFmtId="165" fontId="8" fillId="0" borderId="0" xfId="2" applyNumberFormat="1" applyFont="1"/>
    <xf numFmtId="165" fontId="12" fillId="0" borderId="0" xfId="0" applyNumberFormat="1" applyFont="1"/>
    <xf numFmtId="1" fontId="8" fillId="0" borderId="0" xfId="2" applyNumberFormat="1" applyFont="1"/>
    <xf numFmtId="168" fontId="8" fillId="0" borderId="0" xfId="1" applyNumberFormat="1" applyFont="1"/>
    <xf numFmtId="0" fontId="11" fillId="0" borderId="0" xfId="0" applyFont="1" applyAlignment="1">
      <alignment horizontal="left" indent="1"/>
    </xf>
    <xf numFmtId="166" fontId="8" fillId="0" borderId="0" xfId="0" applyNumberFormat="1" applyFont="1"/>
    <xf numFmtId="167" fontId="13" fillId="0" borderId="0" xfId="0" applyNumberFormat="1" applyFont="1"/>
    <xf numFmtId="0" fontId="13" fillId="0" borderId="1" xfId="0" applyFont="1" applyBorder="1" applyAlignment="1">
      <alignment horizontal="left"/>
    </xf>
    <xf numFmtId="0" fontId="17" fillId="0" borderId="0" xfId="0" applyFont="1" applyAlignment="1">
      <alignment horizontal="center" vertical="center"/>
    </xf>
    <xf numFmtId="168" fontId="11" fillId="0" borderId="0" xfId="1" applyNumberFormat="1" applyFont="1"/>
    <xf numFmtId="168" fontId="8" fillId="0" borderId="0" xfId="0" applyNumberFormat="1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indent="2"/>
    </xf>
    <xf numFmtId="168" fontId="14" fillId="0" borderId="3" xfId="1" applyNumberFormat="1" applyFont="1" applyBorder="1"/>
    <xf numFmtId="0" fontId="18" fillId="0" borderId="0" xfId="0" applyFont="1"/>
    <xf numFmtId="0" fontId="10" fillId="0" borderId="0" xfId="0" applyFont="1"/>
    <xf numFmtId="0" fontId="18" fillId="0" borderId="0" xfId="0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0" fontId="11" fillId="0" borderId="0" xfId="0" applyFont="1"/>
    <xf numFmtId="168" fontId="11" fillId="0" borderId="0" xfId="0" applyNumberFormat="1" applyFont="1" applyAlignment="1">
      <alignment horizontal="center" vertical="center"/>
    </xf>
    <xf numFmtId="10" fontId="8" fillId="0" borderId="0" xfId="2" applyNumberFormat="1" applyFont="1"/>
    <xf numFmtId="0" fontId="13" fillId="0" borderId="3" xfId="0" applyFont="1" applyBorder="1" applyAlignment="1">
      <alignment horizontal="left"/>
    </xf>
    <xf numFmtId="0" fontId="4" fillId="0" borderId="6" xfId="0" applyFont="1" applyBorder="1"/>
    <xf numFmtId="0" fontId="0" fillId="0" borderId="6" xfId="0" applyBorder="1"/>
    <xf numFmtId="172" fontId="4" fillId="0" borderId="0" xfId="0" applyNumberFormat="1" applyFont="1"/>
    <xf numFmtId="173" fontId="4" fillId="0" borderId="0" xfId="0" applyNumberFormat="1" applyFont="1"/>
    <xf numFmtId="0" fontId="19" fillId="0" borderId="6" xfId="0" applyFont="1" applyBorder="1"/>
    <xf numFmtId="171" fontId="19" fillId="0" borderId="2" xfId="0" applyNumberFormat="1" applyFont="1" applyBorder="1"/>
    <xf numFmtId="0" fontId="14" fillId="0" borderId="0" xfId="0" applyFont="1"/>
    <xf numFmtId="171" fontId="19" fillId="0" borderId="6" xfId="0" applyNumberFormat="1" applyFont="1" applyBorder="1"/>
    <xf numFmtId="0" fontId="20" fillId="0" borderId="0" xfId="0" applyFont="1" applyAlignment="1">
      <alignment horizontal="center" vertical="center"/>
    </xf>
    <xf numFmtId="164" fontId="14" fillId="0" borderId="0" xfId="0" applyNumberFormat="1" applyFont="1" applyAlignment="1">
      <alignment horizontal="center" vertical="center"/>
    </xf>
    <xf numFmtId="0" fontId="0" fillId="0" borderId="3" xfId="0" applyBorder="1"/>
    <xf numFmtId="172" fontId="4" fillId="0" borderId="3" xfId="0" applyNumberFormat="1" applyFont="1" applyBorder="1"/>
    <xf numFmtId="173" fontId="4" fillId="0" borderId="3" xfId="0" applyNumberFormat="1" applyFont="1" applyBorder="1"/>
    <xf numFmtId="0" fontId="2" fillId="0" borderId="0" xfId="3"/>
    <xf numFmtId="0" fontId="4" fillId="0" borderId="4" xfId="3" applyFont="1" applyBorder="1"/>
    <xf numFmtId="0" fontId="2" fillId="0" borderId="4" xfId="3" applyBorder="1"/>
    <xf numFmtId="0" fontId="21" fillId="0" borderId="5" xfId="3" applyFont="1" applyBorder="1"/>
    <xf numFmtId="14" fontId="7" fillId="0" borderId="0" xfId="4" applyNumberFormat="1" applyFont="1" applyAlignment="1">
      <alignment horizontal="right"/>
    </xf>
    <xf numFmtId="174" fontId="23" fillId="0" borderId="0" xfId="3" applyNumberFormat="1" applyFont="1"/>
    <xf numFmtId="14" fontId="6" fillId="0" borderId="0" xfId="4" applyNumberFormat="1" applyFont="1" applyAlignment="1">
      <alignment horizontal="right"/>
    </xf>
    <xf numFmtId="14" fontId="7" fillId="0" borderId="0" xfId="3" applyNumberFormat="1" applyFont="1" applyAlignment="1">
      <alignment horizontal="right"/>
    </xf>
    <xf numFmtId="0" fontId="24" fillId="0" borderId="0" xfId="5" applyBorder="1"/>
    <xf numFmtId="175" fontId="6" fillId="0" borderId="0" xfId="3" applyNumberFormat="1" applyFont="1"/>
    <xf numFmtId="7" fontId="23" fillId="0" borderId="0" xfId="3" applyNumberFormat="1" applyFont="1" applyAlignment="1">
      <alignment horizontal="right"/>
    </xf>
    <xf numFmtId="0" fontId="4" fillId="0" borderId="7" xfId="3" applyFont="1" applyBorder="1"/>
    <xf numFmtId="0" fontId="2" fillId="0" borderId="7" xfId="3" applyBorder="1"/>
    <xf numFmtId="7" fontId="23" fillId="0" borderId="7" xfId="3" applyNumberFormat="1" applyFont="1" applyBorder="1" applyAlignment="1">
      <alignment horizontal="right"/>
    </xf>
    <xf numFmtId="0" fontId="25" fillId="0" borderId="0" xfId="3" applyFont="1" applyAlignment="1">
      <alignment horizontal="centerContinuous"/>
    </xf>
    <xf numFmtId="0" fontId="26" fillId="0" borderId="8" xfId="3" applyFont="1" applyBorder="1" applyAlignment="1">
      <alignment horizontal="centerContinuous"/>
    </xf>
    <xf numFmtId="0" fontId="19" fillId="0" borderId="0" xfId="3" applyFont="1"/>
    <xf numFmtId="14" fontId="2" fillId="0" borderId="0" xfId="3" applyNumberFormat="1" applyAlignment="1">
      <alignment horizontal="center"/>
    </xf>
    <xf numFmtId="171" fontId="2" fillId="0" borderId="9" xfId="3" applyNumberFormat="1" applyBorder="1" applyAlignment="1">
      <alignment horizontal="center"/>
    </xf>
    <xf numFmtId="171" fontId="2" fillId="0" borderId="10" xfId="3" applyNumberFormat="1" applyBorder="1" applyAlignment="1">
      <alignment horizontal="center"/>
    </xf>
    <xf numFmtId="171" fontId="2" fillId="0" borderId="0" xfId="3" applyNumberFormat="1" applyAlignment="1">
      <alignment horizontal="center"/>
    </xf>
    <xf numFmtId="178" fontId="6" fillId="0" borderId="0" xfId="3" applyNumberFormat="1" applyFont="1"/>
    <xf numFmtId="178" fontId="23" fillId="0" borderId="0" xfId="3" applyNumberFormat="1" applyFont="1"/>
    <xf numFmtId="0" fontId="2" fillId="0" borderId="0" xfId="3" applyAlignment="1">
      <alignment horizontal="left" indent="1"/>
    </xf>
    <xf numFmtId="0" fontId="4" fillId="0" borderId="0" xfId="3" applyFont="1"/>
    <xf numFmtId="178" fontId="27" fillId="0" borderId="0" xfId="3" applyNumberFormat="1" applyFont="1"/>
    <xf numFmtId="178" fontId="2" fillId="0" borderId="0" xfId="3" applyNumberFormat="1"/>
    <xf numFmtId="37" fontId="6" fillId="0" borderId="0" xfId="3" applyNumberFormat="1" applyFont="1"/>
    <xf numFmtId="178" fontId="23" fillId="0" borderId="7" xfId="3" applyNumberFormat="1" applyFont="1" applyBorder="1"/>
    <xf numFmtId="178" fontId="26" fillId="0" borderId="7" xfId="3" applyNumberFormat="1" applyFont="1" applyBorder="1" applyAlignment="1">
      <alignment horizontal="center"/>
    </xf>
    <xf numFmtId="178" fontId="26" fillId="0" borderId="0" xfId="3" applyNumberFormat="1" applyFont="1"/>
    <xf numFmtId="14" fontId="2" fillId="0" borderId="0" xfId="3" applyNumberFormat="1"/>
    <xf numFmtId="175" fontId="2" fillId="0" borderId="0" xfId="3" applyNumberFormat="1" applyAlignment="1">
      <alignment horizontal="center"/>
    </xf>
    <xf numFmtId="178" fontId="6" fillId="0" borderId="7" xfId="3" applyNumberFormat="1" applyFont="1" applyBorder="1"/>
    <xf numFmtId="0" fontId="27" fillId="0" borderId="0" xfId="3" applyFont="1"/>
    <xf numFmtId="175" fontId="7" fillId="0" borderId="0" xfId="3" applyNumberFormat="1" applyFont="1"/>
    <xf numFmtId="177" fontId="2" fillId="0" borderId="0" xfId="3" applyNumberFormat="1"/>
    <xf numFmtId="179" fontId="7" fillId="0" borderId="0" xfId="3" applyNumberFormat="1" applyFont="1"/>
    <xf numFmtId="178" fontId="4" fillId="0" borderId="0" xfId="3" applyNumberFormat="1" applyFont="1"/>
    <xf numFmtId="0" fontId="19" fillId="0" borderId="0" xfId="3" applyFont="1" applyAlignment="1">
      <alignment horizontal="left"/>
    </xf>
    <xf numFmtId="175" fontId="19" fillId="0" borderId="0" xfId="3" applyNumberFormat="1" applyFont="1"/>
    <xf numFmtId="180" fontId="19" fillId="0" borderId="0" xfId="3" applyNumberFormat="1" applyFont="1"/>
    <xf numFmtId="175" fontId="2" fillId="0" borderId="0" xfId="3" applyNumberFormat="1"/>
    <xf numFmtId="179" fontId="19" fillId="0" borderId="0" xfId="3" applyNumberFormat="1" applyFont="1"/>
    <xf numFmtId="174" fontId="2" fillId="0" borderId="0" xfId="3" quotePrefix="1" applyNumberFormat="1"/>
    <xf numFmtId="0" fontId="2" fillId="0" borderId="0" xfId="3" applyAlignment="1">
      <alignment horizontal="left"/>
    </xf>
    <xf numFmtId="0" fontId="28" fillId="0" borderId="0" xfId="3" applyFont="1"/>
    <xf numFmtId="0" fontId="28" fillId="0" borderId="0" xfId="3" applyFont="1" applyAlignment="1">
      <alignment horizontal="right"/>
    </xf>
    <xf numFmtId="0" fontId="28" fillId="0" borderId="0" xfId="3" applyFont="1" applyAlignment="1">
      <alignment horizontal="left" vertical="center"/>
    </xf>
    <xf numFmtId="14" fontId="6" fillId="0" borderId="0" xfId="3" applyNumberFormat="1" applyFont="1"/>
    <xf numFmtId="181" fontId="7" fillId="0" borderId="0" xfId="3" applyNumberFormat="1" applyFont="1"/>
    <xf numFmtId="37" fontId="7" fillId="0" borderId="0" xfId="3" applyNumberFormat="1" applyFont="1"/>
    <xf numFmtId="170" fontId="7" fillId="0" borderId="0" xfId="3" applyNumberFormat="1" applyFont="1"/>
    <xf numFmtId="37" fontId="23" fillId="0" borderId="0" xfId="3" applyNumberFormat="1" applyFont="1"/>
    <xf numFmtId="170" fontId="23" fillId="0" borderId="0" xfId="3" applyNumberFormat="1" applyFont="1" applyAlignment="1">
      <alignment horizontal="right"/>
    </xf>
    <xf numFmtId="0" fontId="6" fillId="0" borderId="0" xfId="3" applyFont="1" applyAlignment="1">
      <alignment horizontal="left" indent="1"/>
    </xf>
    <xf numFmtId="0" fontId="4" fillId="0" borderId="0" xfId="3" applyFont="1" applyAlignment="1">
      <alignment horizontal="left"/>
    </xf>
    <xf numFmtId="182" fontId="7" fillId="0" borderId="0" xfId="3" applyNumberFormat="1" applyFont="1"/>
    <xf numFmtId="0" fontId="2" fillId="0" borderId="0" xfId="3" applyAlignment="1">
      <alignment horizontal="left" vertical="center" indent="1"/>
    </xf>
    <xf numFmtId="170" fontId="2" fillId="0" borderId="0" xfId="3" applyNumberFormat="1"/>
    <xf numFmtId="181" fontId="29" fillId="0" borderId="0" xfId="3" applyNumberFormat="1" applyFont="1"/>
    <xf numFmtId="0" fontId="4" fillId="0" borderId="0" xfId="3" applyFont="1" applyAlignment="1">
      <alignment vertical="center"/>
    </xf>
    <xf numFmtId="37" fontId="4" fillId="0" borderId="0" xfId="3" applyNumberFormat="1" applyFont="1"/>
    <xf numFmtId="0" fontId="25" fillId="0" borderId="0" xfId="3" applyFont="1" applyAlignment="1">
      <alignment horizontal="right"/>
    </xf>
    <xf numFmtId="178" fontId="2" fillId="0" borderId="0" xfId="3" applyNumberFormat="1" applyAlignment="1">
      <alignment horizontal="right"/>
    </xf>
    <xf numFmtId="37" fontId="19" fillId="0" borderId="7" xfId="3" applyNumberFormat="1" applyFont="1" applyBorder="1" applyAlignment="1">
      <alignment horizontal="right"/>
    </xf>
    <xf numFmtId="37" fontId="2" fillId="0" borderId="0" xfId="3" applyNumberFormat="1" applyAlignment="1">
      <alignment horizontal="right"/>
    </xf>
    <xf numFmtId="183" fontId="4" fillId="0" borderId="0" xfId="3" applyNumberFormat="1" applyFont="1" applyAlignment="1">
      <alignment horizontal="right"/>
    </xf>
    <xf numFmtId="184" fontId="2" fillId="0" borderId="0" xfId="3" applyNumberFormat="1" applyAlignment="1">
      <alignment horizontal="right"/>
    </xf>
    <xf numFmtId="185" fontId="2" fillId="0" borderId="0" xfId="3" applyNumberFormat="1" applyAlignment="1">
      <alignment horizontal="right"/>
    </xf>
    <xf numFmtId="0" fontId="6" fillId="2" borderId="0" xfId="3" applyFont="1" applyFill="1"/>
    <xf numFmtId="0" fontId="30" fillId="0" borderId="0" xfId="3" applyFont="1" applyAlignment="1">
      <alignment horizontal="centerContinuous"/>
    </xf>
    <xf numFmtId="0" fontId="25" fillId="0" borderId="10" xfId="3" applyFont="1" applyBorder="1" applyAlignment="1">
      <alignment horizontal="centerContinuous"/>
    </xf>
    <xf numFmtId="0" fontId="2" fillId="0" borderId="0" xfId="3" applyAlignment="1">
      <alignment horizontal="centerContinuous"/>
    </xf>
    <xf numFmtId="0" fontId="2" fillId="0" borderId="10" xfId="3" applyBorder="1" applyAlignment="1">
      <alignment horizontal="centerContinuous"/>
    </xf>
    <xf numFmtId="0" fontId="2" fillId="0" borderId="0" xfId="3" applyAlignment="1">
      <alignment horizontal="right"/>
    </xf>
    <xf numFmtId="165" fontId="7" fillId="3" borderId="12" xfId="3" applyNumberFormat="1" applyFont="1" applyFill="1" applyBorder="1"/>
    <xf numFmtId="179" fontId="2" fillId="0" borderId="13" xfId="3" applyNumberFormat="1" applyBorder="1" applyAlignment="1">
      <alignment horizontal="right"/>
    </xf>
    <xf numFmtId="186" fontId="2" fillId="0" borderId="0" xfId="3" applyNumberFormat="1"/>
    <xf numFmtId="186" fontId="2" fillId="0" borderId="10" xfId="3" applyNumberFormat="1" applyBorder="1"/>
    <xf numFmtId="179" fontId="2" fillId="0" borderId="0" xfId="3" applyNumberFormat="1" applyAlignment="1">
      <alignment horizontal="right"/>
    </xf>
    <xf numFmtId="165" fontId="7" fillId="3" borderId="15" xfId="3" applyNumberFormat="1" applyFont="1" applyFill="1" applyBorder="1" applyAlignment="1">
      <alignment horizontal="right"/>
    </xf>
    <xf numFmtId="0" fontId="27" fillId="2" borderId="0" xfId="3" applyFont="1" applyFill="1" applyAlignment="1">
      <alignment horizontal="center"/>
    </xf>
    <xf numFmtId="187" fontId="2" fillId="0" borderId="0" xfId="3" applyNumberFormat="1"/>
    <xf numFmtId="179" fontId="7" fillId="3" borderId="12" xfId="3" applyNumberFormat="1" applyFont="1" applyFill="1" applyBorder="1"/>
    <xf numFmtId="179" fontId="6" fillId="3" borderId="10" xfId="3" applyNumberFormat="1" applyFont="1" applyFill="1" applyBorder="1"/>
    <xf numFmtId="0" fontId="2" fillId="0" borderId="10" xfId="3" applyBorder="1"/>
    <xf numFmtId="0" fontId="4" fillId="4" borderId="0" xfId="3" applyFont="1" applyFill="1"/>
    <xf numFmtId="0" fontId="4" fillId="4" borderId="10" xfId="3" applyFont="1" applyFill="1" applyBorder="1"/>
    <xf numFmtId="188" fontId="2" fillId="0" borderId="0" xfId="3" applyNumberFormat="1"/>
    <xf numFmtId="0" fontId="2" fillId="0" borderId="11" xfId="3" applyBorder="1"/>
    <xf numFmtId="0" fontId="2" fillId="0" borderId="12" xfId="3" applyBorder="1" applyAlignment="1">
      <alignment horizontal="right"/>
    </xf>
    <xf numFmtId="0" fontId="2" fillId="0" borderId="14" xfId="3" applyBorder="1" applyAlignment="1">
      <alignment horizontal="right"/>
    </xf>
    <xf numFmtId="0" fontId="2" fillId="0" borderId="12" xfId="3" applyBorder="1"/>
    <xf numFmtId="0" fontId="2" fillId="0" borderId="16" xfId="3" applyBorder="1"/>
    <xf numFmtId="175" fontId="6" fillId="0" borderId="0" xfId="0" applyNumberFormat="1" applyFont="1"/>
    <xf numFmtId="0" fontId="27" fillId="0" borderId="7" xfId="3" applyFont="1" applyBorder="1"/>
    <xf numFmtId="0" fontId="6" fillId="0" borderId="7" xfId="3" applyFont="1" applyBorder="1"/>
    <xf numFmtId="0" fontId="27" fillId="0" borderId="7" xfId="3" applyFont="1" applyBorder="1" applyAlignment="1">
      <alignment horizontal="right"/>
    </xf>
    <xf numFmtId="0" fontId="28" fillId="0" borderId="0" xfId="3" applyFont="1" applyAlignment="1">
      <alignment horizontal="left"/>
    </xf>
    <xf numFmtId="0" fontId="4" fillId="0" borderId="6" xfId="3" applyFont="1" applyBorder="1"/>
    <xf numFmtId="0" fontId="4" fillId="0" borderId="11" xfId="3" applyFont="1" applyBorder="1"/>
    <xf numFmtId="10" fontId="7" fillId="0" borderId="0" xfId="3" applyNumberFormat="1" applyFont="1"/>
    <xf numFmtId="188" fontId="23" fillId="0" borderId="7" xfId="3" applyNumberFormat="1" applyFont="1" applyBorder="1"/>
    <xf numFmtId="188" fontId="6" fillId="0" borderId="0" xfId="3" applyNumberFormat="1" applyFont="1"/>
    <xf numFmtId="10" fontId="7" fillId="0" borderId="7" xfId="3" applyNumberFormat="1" applyFont="1" applyBorder="1"/>
    <xf numFmtId="10" fontId="6" fillId="0" borderId="0" xfId="3" applyNumberFormat="1" applyFont="1"/>
    <xf numFmtId="165" fontId="6" fillId="0" borderId="0" xfId="3" applyNumberFormat="1" applyFont="1"/>
    <xf numFmtId="0" fontId="2" fillId="0" borderId="6" xfId="3" applyBorder="1"/>
    <xf numFmtId="165" fontId="26" fillId="0" borderId="0" xfId="3" applyNumberFormat="1" applyFont="1" applyAlignment="1">
      <alignment horizontal="right"/>
    </xf>
    <xf numFmtId="9" fontId="7" fillId="0" borderId="0" xfId="3" applyNumberFormat="1" applyFont="1"/>
    <xf numFmtId="174" fontId="2" fillId="0" borderId="0" xfId="3" applyNumberFormat="1"/>
    <xf numFmtId="9" fontId="6" fillId="0" borderId="0" xfId="3" applyNumberFormat="1" applyFont="1"/>
    <xf numFmtId="0" fontId="4" fillId="0" borderId="12" xfId="3" applyFont="1" applyBorder="1"/>
    <xf numFmtId="174" fontId="4" fillId="0" borderId="14" xfId="3" applyNumberFormat="1" applyFont="1" applyBorder="1"/>
    <xf numFmtId="189" fontId="7" fillId="0" borderId="0" xfId="3" applyNumberFormat="1" applyFont="1"/>
    <xf numFmtId="178" fontId="6" fillId="0" borderId="0" xfId="0" applyNumberFormat="1" applyFont="1"/>
    <xf numFmtId="14" fontId="0" fillId="0" borderId="0" xfId="0" applyNumberFormat="1"/>
    <xf numFmtId="39" fontId="7" fillId="0" borderId="0" xfId="3" applyNumberFormat="1" applyFont="1"/>
    <xf numFmtId="168" fontId="14" fillId="0" borderId="0" xfId="1" applyNumberFormat="1" applyFont="1"/>
    <xf numFmtId="168" fontId="13" fillId="0" borderId="0" xfId="0" applyNumberFormat="1" applyFont="1"/>
    <xf numFmtId="190" fontId="7" fillId="0" borderId="0" xfId="0" applyNumberFormat="1" applyFont="1" applyAlignment="1">
      <alignment horizontal="center"/>
    </xf>
    <xf numFmtId="183" fontId="0" fillId="0" borderId="6" xfId="0" applyNumberFormat="1" applyBorder="1" applyAlignment="1">
      <alignment horizontal="right"/>
    </xf>
    <xf numFmtId="183" fontId="0" fillId="0" borderId="13" xfId="0" applyNumberFormat="1" applyBorder="1"/>
    <xf numFmtId="179" fontId="31" fillId="3" borderId="12" xfId="3" applyNumberFormat="1" applyFont="1" applyFill="1" applyBorder="1"/>
    <xf numFmtId="0" fontId="0" fillId="0" borderId="17" xfId="0" quotePrefix="1" applyBorder="1"/>
    <xf numFmtId="39" fontId="0" fillId="0" borderId="0" xfId="0" applyNumberFormat="1"/>
    <xf numFmtId="39" fontId="0" fillId="0" borderId="18" xfId="0" applyNumberFormat="1" applyBorder="1"/>
    <xf numFmtId="0" fontId="0" fillId="0" borderId="17" xfId="0" applyBorder="1"/>
    <xf numFmtId="0" fontId="0" fillId="0" borderId="19" xfId="0" applyBorder="1"/>
    <xf numFmtId="39" fontId="0" fillId="0" borderId="6" xfId="0" applyNumberFormat="1" applyBorder="1"/>
    <xf numFmtId="39" fontId="6" fillId="0" borderId="6" xfId="0" applyNumberFormat="1" applyFont="1" applyBorder="1"/>
    <xf numFmtId="39" fontId="0" fillId="0" borderId="13" xfId="0" applyNumberFormat="1" applyBorder="1"/>
    <xf numFmtId="0" fontId="0" fillId="0" borderId="10" xfId="0" applyBorder="1"/>
    <xf numFmtId="39" fontId="6" fillId="0" borderId="0" xfId="0" applyNumberFormat="1" applyFont="1"/>
    <xf numFmtId="39" fontId="6" fillId="0" borderId="18" xfId="0" applyNumberFormat="1" applyFont="1" applyBorder="1"/>
    <xf numFmtId="0" fontId="0" fillId="0" borderId="20" xfId="0" applyBorder="1"/>
    <xf numFmtId="39" fontId="6" fillId="0" borderId="13" xfId="0" applyNumberFormat="1" applyFont="1" applyBorder="1"/>
    <xf numFmtId="176" fontId="4" fillId="0" borderId="21" xfId="3" applyNumberFormat="1" applyFont="1" applyBorder="1"/>
    <xf numFmtId="178" fontId="23" fillId="0" borderId="22" xfId="3" applyNumberFormat="1" applyFont="1" applyBorder="1"/>
    <xf numFmtId="9" fontId="3" fillId="0" borderId="22" xfId="2" applyBorder="1"/>
    <xf numFmtId="178" fontId="6" fillId="0" borderId="22" xfId="3" applyNumberFormat="1" applyFont="1" applyBorder="1"/>
    <xf numFmtId="174" fontId="23" fillId="0" borderId="22" xfId="3" applyNumberFormat="1" applyFont="1" applyBorder="1"/>
    <xf numFmtId="178" fontId="27" fillId="0" borderId="23" xfId="3" applyNumberFormat="1" applyFont="1" applyBorder="1"/>
    <xf numFmtId="177" fontId="4" fillId="0" borderId="24" xfId="3" applyNumberFormat="1" applyFont="1" applyBorder="1"/>
    <xf numFmtId="178" fontId="23" fillId="0" borderId="25" xfId="3" applyNumberFormat="1" applyFont="1" applyBorder="1"/>
    <xf numFmtId="177" fontId="4" fillId="0" borderId="21" xfId="3" applyNumberFormat="1" applyFont="1" applyBorder="1"/>
    <xf numFmtId="14" fontId="21" fillId="0" borderId="5" xfId="3" applyNumberFormat="1" applyFont="1" applyBorder="1"/>
    <xf numFmtId="3" fontId="8" fillId="0" borderId="0" xfId="0" applyNumberFormat="1" applyFont="1"/>
    <xf numFmtId="166" fontId="3" fillId="0" borderId="0" xfId="1"/>
    <xf numFmtId="165" fontId="8" fillId="0" borderId="0" xfId="2" applyNumberFormat="1" applyFont="1" applyAlignment="1">
      <alignment horizontal="left"/>
    </xf>
    <xf numFmtId="167" fontId="3" fillId="0" borderId="0" xfId="1" applyNumberFormat="1"/>
    <xf numFmtId="168" fontId="8" fillId="0" borderId="0" xfId="0" applyNumberFormat="1" applyFont="1" applyAlignment="1">
      <alignment horizontal="center" vertical="center"/>
    </xf>
    <xf numFmtId="168" fontId="8" fillId="0" borderId="3" xfId="0" applyNumberFormat="1" applyFont="1" applyBorder="1" applyAlignment="1">
      <alignment horizontal="center" vertical="center"/>
    </xf>
    <xf numFmtId="168" fontId="0" fillId="0" borderId="0" xfId="0" applyNumberFormat="1"/>
    <xf numFmtId="0" fontId="32" fillId="0" borderId="0" xfId="0" applyFont="1" applyAlignment="1">
      <alignment horizontal="left"/>
    </xf>
    <xf numFmtId="167" fontId="33" fillId="0" borderId="0" xfId="1" applyNumberFormat="1" applyFont="1"/>
    <xf numFmtId="167" fontId="34" fillId="0" borderId="0" xfId="1" applyNumberFormat="1" applyFont="1"/>
    <xf numFmtId="178" fontId="7" fillId="0" borderId="0" xfId="3" applyNumberFormat="1" applyFont="1"/>
    <xf numFmtId="3" fontId="4" fillId="0" borderId="0" xfId="3" applyNumberFormat="1" applyFont="1"/>
    <xf numFmtId="14" fontId="7" fillId="0" borderId="0" xfId="3" applyNumberFormat="1" applyFont="1" applyAlignment="1">
      <alignment horizontal="left" vertical="center"/>
    </xf>
    <xf numFmtId="0" fontId="7" fillId="0" borderId="0" xfId="3" applyFont="1" applyAlignment="1">
      <alignment horizontal="left" vertical="center"/>
    </xf>
    <xf numFmtId="165" fontId="6" fillId="3" borderId="15" xfId="0" applyNumberFormat="1" applyFont="1" applyFill="1" applyBorder="1" applyAlignment="1">
      <alignment horizontal="right"/>
    </xf>
    <xf numFmtId="165" fontId="6" fillId="3" borderId="26" xfId="0" applyNumberFormat="1" applyFont="1" applyFill="1" applyBorder="1" applyAlignment="1">
      <alignment horizontal="right"/>
    </xf>
    <xf numFmtId="165" fontId="6" fillId="3" borderId="11" xfId="0" applyNumberFormat="1" applyFont="1" applyFill="1" applyBorder="1"/>
    <xf numFmtId="165" fontId="6" fillId="3" borderId="12" xfId="0" applyNumberFormat="1" applyFont="1" applyFill="1" applyBorder="1"/>
    <xf numFmtId="171" fontId="19" fillId="0" borderId="6" xfId="0" applyNumberFormat="1" applyFont="1" applyBorder="1" applyAlignment="1">
      <alignment horizontal="center"/>
    </xf>
    <xf numFmtId="173" fontId="4" fillId="0" borderId="3" xfId="0" applyNumberFormat="1" applyFont="1" applyBorder="1" applyAlignment="1">
      <alignment horizontal="center"/>
    </xf>
    <xf numFmtId="165" fontId="8" fillId="0" borderId="0" xfId="2" applyNumberFormat="1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3" fillId="0" borderId="0" xfId="0" applyFont="1" applyBorder="1"/>
    <xf numFmtId="167" fontId="13" fillId="0" borderId="0" xfId="1" applyNumberFormat="1" applyFont="1" applyBorder="1"/>
    <xf numFmtId="169" fontId="8" fillId="0" borderId="0" xfId="0" applyNumberFormat="1" applyFont="1" applyBorder="1"/>
    <xf numFmtId="169" fontId="13" fillId="0" borderId="0" xfId="1" applyNumberFormat="1" applyFont="1" applyBorder="1"/>
    <xf numFmtId="0" fontId="8" fillId="0" borderId="0" xfId="0" applyFont="1" applyBorder="1" applyAlignment="1">
      <alignment horizontal="left"/>
    </xf>
    <xf numFmtId="0" fontId="8" fillId="0" borderId="0" xfId="0" applyFont="1" applyBorder="1"/>
    <xf numFmtId="166" fontId="13" fillId="0" borderId="0" xfId="1" applyFont="1"/>
    <xf numFmtId="3" fontId="13" fillId="0" borderId="0" xfId="0" applyNumberFormat="1" applyFont="1"/>
    <xf numFmtId="165" fontId="13" fillId="0" borderId="0" xfId="2" applyNumberFormat="1" applyFont="1" applyAlignment="1">
      <alignment horizontal="center" vertical="center"/>
    </xf>
    <xf numFmtId="196" fontId="3" fillId="0" borderId="0" xfId="1" applyNumberFormat="1"/>
    <xf numFmtId="167" fontId="33" fillId="0" borderId="0" xfId="1" applyNumberFormat="1" applyFont="1" applyBorder="1"/>
    <xf numFmtId="169" fontId="14" fillId="0" borderId="3" xfId="0" applyNumberFormat="1" applyFont="1" applyBorder="1"/>
    <xf numFmtId="0" fontId="13" fillId="0" borderId="0" xfId="0" applyFont="1" applyAlignment="1">
      <alignment horizontal="left"/>
    </xf>
    <xf numFmtId="168" fontId="12" fillId="0" borderId="0" xfId="0" applyNumberFormat="1" applyFont="1"/>
    <xf numFmtId="169" fontId="12" fillId="0" borderId="0" xfId="0" applyNumberFormat="1" applyFont="1"/>
    <xf numFmtId="0" fontId="11" fillId="0" borderId="0" xfId="0" applyFont="1" applyAlignment="1">
      <alignment horizontal="center" vertical="center"/>
    </xf>
    <xf numFmtId="168" fontId="13" fillId="0" borderId="3" xfId="0" applyNumberFormat="1" applyFont="1" applyBorder="1" applyAlignment="1">
      <alignment horizontal="center" vertical="center"/>
    </xf>
    <xf numFmtId="41" fontId="13" fillId="0" borderId="0" xfId="0" applyNumberFormat="1" applyFont="1" applyAlignment="1">
      <alignment horizontal="center" vertical="center"/>
    </xf>
    <xf numFmtId="41" fontId="11" fillId="0" borderId="0" xfId="1" applyNumberFormat="1" applyFont="1"/>
    <xf numFmtId="41" fontId="8" fillId="0" borderId="0" xfId="1" applyNumberFormat="1" applyFont="1"/>
    <xf numFmtId="41" fontId="8" fillId="0" borderId="0" xfId="0" applyNumberFormat="1" applyFont="1" applyAlignment="1">
      <alignment horizontal="center" vertical="center"/>
    </xf>
    <xf numFmtId="41" fontId="8" fillId="0" borderId="0" xfId="0" applyNumberFormat="1" applyFont="1"/>
    <xf numFmtId="41" fontId="14" fillId="0" borderId="0" xfId="1" applyNumberFormat="1" applyFont="1"/>
    <xf numFmtId="41" fontId="13" fillId="0" borderId="0" xfId="1" applyNumberFormat="1" applyFont="1"/>
    <xf numFmtId="41" fontId="17" fillId="0" borderId="0" xfId="0" applyNumberFormat="1" applyFont="1" applyAlignment="1">
      <alignment horizontal="center" vertical="center"/>
    </xf>
    <xf numFmtId="41" fontId="9" fillId="0" borderId="0" xfId="0" applyNumberFormat="1" applyFont="1" applyAlignment="1">
      <alignment horizontal="center" vertical="center"/>
    </xf>
    <xf numFmtId="41" fontId="17" fillId="0" borderId="1" xfId="0" applyNumberFormat="1" applyFont="1" applyBorder="1" applyAlignment="1">
      <alignment horizontal="center" vertical="center"/>
    </xf>
    <xf numFmtId="41" fontId="14" fillId="0" borderId="1" xfId="1" applyNumberFormat="1" applyFont="1" applyBorder="1"/>
    <xf numFmtId="41" fontId="19" fillId="0" borderId="6" xfId="0" applyNumberFormat="1" applyFont="1" applyBorder="1"/>
    <xf numFmtId="41" fontId="9" fillId="0" borderId="1" xfId="0" applyNumberFormat="1" applyFont="1" applyBorder="1" applyAlignment="1">
      <alignment horizontal="center" vertical="center"/>
    </xf>
    <xf numFmtId="41" fontId="11" fillId="0" borderId="0" xfId="0" applyNumberFormat="1" applyFont="1"/>
    <xf numFmtId="41" fontId="20" fillId="0" borderId="0" xfId="0" applyNumberFormat="1" applyFont="1" applyAlignment="1">
      <alignment horizontal="center" vertical="center"/>
    </xf>
    <xf numFmtId="41" fontId="14" fillId="0" borderId="0" xfId="0" applyNumberFormat="1" applyFont="1" applyAlignment="1">
      <alignment horizontal="center" vertical="center"/>
    </xf>
    <xf numFmtId="41" fontId="13" fillId="0" borderId="1" xfId="0" applyNumberFormat="1" applyFont="1" applyBorder="1" applyAlignment="1">
      <alignment horizontal="center" vertical="center"/>
    </xf>
    <xf numFmtId="0" fontId="11" fillId="0" borderId="0" xfId="0" applyFont="1" applyFill="1"/>
    <xf numFmtId="0" fontId="20" fillId="0" borderId="0" xfId="0" applyFont="1" applyFill="1" applyAlignment="1">
      <alignment horizontal="center" vertical="center"/>
    </xf>
    <xf numFmtId="9" fontId="3" fillId="0" borderId="0" xfId="2" applyNumberFormat="1"/>
    <xf numFmtId="41" fontId="14" fillId="0" borderId="3" xfId="1" applyNumberFormat="1" applyFont="1" applyBorder="1"/>
    <xf numFmtId="9" fontId="33" fillId="0" borderId="0" xfId="2" applyNumberFormat="1" applyFont="1"/>
    <xf numFmtId="165" fontId="11" fillId="0" borderId="3" xfId="2" applyNumberFormat="1" applyFont="1" applyBorder="1"/>
    <xf numFmtId="165" fontId="6" fillId="0" borderId="0" xfId="0" applyNumberFormat="1" applyFont="1"/>
    <xf numFmtId="165" fontId="33" fillId="0" borderId="0" xfId="2" applyNumberFormat="1" applyFont="1"/>
    <xf numFmtId="169" fontId="12" fillId="0" borderId="0" xfId="2" applyNumberFormat="1" applyFont="1"/>
    <xf numFmtId="167" fontId="8" fillId="0" borderId="0" xfId="1" applyNumberFormat="1" applyFont="1" applyBorder="1"/>
    <xf numFmtId="165" fontId="34" fillId="0" borderId="0" xfId="2" applyNumberFormat="1" applyFont="1"/>
    <xf numFmtId="168" fontId="13" fillId="0" borderId="0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left"/>
    </xf>
    <xf numFmtId="168" fontId="14" fillId="0" borderId="0" xfId="1" applyNumberFormat="1" applyFont="1" applyBorder="1"/>
    <xf numFmtId="175" fontId="6" fillId="0" borderId="0" xfId="0" applyNumberFormat="1" applyFont="1" applyFill="1" applyAlignment="1">
      <alignment horizontal="center"/>
    </xf>
    <xf numFmtId="0" fontId="1" fillId="0" borderId="0" xfId="3" applyFont="1"/>
    <xf numFmtId="37" fontId="1" fillId="0" borderId="0" xfId="3" applyNumberFormat="1" applyFont="1" applyAlignment="1">
      <alignment horizontal="right"/>
    </xf>
  </cellXfs>
  <cellStyles count="6">
    <cellStyle name="Comma" xfId="1" builtinId="3"/>
    <cellStyle name="Hyperlink" xfId="5" builtinId="8"/>
    <cellStyle name="Normal" xfId="0" builtinId="0"/>
    <cellStyle name="Normal 2" xfId="3" xr:uid="{937EC6E3-AE83-4BBC-ACEF-6FAAD38BC45D}"/>
    <cellStyle name="Normal_DCF_Model" xfId="4" xr:uid="{EB47B55B-6DFA-4D8F-B164-61C0BEC4F72F}"/>
    <cellStyle name="Percent" xfId="2" builtinId="5"/>
  </cellStyles>
  <dxfs count="3">
    <dxf>
      <font>
        <b/>
        <i val="0"/>
      </font>
      <fill>
        <patternFill patternType="solid">
          <bgColor theme="2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  <border>
        <left/>
        <right/>
        <top style="thin">
          <color rgb="FF9C0006"/>
        </top>
        <bottom style="thin">
          <color rgb="FF9C0006"/>
        </bottom>
        <vertical/>
        <horizontal/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F4F"/>
      <rgbColor rgb="FF222A35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DCF Equity Valuation Range 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9.0x-11.0x Exit EBITDA Range at 24.3% WACC</c:v>
                </c:pt>
                <c:pt idx="1">
                  <c:v>DCF Value at 9.0%-11.0% Perpetuity Range at 24.3%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DCF!$C$128:$C$130</c:f>
              <c:numCache>
                <c:formatCode>#,##0.00_);\(#,##0.00\)</c:formatCode>
                <c:ptCount val="3"/>
                <c:pt idx="0">
                  <c:v>20.872598612412975</c:v>
                </c:pt>
                <c:pt idx="1">
                  <c:v>10.927128525944545</c:v>
                </c:pt>
                <c:pt idx="2">
                  <c:v>10.02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83-4E91-8D66-944AAAC33F38}"/>
            </c:ext>
          </c:extLst>
        </c:ser>
        <c:ser>
          <c:idx val="1"/>
          <c:order val="1"/>
          <c:invertIfNegative val="0"/>
          <c:cat>
            <c:strRef>
              <c:f>DCF!$B$128:$B$130</c:f>
              <c:strCache>
                <c:ptCount val="3"/>
                <c:pt idx="0">
                  <c:v>DCF Value at 9.0x-11.0x Exit EBITDA Range at 24.3% WACC</c:v>
                </c:pt>
                <c:pt idx="1">
                  <c:v>DCF Value at 9.0%-11.0% Perpetuity Range at 24.3%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DCF!$D$128:$D$130</c:f>
              <c:numCache>
                <c:formatCode>#,##0.00_);\(#,##0.00\)</c:formatCode>
                <c:ptCount val="3"/>
                <c:pt idx="0">
                  <c:v>1.7815662296090125</c:v>
                </c:pt>
                <c:pt idx="1">
                  <c:v>0.48544104603800164</c:v>
                </c:pt>
                <c:pt idx="2">
                  <c:v>11.64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83-4E91-8D66-944AAAC33F38}"/>
            </c:ext>
          </c:extLst>
        </c:ser>
        <c:ser>
          <c:idx val="2"/>
          <c:order val="2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9.0x-11.0x Exit EBITDA Range at 24.3% WACC</c:v>
                </c:pt>
                <c:pt idx="1">
                  <c:v>DCF Value at 9.0%-11.0% Perpetuity Range at 24.3%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DCF!$E$128:$E$130</c:f>
              <c:numCache>
                <c:formatCode>#,##0.00_);\(#,##0.00\)</c:formatCode>
                <c:ptCount val="3"/>
                <c:pt idx="0">
                  <c:v>22.654164842021988</c:v>
                </c:pt>
                <c:pt idx="1">
                  <c:v>11.412569571982546</c:v>
                </c:pt>
                <c:pt idx="2">
                  <c:v>21.66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83-4E91-8D66-944AAAC33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400"/>
          <c:min val="100"/>
        </c:scaling>
        <c:delete val="0"/>
        <c:axPos val="l"/>
        <c:numFmt formatCode="#,##0.00_);\(#,##0.00\)" sourceLinked="1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LTM EBITDA Multiple Range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9.0%-11.0% Perpetuity Growth at 24.3% WACC</c:v>
                </c:pt>
                <c:pt idx="1">
                  <c:v>LTM EBITDA Purchase Multiple at 11.8x-12.9x Exit EBITDA Multiple at 24.3% WACC</c:v>
                </c:pt>
                <c:pt idx="2">
                  <c:v>LTM EBITDA Purchase Multiple at 22.3%-26.3% WACC at 10.0x Exit EBITDA</c:v>
                </c:pt>
              </c:strCache>
            </c:strRef>
          </c:cat>
          <c:val>
            <c:numRef>
              <c:f>DCF!$O$128:$O$130</c:f>
              <c:numCache>
                <c:formatCode>#,##0.00_);\(#,##0.00\)</c:formatCode>
                <c:ptCount val="3"/>
                <c:pt idx="0">
                  <c:v>5.828399126430698</c:v>
                </c:pt>
                <c:pt idx="1">
                  <c:v>11.785778458444689</c:v>
                </c:pt>
                <c:pt idx="2">
                  <c:v>10.513969815515214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5-4FE9-8BD7-0E0161403D7A}"/>
            </c:ext>
          </c:extLst>
        </c:ser>
        <c:ser>
          <c:idx val="1"/>
          <c:order val="1"/>
          <c:spPr>
            <a:solidFill>
              <a:schemeClr val="tx2"/>
            </a:solidFill>
          </c:spPr>
          <c:invertIfNegative val="0"/>
          <c:cat>
            <c:strRef>
              <c:f>DCF!$G$128:$G$130</c:f>
              <c:strCache>
                <c:ptCount val="3"/>
                <c:pt idx="0">
                  <c:v>LTM EBITDA Purchase Multiple at 9.0%-11.0% Perpetuity Growth at 24.3% WACC</c:v>
                </c:pt>
                <c:pt idx="1">
                  <c:v>LTM EBITDA Purchase Multiple at 11.8x-12.9x Exit EBITDA Multiple at 24.3% WACC</c:v>
                </c:pt>
                <c:pt idx="2">
                  <c:v>LTM EBITDA Purchase Multiple at 22.3%-26.3% WACC at 10.0x Exit EBITDA</c:v>
                </c:pt>
              </c:strCache>
            </c:strRef>
          </c:cat>
          <c:val>
            <c:numRef>
              <c:f>DCF!$P$128:$P$130</c:f>
              <c:numCache>
                <c:formatCode>#,##0.00_);\(#,##0.00\)</c:formatCode>
                <c:ptCount val="3"/>
                <c:pt idx="0">
                  <c:v>0.2907812732263686</c:v>
                </c:pt>
                <c:pt idx="1">
                  <c:v>1.0671658295294915</c:v>
                </c:pt>
                <c:pt idx="2">
                  <c:v>1.5440218819697886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D5-4FE9-8BD7-0E0161403D7A}"/>
            </c:ext>
          </c:extLst>
        </c:ser>
        <c:ser>
          <c:idx val="2"/>
          <c:order val="2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9.0%-11.0% Perpetuity Growth at 24.3% WACC</c:v>
                </c:pt>
                <c:pt idx="1">
                  <c:v>LTM EBITDA Purchase Multiple at 11.8x-12.9x Exit EBITDA Multiple at 24.3% WACC</c:v>
                </c:pt>
                <c:pt idx="2">
                  <c:v>LTM EBITDA Purchase Multiple at 22.3%-26.3% WACC at 10.0x Exit EBITDA</c:v>
                </c:pt>
              </c:strCache>
            </c:strRef>
          </c:cat>
          <c:val>
            <c:numRef>
              <c:f>DCF!$Q$128:$Q$130</c:f>
              <c:numCache>
                <c:formatCode>#,##0.00_);\(#,##0.00\)</c:formatCode>
                <c:ptCount val="3"/>
                <c:pt idx="0">
                  <c:v>6.1191803996570666</c:v>
                </c:pt>
                <c:pt idx="1">
                  <c:v>12.85294428797418</c:v>
                </c:pt>
                <c:pt idx="2">
                  <c:v>12.057991697485003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D5-4FE9-8BD7-0E0161403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20"/>
          <c:min val="10"/>
        </c:scaling>
        <c:delete val="0"/>
        <c:axPos val="l"/>
        <c:numFmt formatCode="#,##0.0\x;\-#,##0.0\x" sourceLinked="0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53578</xdr:colOff>
      <xdr:row>106</xdr:row>
      <xdr:rowOff>149424</xdr:rowOff>
    </xdr:from>
    <xdr:to>
      <xdr:col>4</xdr:col>
      <xdr:colOff>654844</xdr:colOff>
      <xdr:row>125</xdr:row>
      <xdr:rowOff>53578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529BCA-2888-434E-AC7E-5B03FCA5B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47228</xdr:colOff>
      <xdr:row>106</xdr:row>
      <xdr:rowOff>149424</xdr:rowOff>
    </xdr:from>
    <xdr:to>
      <xdr:col>15</xdr:col>
      <xdr:colOff>657225</xdr:colOff>
      <xdr:row>125</xdr:row>
      <xdr:rowOff>47228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38233F-A324-4062-8E99-2AF6A530E0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29"/>
  <sheetViews>
    <sheetView showGridLines="0" topLeftCell="A18" zoomScaleNormal="100" workbookViewId="0">
      <selection activeCell="F73" sqref="F73"/>
    </sheetView>
  </sheetViews>
  <sheetFormatPr defaultColWidth="9.140625" defaultRowHeight="15" x14ac:dyDescent="0.25"/>
  <cols>
    <col min="1" max="2" width="1.7109375" style="8" customWidth="1"/>
    <col min="3" max="3" width="66.42578125" style="8" bestFit="1" customWidth="1"/>
    <col min="4" max="4" width="15.7109375" style="9" customWidth="1"/>
    <col min="5" max="5" width="15" style="8" customWidth="1"/>
    <col min="6" max="6" width="17.42578125" style="8" bestFit="1" customWidth="1"/>
    <col min="7" max="7" width="16.85546875" style="8" customWidth="1"/>
    <col min="8" max="8" width="16.85546875" style="8" bestFit="1" customWidth="1"/>
    <col min="9" max="9" width="17.7109375" style="8" bestFit="1" customWidth="1"/>
    <col min="10" max="11" width="18" style="8" bestFit="1" customWidth="1"/>
    <col min="12" max="12" width="2.7109375" style="8" customWidth="1"/>
    <col min="13" max="13" width="17" style="8" bestFit="1" customWidth="1"/>
    <col min="14" max="14" width="16" style="8" bestFit="1" customWidth="1"/>
    <col min="15" max="16384" width="9.140625" style="8"/>
  </cols>
  <sheetData>
    <row r="1" spans="3:13" ht="15" customHeight="1" thickBot="1" x14ac:dyDescent="0.3"/>
    <row r="2" spans="3:13" ht="15.75" thickBot="1" x14ac:dyDescent="0.3">
      <c r="C2" s="2" t="str">
        <f>Company_Name&amp;" - Financial Statement Model"</f>
        <v>Fawry for Banking Technology and Electronic Payments S.A.E. - Financial Statement Model</v>
      </c>
      <c r="D2" s="10"/>
      <c r="E2" s="10"/>
      <c r="F2" s="10"/>
      <c r="G2" s="10"/>
      <c r="H2" s="10"/>
      <c r="I2" s="10"/>
      <c r="J2" s="10"/>
      <c r="K2" s="10"/>
    </row>
    <row r="3" spans="3:13" x14ac:dyDescent="0.25">
      <c r="C3" s="3" t="s">
        <v>172</v>
      </c>
      <c r="D3" s="11"/>
      <c r="E3" s="11"/>
      <c r="F3" s="11"/>
      <c r="G3" s="11"/>
      <c r="H3" s="11"/>
    </row>
    <row r="4" spans="3:13" ht="15" customHeight="1" x14ac:dyDescent="0.25"/>
    <row r="5" spans="3:13" x14ac:dyDescent="0.25">
      <c r="C5" s="4" t="s">
        <v>0</v>
      </c>
      <c r="D5" s="236" t="s">
        <v>179</v>
      </c>
    </row>
    <row r="6" spans="3:13" x14ac:dyDescent="0.25">
      <c r="C6" s="4" t="s">
        <v>1</v>
      </c>
      <c r="D6" s="5" t="s">
        <v>178</v>
      </c>
    </row>
    <row r="7" spans="3:13" x14ac:dyDescent="0.25">
      <c r="C7" s="8" t="s">
        <v>41</v>
      </c>
      <c r="D7" s="188">
        <v>20.45</v>
      </c>
    </row>
    <row r="8" spans="3:13" x14ac:dyDescent="0.25">
      <c r="C8" s="8" t="s">
        <v>42</v>
      </c>
      <c r="D8" s="6">
        <v>46167</v>
      </c>
    </row>
    <row r="9" spans="3:13" x14ac:dyDescent="0.25">
      <c r="C9" s="4" t="s">
        <v>2</v>
      </c>
      <c r="D9" s="7">
        <v>46022</v>
      </c>
    </row>
    <row r="10" spans="3:13" ht="15" customHeight="1" x14ac:dyDescent="0.25">
      <c r="C10" s="8" t="s">
        <v>46</v>
      </c>
      <c r="D10" s="218">
        <v>3406523244</v>
      </c>
    </row>
    <row r="11" spans="3:13" ht="15" customHeight="1" x14ac:dyDescent="0.25"/>
    <row r="12" spans="3:13" customFormat="1" x14ac:dyDescent="0.25">
      <c r="C12" s="54" t="s">
        <v>63</v>
      </c>
      <c r="D12" s="55"/>
      <c r="E12" s="55"/>
      <c r="F12" s="55"/>
      <c r="G12" s="55"/>
      <c r="H12" s="55"/>
      <c r="I12" s="55"/>
      <c r="J12" s="55"/>
      <c r="K12" s="55"/>
    </row>
    <row r="13" spans="3:13" customFormat="1" x14ac:dyDescent="0.25">
      <c r="C13" t="s">
        <v>64</v>
      </c>
      <c r="D13" s="56">
        <f>E13-1</f>
        <v>2023</v>
      </c>
      <c r="E13" s="56">
        <f>F13-1</f>
        <v>2024</v>
      </c>
      <c r="F13" s="56">
        <f>YEAR(D9)</f>
        <v>2025</v>
      </c>
      <c r="G13" s="57">
        <f>F13+1</f>
        <v>2026</v>
      </c>
      <c r="H13" s="57">
        <f>G13+1</f>
        <v>2027</v>
      </c>
      <c r="I13" s="57">
        <f>H13+1</f>
        <v>2028</v>
      </c>
      <c r="J13" s="57">
        <f>I13+1</f>
        <v>2029</v>
      </c>
      <c r="K13" s="57">
        <f>J13+1</f>
        <v>2030</v>
      </c>
      <c r="M13" s="234" t="s">
        <v>176</v>
      </c>
    </row>
    <row r="14" spans="3:13" customFormat="1" x14ac:dyDescent="0.25">
      <c r="C14" s="58" t="s">
        <v>65</v>
      </c>
      <c r="D14" s="59">
        <f>EOMONTH(E14,-12)</f>
        <v>45291</v>
      </c>
      <c r="E14" s="59">
        <f>EOMONTH(F14,-12)</f>
        <v>45657</v>
      </c>
      <c r="F14" s="59">
        <f>D9</f>
        <v>46022</v>
      </c>
      <c r="G14" s="59">
        <f>EOMONTH(F14,12)</f>
        <v>46387</v>
      </c>
      <c r="H14" s="59">
        <f>EOMONTH(G14,12)</f>
        <v>46752</v>
      </c>
      <c r="I14" s="59">
        <f>EOMONTH(H14,12)</f>
        <v>47118</v>
      </c>
      <c r="J14" s="59">
        <f>EOMONTH(I14,12)</f>
        <v>47483</v>
      </c>
      <c r="K14" s="59">
        <f>EOMONTH(J14,12)</f>
        <v>47848</v>
      </c>
      <c r="M14" s="233" t="s">
        <v>177</v>
      </c>
    </row>
    <row r="15" spans="3:13" ht="15" customHeight="1" x14ac:dyDescent="0.25"/>
    <row r="16" spans="3:13" ht="15" customHeight="1" x14ac:dyDescent="0.25">
      <c r="C16" s="8" t="s">
        <v>180</v>
      </c>
      <c r="D16" s="13">
        <v>3272016083</v>
      </c>
      <c r="E16" s="13">
        <v>5510620184</v>
      </c>
      <c r="F16" s="13">
        <v>8651478402</v>
      </c>
      <c r="G16" s="12">
        <f>G203</f>
        <v>12032906830</v>
      </c>
      <c r="H16" s="12">
        <f t="shared" ref="H16:K16" si="0">H203</f>
        <v>15596688434.700001</v>
      </c>
      <c r="I16" s="12">
        <f t="shared" si="0"/>
        <v>19029145735.401001</v>
      </c>
      <c r="J16" s="12">
        <f t="shared" si="0"/>
        <v>22116673854.130859</v>
      </c>
      <c r="K16" s="12">
        <f t="shared" si="0"/>
        <v>24970089355.328129</v>
      </c>
      <c r="M16" s="285">
        <f>(K16/F16)^(1/COUNT(G16:K16))-1</f>
        <v>0.23613514365537758</v>
      </c>
    </row>
    <row r="17" spans="3:14" ht="15" customHeight="1" x14ac:dyDescent="0.25">
      <c r="C17" s="8" t="s">
        <v>181</v>
      </c>
      <c r="D17" s="13">
        <v>-1210193626</v>
      </c>
      <c r="E17" s="13">
        <v>-1888316913</v>
      </c>
      <c r="F17" s="13">
        <v>-2691636229</v>
      </c>
      <c r="G17" s="14">
        <f>-G16*(1-G$51)</f>
        <v>-3730201117.3000007</v>
      </c>
      <c r="H17" s="14">
        <f t="shared" ref="H17:K17" si="1">-H16*(1-H$51)</f>
        <v>-4834973414.7570009</v>
      </c>
      <c r="I17" s="14">
        <f t="shared" si="1"/>
        <v>-5899035177.9743109</v>
      </c>
      <c r="J17" s="14">
        <f t="shared" si="1"/>
        <v>-6856168894.7805672</v>
      </c>
      <c r="K17" s="14">
        <f t="shared" si="1"/>
        <v>-7740727700.151721</v>
      </c>
    </row>
    <row r="18" spans="3:14" s="18" customFormat="1" ht="15" customHeight="1" x14ac:dyDescent="0.25">
      <c r="C18" s="15" t="s">
        <v>182</v>
      </c>
      <c r="D18" s="16">
        <f>SUM(D16:D17)</f>
        <v>2061822457</v>
      </c>
      <c r="E18" s="16">
        <f>SUM(E16:E17)</f>
        <v>3622303271</v>
      </c>
      <c r="F18" s="16">
        <f>SUM(F16:F17)</f>
        <v>5959842173</v>
      </c>
      <c r="G18" s="16">
        <f t="shared" ref="G18:K18" si="2">SUM(G16:G17)</f>
        <v>8302705712.6999989</v>
      </c>
      <c r="H18" s="16">
        <f t="shared" si="2"/>
        <v>10761715019.943001</v>
      </c>
      <c r="I18" s="16">
        <f t="shared" si="2"/>
        <v>13130110557.426689</v>
      </c>
      <c r="J18" s="16">
        <f t="shared" si="2"/>
        <v>15260504959.350292</v>
      </c>
      <c r="K18" s="16">
        <f t="shared" si="2"/>
        <v>17229361655.176407</v>
      </c>
    </row>
    <row r="19" spans="3:14" s="21" customFormat="1" ht="15" customHeight="1" x14ac:dyDescent="0.25">
      <c r="C19" s="217" t="s">
        <v>183</v>
      </c>
      <c r="D19" s="223">
        <v>-758592564</v>
      </c>
      <c r="E19" s="223">
        <v>-1053620943</v>
      </c>
      <c r="F19" s="223">
        <v>-1574738609</v>
      </c>
      <c r="G19" s="20">
        <f>-G$52*G16</f>
        <v>-2165923229.4000001</v>
      </c>
      <c r="H19" s="20">
        <f t="shared" ref="H19:K19" si="3">-H$52*H16</f>
        <v>-2807403918.2459998</v>
      </c>
      <c r="I19" s="20">
        <f t="shared" si="3"/>
        <v>-3425246232.37218</v>
      </c>
      <c r="J19" s="20">
        <f t="shared" si="3"/>
        <v>-3981001293.7435546</v>
      </c>
      <c r="K19" s="20">
        <f t="shared" si="3"/>
        <v>-4494616083.9590626</v>
      </c>
      <c r="M19" s="13"/>
    </row>
    <row r="20" spans="3:14" s="21" customFormat="1" ht="15" customHeight="1" x14ac:dyDescent="0.25">
      <c r="C20" s="217" t="s">
        <v>184</v>
      </c>
      <c r="D20" s="223">
        <v>-480982338</v>
      </c>
      <c r="E20" s="223">
        <v>-666676441</v>
      </c>
      <c r="F20" s="223">
        <v>-822526957</v>
      </c>
      <c r="G20" s="20">
        <f>F20*(1+G$50)</f>
        <v>-1144011436.9882023</v>
      </c>
      <c r="H20" s="20">
        <f t="shared" ref="H20:K20" si="4">G20*(1+H$50)</f>
        <v>-1482832884.8980563</v>
      </c>
      <c r="I20" s="20">
        <f t="shared" si="4"/>
        <v>-1809168862.1022942</v>
      </c>
      <c r="J20" s="20">
        <f t="shared" si="4"/>
        <v>-2102711189.8001499</v>
      </c>
      <c r="K20" s="20">
        <f t="shared" si="4"/>
        <v>-2373995594.6382699</v>
      </c>
      <c r="M20" s="13"/>
    </row>
    <row r="21" spans="3:14" s="21" customFormat="1" ht="15" customHeight="1" x14ac:dyDescent="0.25">
      <c r="C21" s="217" t="s">
        <v>185</v>
      </c>
      <c r="D21" s="223">
        <v>-105986256</v>
      </c>
      <c r="E21" s="223">
        <v>-80719154</v>
      </c>
      <c r="F21" s="223">
        <v>-40377879</v>
      </c>
      <c r="G21" s="279">
        <f>-10000000</f>
        <v>-10000000</v>
      </c>
      <c r="H21" s="20">
        <f>G21</f>
        <v>-10000000</v>
      </c>
      <c r="I21" s="20">
        <f t="shared" ref="I21:K21" si="5">H21</f>
        <v>-10000000</v>
      </c>
      <c r="J21" s="20">
        <f t="shared" si="5"/>
        <v>-10000000</v>
      </c>
      <c r="K21" s="20">
        <f t="shared" si="5"/>
        <v>-10000000</v>
      </c>
      <c r="M21" s="13"/>
    </row>
    <row r="22" spans="3:14" s="21" customFormat="1" ht="15" customHeight="1" x14ac:dyDescent="0.25">
      <c r="C22" s="217" t="s">
        <v>186</v>
      </c>
      <c r="D22" s="223">
        <v>-7988000</v>
      </c>
      <c r="E22" s="223">
        <v>-11315012</v>
      </c>
      <c r="F22" s="223">
        <v>-19229750</v>
      </c>
      <c r="G22" s="20">
        <f>F22*(1+G$50)</f>
        <v>-26745693.552295189</v>
      </c>
      <c r="H22" s="20">
        <f t="shared" ref="H22:K22" si="6">G22*(1+H$50)</f>
        <v>-34666955.806979582</v>
      </c>
      <c r="I22" s="20">
        <f t="shared" si="6"/>
        <v>-42296321.87727993</v>
      </c>
      <c r="J22" s="20">
        <f t="shared" si="6"/>
        <v>-49159009.510808565</v>
      </c>
      <c r="K22" s="20">
        <f t="shared" si="6"/>
        <v>-55501332.080956064</v>
      </c>
      <c r="M22" s="13"/>
    </row>
    <row r="23" spans="3:14" s="21" customFormat="1" ht="15" customHeight="1" x14ac:dyDescent="0.25">
      <c r="C23" s="217" t="s">
        <v>187</v>
      </c>
      <c r="D23" s="223">
        <v>-11599755</v>
      </c>
      <c r="E23" s="223">
        <v>-19994772</v>
      </c>
      <c r="F23" s="223">
        <v>-29719824</v>
      </c>
      <c r="G23" s="20">
        <f>F23*(1+G$50)</f>
        <v>-41335810.664836928</v>
      </c>
      <c r="H23" s="20">
        <f t="shared" ref="H23:K23" si="7">G23*(1+H$50)</f>
        <v>-53578222.556154467</v>
      </c>
      <c r="I23" s="20">
        <f t="shared" si="7"/>
        <v>-65369505.169859692</v>
      </c>
      <c r="J23" s="20">
        <f t="shared" si="7"/>
        <v>-75975876.476582214</v>
      </c>
      <c r="K23" s="20">
        <f t="shared" si="7"/>
        <v>-85778016.937899247</v>
      </c>
      <c r="M23" s="13"/>
    </row>
    <row r="24" spans="3:14" s="21" customFormat="1" ht="15" customHeight="1" x14ac:dyDescent="0.25">
      <c r="C24" s="217" t="s">
        <v>188</v>
      </c>
      <c r="D24" s="223">
        <v>-36549258</v>
      </c>
      <c r="E24" s="223">
        <v>-86302287</v>
      </c>
      <c r="F24" s="223">
        <v>-88498482</v>
      </c>
      <c r="G24" s="20">
        <f>F24*(1+G$50)</f>
        <v>-123088094.19858874</v>
      </c>
      <c r="H24" s="20">
        <f t="shared" ref="H24:K24" si="8">G24*(1+H$50)</f>
        <v>-159543049.93454298</v>
      </c>
      <c r="I24" s="20">
        <f t="shared" si="8"/>
        <v>-194654651.27329603</v>
      </c>
      <c r="J24" s="20">
        <f t="shared" si="8"/>
        <v>-226237871.96038017</v>
      </c>
      <c r="K24" s="20">
        <f t="shared" si="8"/>
        <v>-255426286.77660981</v>
      </c>
      <c r="M24" s="13"/>
    </row>
    <row r="25" spans="3:14" s="21" customFormat="1" ht="15" customHeight="1" x14ac:dyDescent="0.25">
      <c r="C25" s="217" t="s">
        <v>189</v>
      </c>
      <c r="D25" s="223">
        <v>-49738948</v>
      </c>
      <c r="E25" s="223">
        <v>-134600555</v>
      </c>
      <c r="F25" s="223">
        <v>-350437517</v>
      </c>
      <c r="G25" s="20">
        <f>G218-F218</f>
        <v>-131900945.634</v>
      </c>
      <c r="H25" s="20">
        <f t="shared" ref="H25:K25" si="9">H218-G218</f>
        <v>-141268788.2536</v>
      </c>
      <c r="I25" s="20">
        <f t="shared" si="9"/>
        <v>-148332227.66628009</v>
      </c>
      <c r="J25" s="20">
        <f t="shared" si="9"/>
        <v>-141410057.04185355</v>
      </c>
      <c r="K25" s="20">
        <f t="shared" si="9"/>
        <v>-125469286.97531736</v>
      </c>
      <c r="M25" s="13"/>
    </row>
    <row r="26" spans="3:14" s="21" customFormat="1" ht="15" customHeight="1" x14ac:dyDescent="0.25">
      <c r="C26" s="217" t="s">
        <v>190</v>
      </c>
      <c r="D26" s="223">
        <v>-13612074</v>
      </c>
      <c r="E26" s="223">
        <v>-7273087</v>
      </c>
      <c r="F26" s="223">
        <v>4108399</v>
      </c>
      <c r="G26" s="223">
        <v>0</v>
      </c>
      <c r="H26" s="223">
        <f>G26</f>
        <v>0</v>
      </c>
      <c r="I26" s="223">
        <f t="shared" ref="I26:K31" si="10">H26</f>
        <v>0</v>
      </c>
      <c r="J26" s="223">
        <f t="shared" si="10"/>
        <v>0</v>
      </c>
      <c r="K26" s="223">
        <f t="shared" si="10"/>
        <v>0</v>
      </c>
      <c r="M26" s="13"/>
    </row>
    <row r="27" spans="3:14" s="21" customFormat="1" ht="15" customHeight="1" x14ac:dyDescent="0.25">
      <c r="C27" s="217" t="s">
        <v>191</v>
      </c>
      <c r="D27" s="223">
        <v>2928739</v>
      </c>
      <c r="E27" s="223">
        <v>12420777</v>
      </c>
      <c r="F27" s="223">
        <v>5444711</v>
      </c>
      <c r="G27" s="223">
        <v>0</v>
      </c>
      <c r="H27" s="223">
        <f>G27</f>
        <v>0</v>
      </c>
      <c r="I27" s="223">
        <f t="shared" si="10"/>
        <v>0</v>
      </c>
      <c r="J27" s="223">
        <f t="shared" si="10"/>
        <v>0</v>
      </c>
      <c r="K27" s="223">
        <f t="shared" si="10"/>
        <v>0</v>
      </c>
      <c r="M27" s="13"/>
    </row>
    <row r="28" spans="3:14" s="18" customFormat="1" ht="15" customHeight="1" x14ac:dyDescent="0.25">
      <c r="C28" s="237" t="s">
        <v>193</v>
      </c>
      <c r="D28" s="247">
        <v>464413386</v>
      </c>
      <c r="E28" s="247">
        <v>691243802</v>
      </c>
      <c r="F28" s="247">
        <v>1043090728</v>
      </c>
      <c r="G28" s="20">
        <f>G223*AVERAGE(F219,G219)</f>
        <v>1674141405.2659199</v>
      </c>
      <c r="H28" s="20">
        <f t="shared" ref="H28:K28" si="11">H223*AVERAGE(G219,H219)</f>
        <v>2339411133.4796162</v>
      </c>
      <c r="I28" s="20">
        <f t="shared" si="11"/>
        <v>3002244287.965507</v>
      </c>
      <c r="J28" s="20">
        <f t="shared" si="11"/>
        <v>3595929195.9770265</v>
      </c>
      <c r="K28" s="20">
        <f t="shared" si="11"/>
        <v>4065204898.0002832</v>
      </c>
      <c r="M28" s="245"/>
    </row>
    <row r="29" spans="3:14" ht="15" customHeight="1" x14ac:dyDescent="0.25">
      <c r="C29" s="25" t="s">
        <v>192</v>
      </c>
      <c r="D29" s="223">
        <v>-40214267</v>
      </c>
      <c r="E29" s="223">
        <v>-56537004</v>
      </c>
      <c r="F29" s="223">
        <v>-107470443</v>
      </c>
      <c r="G29" s="224">
        <f>F29*(1+G$50)</f>
        <v>-149475241.97700998</v>
      </c>
      <c r="H29" s="224">
        <f t="shared" ref="H29:K29" si="12">G29*(1+H$50)</f>
        <v>-193745269.59723961</v>
      </c>
      <c r="I29" s="224">
        <f t="shared" si="12"/>
        <v>-236383959.7198022</v>
      </c>
      <c r="J29" s="224">
        <f t="shared" si="12"/>
        <v>-274737868.64456433</v>
      </c>
      <c r="K29" s="224">
        <f t="shared" si="12"/>
        <v>-310183582.51305717</v>
      </c>
      <c r="M29" s="215"/>
    </row>
    <row r="30" spans="3:14" ht="15" customHeight="1" x14ac:dyDescent="0.25">
      <c r="C30" s="25" t="s">
        <v>194</v>
      </c>
      <c r="D30" s="223">
        <v>11777126</v>
      </c>
      <c r="E30" s="223">
        <v>32089292</v>
      </c>
      <c r="F30" s="223">
        <v>-11600995</v>
      </c>
      <c r="G30" s="223">
        <v>0</v>
      </c>
      <c r="H30" s="223">
        <f>G30</f>
        <v>0</v>
      </c>
      <c r="I30" s="223">
        <f t="shared" si="10"/>
        <v>0</v>
      </c>
      <c r="J30" s="223">
        <f t="shared" si="10"/>
        <v>0</v>
      </c>
      <c r="K30" s="223">
        <f t="shared" si="10"/>
        <v>0</v>
      </c>
      <c r="M30" s="215"/>
    </row>
    <row r="31" spans="3:14" ht="15" customHeight="1" x14ac:dyDescent="0.25">
      <c r="C31" s="25" t="s">
        <v>195</v>
      </c>
      <c r="D31" s="223">
        <v>20182173</v>
      </c>
      <c r="E31" s="223">
        <v>40937035</v>
      </c>
      <c r="F31" s="223">
        <v>53237726</v>
      </c>
      <c r="G31" s="223">
        <v>0</v>
      </c>
      <c r="H31" s="223">
        <f>G31</f>
        <v>0</v>
      </c>
      <c r="I31" s="223">
        <f t="shared" si="10"/>
        <v>0</v>
      </c>
      <c r="J31" s="223">
        <f t="shared" si="10"/>
        <v>0</v>
      </c>
      <c r="K31" s="223">
        <f t="shared" si="10"/>
        <v>0</v>
      </c>
      <c r="M31" s="215"/>
      <c r="N31" s="216"/>
    </row>
    <row r="32" spans="3:14" ht="15" customHeight="1" x14ac:dyDescent="0.25">
      <c r="C32" s="25" t="s">
        <v>196</v>
      </c>
      <c r="D32" s="223">
        <v>9875625</v>
      </c>
      <c r="E32" s="223">
        <v>14105209</v>
      </c>
      <c r="F32" s="223">
        <v>25018663</v>
      </c>
      <c r="G32" s="216">
        <f>F32*(1+G$50)</f>
        <v>34797201.923381545</v>
      </c>
      <c r="H32" s="216">
        <f t="shared" ref="H32:K32" si="13">G32*(1+H$50)</f>
        <v>45103076.460729614</v>
      </c>
      <c r="I32" s="216">
        <f t="shared" si="13"/>
        <v>55029182.552409366</v>
      </c>
      <c r="J32" s="216">
        <f t="shared" si="13"/>
        <v>63957809.766882792</v>
      </c>
      <c r="K32" s="216">
        <f t="shared" si="13"/>
        <v>72209421.515335798</v>
      </c>
      <c r="M32" s="215"/>
      <c r="N32" s="216"/>
    </row>
    <row r="33" spans="3:14" s="18" customFormat="1" ht="15" customHeight="1" x14ac:dyDescent="0.25">
      <c r="C33" s="22" t="s">
        <v>197</v>
      </c>
      <c r="D33" s="17">
        <f>SUM(D18:D32)</f>
        <v>1065736046</v>
      </c>
      <c r="E33" s="17">
        <f t="shared" ref="E33:F33" si="14">SUM(E18:E32)</f>
        <v>2296060131</v>
      </c>
      <c r="F33" s="17">
        <f t="shared" si="14"/>
        <v>4046141944</v>
      </c>
      <c r="G33" s="17">
        <f>SUM(G18:G32)</f>
        <v>6219163867.474369</v>
      </c>
      <c r="H33" s="17">
        <f t="shared" ref="H33" si="15">SUM(H18:H32)</f>
        <v>8263190140.5907745</v>
      </c>
      <c r="I33" s="17">
        <f t="shared" ref="I33" si="16">SUM(I18:I32)</f>
        <v>10255932267.763613</v>
      </c>
      <c r="J33" s="17">
        <f t="shared" ref="J33" si="17">SUM(J18:J32)</f>
        <v>12059158797.916307</v>
      </c>
      <c r="K33" s="17">
        <f t="shared" ref="K33" si="18">SUM(K18:K32)</f>
        <v>13655805790.810856</v>
      </c>
      <c r="M33" s="285">
        <f>(K33/F33)^(1/COUNT(G33:K33))-1</f>
        <v>0.27542593391229353</v>
      </c>
      <c r="N33" s="243"/>
    </row>
    <row r="34" spans="3:14" ht="15" customHeight="1" x14ac:dyDescent="0.25">
      <c r="C34" s="25" t="s">
        <v>198</v>
      </c>
      <c r="D34" s="223">
        <v>-964100</v>
      </c>
      <c r="E34" s="223">
        <v>5162235</v>
      </c>
      <c r="F34" s="223">
        <v>-1676442</v>
      </c>
      <c r="G34" s="223">
        <v>0</v>
      </c>
      <c r="H34" s="223">
        <f>G34</f>
        <v>0</v>
      </c>
      <c r="I34" s="223">
        <f t="shared" ref="I34:K35" si="19">H34</f>
        <v>0</v>
      </c>
      <c r="J34" s="223">
        <f t="shared" si="19"/>
        <v>0</v>
      </c>
      <c r="K34" s="223">
        <f t="shared" si="19"/>
        <v>0</v>
      </c>
      <c r="M34" s="215"/>
      <c r="N34" s="216"/>
    </row>
    <row r="35" spans="3:14" ht="15" customHeight="1" x14ac:dyDescent="0.25">
      <c r="C35" s="25" t="s">
        <v>199</v>
      </c>
      <c r="D35" s="223">
        <v>29850000</v>
      </c>
      <c r="E35" s="223">
        <v>0</v>
      </c>
      <c r="F35" s="223">
        <v>12776536</v>
      </c>
      <c r="G35" s="223">
        <v>0</v>
      </c>
      <c r="H35" s="223">
        <f>G35</f>
        <v>0</v>
      </c>
      <c r="I35" s="223">
        <f t="shared" si="19"/>
        <v>0</v>
      </c>
      <c r="J35" s="223">
        <f t="shared" si="19"/>
        <v>0</v>
      </c>
      <c r="K35" s="223">
        <f t="shared" si="19"/>
        <v>0</v>
      </c>
      <c r="M35" s="215"/>
      <c r="N35" s="216"/>
    </row>
    <row r="36" spans="3:14" s="18" customFormat="1" ht="15" customHeight="1" x14ac:dyDescent="0.25">
      <c r="C36" s="53" t="s">
        <v>3</v>
      </c>
      <c r="D36" s="45">
        <f>SUM(D33:D35)</f>
        <v>1094621946</v>
      </c>
      <c r="E36" s="45">
        <f t="shared" ref="E36:F36" si="20">SUM(E33:E35)</f>
        <v>2301222366</v>
      </c>
      <c r="F36" s="45">
        <f t="shared" si="20"/>
        <v>4057242038</v>
      </c>
      <c r="G36" s="248">
        <f>G33+G34+G35</f>
        <v>6219163867.474369</v>
      </c>
      <c r="H36" s="248">
        <f t="shared" ref="H36:K36" si="21">H33+H34+H35</f>
        <v>8263190140.5907745</v>
      </c>
      <c r="I36" s="248">
        <f t="shared" si="21"/>
        <v>10255932267.763613</v>
      </c>
      <c r="J36" s="248">
        <f t="shared" si="21"/>
        <v>12059158797.916307</v>
      </c>
      <c r="K36" s="248">
        <f t="shared" si="21"/>
        <v>13655805790.810856</v>
      </c>
      <c r="M36" s="244"/>
      <c r="N36" s="243"/>
    </row>
    <row r="37" spans="3:14" ht="15" customHeight="1" x14ac:dyDescent="0.25">
      <c r="C37" s="241" t="s">
        <v>200</v>
      </c>
      <c r="D37" s="223">
        <v>-278653009</v>
      </c>
      <c r="E37" s="223">
        <v>-552160176</v>
      </c>
      <c r="F37" s="223">
        <v>-956587623</v>
      </c>
      <c r="G37" s="280">
        <f>-G$53*G36</f>
        <v>-1461503508.8564765</v>
      </c>
      <c r="H37" s="280">
        <f t="shared" ref="H37:K37" si="22">-H$53*H36</f>
        <v>-1941849683.0388319</v>
      </c>
      <c r="I37" s="280">
        <f t="shared" si="22"/>
        <v>-2410144082.924449</v>
      </c>
      <c r="J37" s="280">
        <f t="shared" si="22"/>
        <v>-2833902317.5103321</v>
      </c>
      <c r="K37" s="280">
        <f t="shared" si="22"/>
        <v>-3209114360.8405509</v>
      </c>
      <c r="M37" s="235"/>
      <c r="N37" s="215"/>
    </row>
    <row r="38" spans="3:14" s="18" customFormat="1" ht="15" customHeight="1" x14ac:dyDescent="0.25">
      <c r="C38" s="22" t="s">
        <v>201</v>
      </c>
      <c r="D38" s="17">
        <f>SUM(D36:D37)</f>
        <v>815968937</v>
      </c>
      <c r="E38" s="17">
        <f t="shared" ref="E38:F38" si="23">SUM(E36:E37)</f>
        <v>1749062190</v>
      </c>
      <c r="F38" s="17">
        <f t="shared" si="23"/>
        <v>3100654415</v>
      </c>
      <c r="G38" s="17">
        <f t="shared" ref="G38" si="24">SUM(G36:G37)</f>
        <v>4757660358.6178923</v>
      </c>
      <c r="H38" s="17">
        <f t="shared" ref="H38" si="25">SUM(H36:H37)</f>
        <v>6321340457.5519428</v>
      </c>
      <c r="I38" s="17">
        <f t="shared" ref="I38" si="26">SUM(I36:I37)</f>
        <v>7845788184.8391638</v>
      </c>
      <c r="J38" s="17">
        <f t="shared" ref="J38" si="27">SUM(J36:J37)</f>
        <v>9225256480.4059753</v>
      </c>
      <c r="K38" s="17">
        <f t="shared" ref="K38" si="28">SUM(K36:K37)</f>
        <v>10446691429.970304</v>
      </c>
      <c r="M38" s="285">
        <f>(K38/F38)^(1/COUNT(G38:K38))-1</f>
        <v>0.27498501496972705</v>
      </c>
      <c r="N38" s="243"/>
    </row>
    <row r="39" spans="3:14" ht="15" customHeight="1" x14ac:dyDescent="0.25">
      <c r="C39" s="242" t="s">
        <v>202</v>
      </c>
      <c r="D39" s="223">
        <v>100630246</v>
      </c>
      <c r="E39" s="223">
        <v>142410498</v>
      </c>
      <c r="F39" s="223">
        <v>211465256</v>
      </c>
      <c r="G39" s="239">
        <f>G$54*G38</f>
        <v>324473395.30296683</v>
      </c>
      <c r="H39" s="239">
        <f>H$54*H38</f>
        <v>431116693.1898725</v>
      </c>
      <c r="I39" s="239">
        <f>I$54*I38</f>
        <v>535084335.42368478</v>
      </c>
      <c r="J39" s="239">
        <f>J$54*J38</f>
        <v>629164351.19542611</v>
      </c>
      <c r="K39" s="239">
        <f>K$54*K38</f>
        <v>712466460.92021072</v>
      </c>
      <c r="N39" s="216"/>
    </row>
    <row r="40" spans="3:14" ht="15" customHeight="1" x14ac:dyDescent="0.25">
      <c r="C40" s="242" t="s">
        <v>203</v>
      </c>
      <c r="D40" s="12">
        <f>D38-D39</f>
        <v>715338691</v>
      </c>
      <c r="E40" s="12">
        <f t="shared" ref="E40:F40" si="29">E38-E39</f>
        <v>1606651692</v>
      </c>
      <c r="F40" s="12">
        <f t="shared" si="29"/>
        <v>2889189159</v>
      </c>
      <c r="G40" s="12">
        <f t="shared" ref="G40" si="30">G38-G39</f>
        <v>4433186963.3149252</v>
      </c>
      <c r="H40" s="12">
        <f t="shared" ref="H40" si="31">H38-H39</f>
        <v>5890223764.3620701</v>
      </c>
      <c r="I40" s="12">
        <f t="shared" ref="I40" si="32">I38-I39</f>
        <v>7310703849.4154787</v>
      </c>
      <c r="J40" s="12">
        <f t="shared" ref="J40" si="33">J38-J39</f>
        <v>8596092129.2105484</v>
      </c>
      <c r="K40" s="12">
        <f t="shared" ref="K40" si="34">K38-K39</f>
        <v>9734224969.0500946</v>
      </c>
      <c r="N40" s="216"/>
    </row>
    <row r="41" spans="3:14" ht="15" customHeight="1" x14ac:dyDescent="0.25">
      <c r="C41" s="242"/>
      <c r="D41" s="238"/>
      <c r="E41" s="238"/>
      <c r="F41" s="238"/>
      <c r="G41" s="239"/>
      <c r="H41" s="240"/>
      <c r="I41" s="240"/>
      <c r="J41" s="240"/>
      <c r="K41" s="240"/>
      <c r="N41" s="216"/>
    </row>
    <row r="42" spans="3:14" ht="15" customHeight="1" x14ac:dyDescent="0.25">
      <c r="C42" s="25" t="s">
        <v>34</v>
      </c>
      <c r="D42" s="41">
        <f>D180</f>
        <v>281636216</v>
      </c>
      <c r="E42" s="41">
        <f t="shared" ref="E42:K42" si="35">E180</f>
        <v>425837147</v>
      </c>
      <c r="F42" s="41">
        <f t="shared" si="35"/>
        <v>696996881</v>
      </c>
      <c r="G42" s="41">
        <f t="shared" si="35"/>
        <v>789184877.69999993</v>
      </c>
      <c r="H42" s="41">
        <f t="shared" si="35"/>
        <v>1289848449.54</v>
      </c>
      <c r="I42" s="41">
        <f t="shared" si="35"/>
        <v>1815931838.8168497</v>
      </c>
      <c r="J42" s="41">
        <f t="shared" si="35"/>
        <v>2335055681.1760502</v>
      </c>
      <c r="K42" s="41">
        <f t="shared" si="35"/>
        <v>2814427493.5973163</v>
      </c>
      <c r="N42" s="216"/>
    </row>
    <row r="43" spans="3:14" s="18" customFormat="1" ht="15" customHeight="1" x14ac:dyDescent="0.25">
      <c r="C43" s="26" t="s">
        <v>35</v>
      </c>
      <c r="D43" s="19">
        <f>D33+D42</f>
        <v>1347372262</v>
      </c>
      <c r="E43" s="19">
        <f t="shared" ref="E43:K43" si="36">E33+E42</f>
        <v>2721897278</v>
      </c>
      <c r="F43" s="19">
        <f t="shared" si="36"/>
        <v>4743138825</v>
      </c>
      <c r="G43" s="19">
        <f t="shared" si="36"/>
        <v>7008348745.1743689</v>
      </c>
      <c r="H43" s="19">
        <f t="shared" si="36"/>
        <v>9553038590.1307755</v>
      </c>
      <c r="I43" s="19">
        <f t="shared" si="36"/>
        <v>12071864106.580463</v>
      </c>
      <c r="J43" s="19">
        <f t="shared" si="36"/>
        <v>14394214479.092358</v>
      </c>
      <c r="K43" s="19">
        <f t="shared" si="36"/>
        <v>16470233284.408173</v>
      </c>
      <c r="M43" s="285">
        <f>(K43/F43)^(1/COUNT(G43:K43))-1</f>
        <v>0.28270498605857464</v>
      </c>
    </row>
    <row r="44" spans="3:14" ht="15" customHeight="1" x14ac:dyDescent="0.25">
      <c r="C44" s="222" t="s">
        <v>173</v>
      </c>
      <c r="D44" s="21">
        <f>+D43/D16</f>
        <v>0.41178656455888818</v>
      </c>
      <c r="E44" s="21">
        <f t="shared" ref="E44:K44" si="37">+E43/E16</f>
        <v>0.49393665088785949</v>
      </c>
      <c r="F44" s="21">
        <f t="shared" si="37"/>
        <v>0.5482460458900883</v>
      </c>
      <c r="G44" s="21">
        <f t="shared" si="37"/>
        <v>0.58243189648085802</v>
      </c>
      <c r="H44" s="21">
        <f t="shared" si="37"/>
        <v>0.61250429090298908</v>
      </c>
      <c r="I44" s="21">
        <f t="shared" si="37"/>
        <v>0.63438812621643281</v>
      </c>
      <c r="J44" s="21">
        <f t="shared" si="37"/>
        <v>0.6508308877740161</v>
      </c>
      <c r="K44" s="21">
        <f t="shared" si="37"/>
        <v>0.65959849202116483</v>
      </c>
    </row>
    <row r="45" spans="3:14" ht="15" customHeight="1" x14ac:dyDescent="0.25">
      <c r="C45" s="26"/>
      <c r="D45" s="19"/>
      <c r="E45" s="19"/>
      <c r="F45" s="19"/>
      <c r="G45" s="19"/>
      <c r="H45" s="19"/>
      <c r="I45" s="19"/>
      <c r="J45" s="19"/>
      <c r="K45" s="19"/>
    </row>
    <row r="46" spans="3:14" ht="15" customHeight="1" x14ac:dyDescent="0.25">
      <c r="C46" s="27" t="s">
        <v>46</v>
      </c>
      <c r="D46" s="28">
        <f>$D$10</f>
        <v>3406523244</v>
      </c>
      <c r="E46" s="28">
        <f t="shared" ref="E46:K46" si="38">$D$10</f>
        <v>3406523244</v>
      </c>
      <c r="F46" s="28">
        <f t="shared" si="38"/>
        <v>3406523244</v>
      </c>
      <c r="G46" s="28">
        <f t="shared" si="38"/>
        <v>3406523244</v>
      </c>
      <c r="H46" s="28">
        <f t="shared" si="38"/>
        <v>3406523244</v>
      </c>
      <c r="I46" s="28">
        <f t="shared" si="38"/>
        <v>3406523244</v>
      </c>
      <c r="J46" s="28">
        <f t="shared" si="38"/>
        <v>3406523244</v>
      </c>
      <c r="K46" s="28">
        <f t="shared" si="38"/>
        <v>3406523244</v>
      </c>
    </row>
    <row r="47" spans="3:14" ht="15" customHeight="1" x14ac:dyDescent="0.25">
      <c r="C47" s="27" t="s">
        <v>62</v>
      </c>
      <c r="D47" s="29">
        <f t="shared" ref="D47" si="39">D40/D46</f>
        <v>0.20999084396677611</v>
      </c>
      <c r="E47" s="29">
        <f t="shared" ref="E47" si="40">E40/E46</f>
        <v>0.47163972675948662</v>
      </c>
      <c r="F47" s="29">
        <f t="shared" ref="F47" si="41">F40/F46</f>
        <v>0.84813428591418116</v>
      </c>
      <c r="G47" s="29">
        <f t="shared" ref="G47" si="42">G40/G46</f>
        <v>1.3013816861878795</v>
      </c>
      <c r="H47" s="29">
        <f t="shared" ref="H47" si="43">H40/H46</f>
        <v>1.7291012984387168</v>
      </c>
      <c r="I47" s="29">
        <f t="shared" ref="I47" si="44">I40/I46</f>
        <v>2.1460895246471652</v>
      </c>
      <c r="J47" s="29">
        <f t="shared" ref="J47" si="45">J40/J46</f>
        <v>2.523420952536013</v>
      </c>
      <c r="K47" s="29">
        <f t="shared" ref="K47" si="46">K40/K46</f>
        <v>2.8575248932163442</v>
      </c>
    </row>
    <row r="48" spans="3:14" ht="15" customHeight="1" x14ac:dyDescent="0.25">
      <c r="C48" s="23"/>
      <c r="D48" s="19"/>
      <c r="E48" s="19"/>
      <c r="F48" s="19"/>
      <c r="G48" s="246"/>
      <c r="H48" s="19"/>
      <c r="I48" s="19"/>
      <c r="J48" s="19"/>
      <c r="K48" s="19"/>
    </row>
    <row r="49" spans="3:11" ht="15" customHeight="1" x14ac:dyDescent="0.25">
      <c r="C49" s="30" t="s">
        <v>39</v>
      </c>
      <c r="D49" s="31"/>
      <c r="E49" s="31"/>
      <c r="F49" s="19"/>
      <c r="H49" s="31"/>
      <c r="I49" s="31"/>
      <c r="J49" s="31"/>
      <c r="K49" s="31"/>
    </row>
    <row r="50" spans="3:11" ht="15" customHeight="1" x14ac:dyDescent="0.25">
      <c r="C50" s="23" t="s">
        <v>36</v>
      </c>
      <c r="D50" s="32"/>
      <c r="E50" s="276">
        <f t="shared" ref="E50:F50" si="47">E16/D16-1</f>
        <v>0.68416659460533591</v>
      </c>
      <c r="F50" s="276">
        <f t="shared" si="47"/>
        <v>0.56996456172382071</v>
      </c>
      <c r="G50" s="276">
        <f>G16/F16-1</f>
        <v>0.3908497797576771</v>
      </c>
      <c r="H50" s="276">
        <f t="shared" ref="H50:K50" si="48">H16/G16-1</f>
        <v>0.29616963341018421</v>
      </c>
      <c r="I50" s="276">
        <f t="shared" si="48"/>
        <v>0.22007603184945101</v>
      </c>
      <c r="J50" s="276">
        <f t="shared" si="48"/>
        <v>0.1622525867246869</v>
      </c>
      <c r="K50" s="276">
        <f t="shared" si="48"/>
        <v>0.12901648412490929</v>
      </c>
    </row>
    <row r="51" spans="3:11" ht="15" customHeight="1" x14ac:dyDescent="0.25">
      <c r="C51" s="23" t="s">
        <v>37</v>
      </c>
      <c r="D51" s="32">
        <f>D18/D16</f>
        <v>0.63013824036878974</v>
      </c>
      <c r="E51" s="32">
        <f t="shared" ref="E51:F51" si="49">E18/E16</f>
        <v>0.65733132570401076</v>
      </c>
      <c r="F51" s="32">
        <f t="shared" si="49"/>
        <v>0.68888135600295053</v>
      </c>
      <c r="G51" s="33">
        <v>0.69</v>
      </c>
      <c r="H51" s="33">
        <f>G51</f>
        <v>0.69</v>
      </c>
      <c r="I51" s="33">
        <f t="shared" ref="I51:K51" si="50">H51</f>
        <v>0.69</v>
      </c>
      <c r="J51" s="33">
        <f t="shared" si="50"/>
        <v>0.69</v>
      </c>
      <c r="K51" s="33">
        <f t="shared" si="50"/>
        <v>0.69</v>
      </c>
    </row>
    <row r="52" spans="3:11" ht="15" customHeight="1" x14ac:dyDescent="0.25">
      <c r="C52" s="23" t="s">
        <v>43</v>
      </c>
      <c r="D52" s="32">
        <f>-D19/D16</f>
        <v>0.23184255356852412</v>
      </c>
      <c r="E52" s="32">
        <f t="shared" ref="E52:F52" si="51">-E19/E16</f>
        <v>0.19119825134368215</v>
      </c>
      <c r="F52" s="32">
        <f t="shared" si="51"/>
        <v>0.18201959663171105</v>
      </c>
      <c r="G52" s="33">
        <v>0.18</v>
      </c>
      <c r="H52" s="33">
        <f t="shared" ref="H52:K53" si="52">G52</f>
        <v>0.18</v>
      </c>
      <c r="I52" s="33">
        <f t="shared" si="52"/>
        <v>0.18</v>
      </c>
      <c r="J52" s="33">
        <f t="shared" si="52"/>
        <v>0.18</v>
      </c>
      <c r="K52" s="33">
        <f t="shared" si="52"/>
        <v>0.18</v>
      </c>
    </row>
    <row r="53" spans="3:11" ht="15" customHeight="1" x14ac:dyDescent="0.25">
      <c r="C53" s="23" t="s">
        <v>38</v>
      </c>
      <c r="D53" s="277">
        <f>-D37/D36</f>
        <v>0.25456552375755126</v>
      </c>
      <c r="E53" s="277">
        <f t="shared" ref="E53:F53" si="53">-E37/E36</f>
        <v>0.23994212126478176</v>
      </c>
      <c r="F53" s="277">
        <f t="shared" si="53"/>
        <v>0.23577287577143063</v>
      </c>
      <c r="G53" s="33">
        <v>0.23499999999999999</v>
      </c>
      <c r="H53" s="33">
        <f t="shared" si="52"/>
        <v>0.23499999999999999</v>
      </c>
      <c r="I53" s="33">
        <f t="shared" si="52"/>
        <v>0.23499999999999999</v>
      </c>
      <c r="J53" s="33">
        <f t="shared" si="52"/>
        <v>0.23499999999999999</v>
      </c>
      <c r="K53" s="33">
        <f t="shared" si="52"/>
        <v>0.23499999999999999</v>
      </c>
    </row>
    <row r="54" spans="3:11" ht="15" customHeight="1" x14ac:dyDescent="0.25">
      <c r="C54" s="23" t="s">
        <v>174</v>
      </c>
      <c r="D54" s="278">
        <f>D39/D38</f>
        <v>0.12332607460521502</v>
      </c>
      <c r="E54" s="278">
        <f>E39/E38</f>
        <v>8.1421060276879009E-2</v>
      </c>
      <c r="F54" s="278">
        <f>F39/F38</f>
        <v>6.8200201537132604E-2</v>
      </c>
      <c r="G54" s="281">
        <f>F54</f>
        <v>6.8200201537132604E-2</v>
      </c>
      <c r="H54" s="281">
        <f t="shared" ref="H54:K54" si="54">G54</f>
        <v>6.8200201537132604E-2</v>
      </c>
      <c r="I54" s="281">
        <f t="shared" si="54"/>
        <v>6.8200201537132604E-2</v>
      </c>
      <c r="J54" s="281">
        <f t="shared" si="54"/>
        <v>6.8200201537132604E-2</v>
      </c>
      <c r="K54" s="281">
        <f t="shared" si="54"/>
        <v>6.8200201537132604E-2</v>
      </c>
    </row>
    <row r="55" spans="3:11" ht="15" customHeight="1" x14ac:dyDescent="0.25">
      <c r="C55" s="23" t="s">
        <v>170</v>
      </c>
      <c r="D55" s="32">
        <f>D169/D16</f>
        <v>0.10365365034790387</v>
      </c>
      <c r="E55" s="32">
        <f>E169/E16</f>
        <v>0.12409214283820073</v>
      </c>
      <c r="F55" s="32">
        <f>F169/F16</f>
        <v>9.0086480805387781E-2</v>
      </c>
      <c r="G55" s="278">
        <v>0.16</v>
      </c>
      <c r="H55" s="278">
        <v>0.15</v>
      </c>
      <c r="I55" s="278">
        <v>0.14000000000000001</v>
      </c>
      <c r="J55" s="278">
        <v>0.13</v>
      </c>
      <c r="K55" s="278">
        <v>0.12</v>
      </c>
    </row>
    <row r="56" spans="3:11" ht="15" customHeight="1" x14ac:dyDescent="0.25">
      <c r="C56" s="23" t="s">
        <v>175</v>
      </c>
      <c r="D56" s="1"/>
      <c r="E56" s="1">
        <f>E42/E168</f>
        <v>0.4873254860053165</v>
      </c>
      <c r="F56" s="1">
        <f>F42/F168</f>
        <v>0.50191589391142211</v>
      </c>
      <c r="G56" s="278">
        <v>0.3</v>
      </c>
      <c r="H56" s="278">
        <v>0.3</v>
      </c>
      <c r="I56" s="278">
        <v>0.3</v>
      </c>
      <c r="J56" s="278">
        <v>0.3</v>
      </c>
      <c r="K56" s="278">
        <v>0.3</v>
      </c>
    </row>
    <row r="57" spans="3:11" ht="15" customHeight="1" x14ac:dyDescent="0.25">
      <c r="C57" s="23" t="s">
        <v>60</v>
      </c>
      <c r="D57" s="1"/>
      <c r="E57" s="1"/>
      <c r="F57" s="278"/>
      <c r="G57" s="278">
        <v>0.15</v>
      </c>
      <c r="H57" s="1">
        <f>G57</f>
        <v>0.15</v>
      </c>
      <c r="I57" s="1">
        <f t="shared" ref="I57:K57" si="55">H57</f>
        <v>0.15</v>
      </c>
      <c r="J57" s="1">
        <f t="shared" si="55"/>
        <v>0.15</v>
      </c>
      <c r="K57" s="1">
        <f t="shared" si="55"/>
        <v>0.15</v>
      </c>
    </row>
    <row r="58" spans="3:11" ht="15" customHeight="1" x14ac:dyDescent="0.25">
      <c r="C58" s="23"/>
      <c r="D58" s="34"/>
      <c r="E58" s="34"/>
      <c r="F58" s="34"/>
      <c r="G58" s="34"/>
      <c r="H58" s="34"/>
      <c r="I58" s="34"/>
      <c r="J58" s="34"/>
      <c r="K58" s="34"/>
    </row>
    <row r="59" spans="3:11" customFormat="1" x14ac:dyDescent="0.25">
      <c r="C59" s="54" t="s">
        <v>66</v>
      </c>
      <c r="D59" s="61"/>
      <c r="E59" s="61"/>
      <c r="F59" s="61"/>
      <c r="G59" s="55"/>
      <c r="H59" s="55"/>
      <c r="I59" s="55"/>
      <c r="J59" s="55"/>
      <c r="K59" s="55"/>
    </row>
    <row r="60" spans="3:11" customFormat="1" x14ac:dyDescent="0.25">
      <c r="C60" t="s">
        <v>64</v>
      </c>
      <c r="D60" s="56">
        <f>D$13</f>
        <v>2023</v>
      </c>
      <c r="E60" s="56">
        <f t="shared" ref="E60:K60" si="56">E$13</f>
        <v>2024</v>
      </c>
      <c r="F60" s="56">
        <f t="shared" si="56"/>
        <v>2025</v>
      </c>
      <c r="G60" s="57">
        <f t="shared" si="56"/>
        <v>2026</v>
      </c>
      <c r="H60" s="57">
        <f t="shared" si="56"/>
        <v>2027</v>
      </c>
      <c r="I60" s="57">
        <f t="shared" si="56"/>
        <v>2028</v>
      </c>
      <c r="J60" s="57">
        <f t="shared" si="56"/>
        <v>2029</v>
      </c>
      <c r="K60" s="57">
        <f t="shared" si="56"/>
        <v>2030</v>
      </c>
    </row>
    <row r="61" spans="3:11" customFormat="1" x14ac:dyDescent="0.25">
      <c r="C61" s="58" t="s">
        <v>65</v>
      </c>
      <c r="D61" s="59">
        <f>D$14</f>
        <v>45291</v>
      </c>
      <c r="E61" s="59">
        <f t="shared" ref="E61:K61" si="57">E$14</f>
        <v>45657</v>
      </c>
      <c r="F61" s="59">
        <f t="shared" si="57"/>
        <v>46022</v>
      </c>
      <c r="G61" s="59">
        <f t="shared" si="57"/>
        <v>46387</v>
      </c>
      <c r="H61" s="59">
        <f t="shared" si="57"/>
        <v>46752</v>
      </c>
      <c r="I61" s="59">
        <f t="shared" si="57"/>
        <v>47118</v>
      </c>
      <c r="J61" s="59">
        <f t="shared" si="57"/>
        <v>47483</v>
      </c>
      <c r="K61" s="59">
        <f t="shared" si="57"/>
        <v>47848</v>
      </c>
    </row>
    <row r="62" spans="3:11" s="50" customFormat="1" ht="15" customHeight="1" x14ac:dyDescent="0.25">
      <c r="C62" s="60" t="s">
        <v>4</v>
      </c>
    </row>
    <row r="63" spans="3:11" ht="15" customHeight="1" x14ac:dyDescent="0.25"/>
    <row r="64" spans="3:11" ht="15" customHeight="1" x14ac:dyDescent="0.25">
      <c r="C64" s="18" t="s">
        <v>5</v>
      </c>
    </row>
    <row r="65" spans="3:11" ht="15" customHeight="1" x14ac:dyDescent="0.25">
      <c r="C65" s="23" t="s">
        <v>44</v>
      </c>
      <c r="D65" s="13">
        <v>8415536</v>
      </c>
      <c r="E65" s="13">
        <v>9648579</v>
      </c>
      <c r="F65" s="13">
        <v>42875226</v>
      </c>
      <c r="G65" s="216">
        <f>0.005*G16</f>
        <v>60164534.149999999</v>
      </c>
      <c r="H65" s="216">
        <f>0.005*H16</f>
        <v>77983442.173500001</v>
      </c>
      <c r="I65" s="216">
        <f>0.005*I16</f>
        <v>95145728.677005008</v>
      </c>
      <c r="J65" s="216">
        <f>0.005*J16</f>
        <v>110583369.27065431</v>
      </c>
      <c r="K65" s="216">
        <f>0.005*K16</f>
        <v>124850446.77664065</v>
      </c>
    </row>
    <row r="66" spans="3:11" ht="15" customHeight="1" x14ac:dyDescent="0.25">
      <c r="C66" s="23" t="s">
        <v>213</v>
      </c>
      <c r="D66" s="13">
        <v>37973445</v>
      </c>
      <c r="E66" s="13">
        <v>68668663</v>
      </c>
      <c r="F66" s="13">
        <v>415556315</v>
      </c>
      <c r="G66" s="35">
        <f>0.048*G16</f>
        <v>577579527.84000003</v>
      </c>
      <c r="H66" s="35">
        <f>0.048*H16</f>
        <v>748641044.86560011</v>
      </c>
      <c r="I66" s="35">
        <f>0.048*I16</f>
        <v>913398995.2992481</v>
      </c>
      <c r="J66" s="35">
        <f>0.048*J16</f>
        <v>1061600344.9982812</v>
      </c>
      <c r="K66" s="35">
        <f>0.048*K16</f>
        <v>1198564289.0557501</v>
      </c>
    </row>
    <row r="67" spans="3:11" ht="15" customHeight="1" x14ac:dyDescent="0.25">
      <c r="C67" s="23" t="s">
        <v>214</v>
      </c>
      <c r="D67" s="13">
        <v>920552076</v>
      </c>
      <c r="E67" s="13">
        <v>2233166351</v>
      </c>
      <c r="F67" s="13">
        <v>4244038039</v>
      </c>
      <c r="G67" s="35">
        <f>G224*G219</f>
        <v>6568998653.7924004</v>
      </c>
      <c r="H67" s="35">
        <f t="shared" ref="H67:K67" si="58">H224*H219</f>
        <v>9196598115.3093605</v>
      </c>
      <c r="I67" s="35">
        <f t="shared" si="58"/>
        <v>11955577549.90217</v>
      </c>
      <c r="J67" s="35">
        <f t="shared" si="58"/>
        <v>14585804610.880646</v>
      </c>
      <c r="K67" s="35">
        <f t="shared" si="58"/>
        <v>16919533348.621548</v>
      </c>
    </row>
    <row r="68" spans="3:11" ht="15" customHeight="1" x14ac:dyDescent="0.25">
      <c r="C68" s="23" t="s">
        <v>215</v>
      </c>
      <c r="D68" s="13">
        <v>540600371</v>
      </c>
      <c r="E68" s="13">
        <v>485233968</v>
      </c>
      <c r="F68" s="13">
        <v>876542191</v>
      </c>
      <c r="G68" s="35">
        <f>0.101*G16</f>
        <v>1215323589.8300002</v>
      </c>
      <c r="H68" s="35">
        <f>0.101*H16</f>
        <v>1575265531.9047003</v>
      </c>
      <c r="I68" s="35">
        <f>0.101*I16</f>
        <v>1921943719.2755013</v>
      </c>
      <c r="J68" s="35">
        <f>0.101*J16</f>
        <v>2233784059.2672172</v>
      </c>
      <c r="K68" s="35">
        <f>0.101*K16</f>
        <v>2521979024.8881412</v>
      </c>
    </row>
    <row r="69" spans="3:11" ht="15" customHeight="1" x14ac:dyDescent="0.25">
      <c r="C69" s="23" t="s">
        <v>216</v>
      </c>
      <c r="D69" s="13">
        <v>370125711</v>
      </c>
      <c r="E69" s="13">
        <v>571468538</v>
      </c>
      <c r="F69" s="13">
        <v>1149747480</v>
      </c>
      <c r="G69" s="35">
        <f>0.133*G16</f>
        <v>1600376608.3900001</v>
      </c>
      <c r="H69" s="35">
        <f>0.133*H16</f>
        <v>2074359561.8151002</v>
      </c>
      <c r="I69" s="35">
        <f>0.133*I16</f>
        <v>2530876382.8083334</v>
      </c>
      <c r="J69" s="35">
        <f>0.133*J16</f>
        <v>2941517622.5994043</v>
      </c>
      <c r="K69" s="35">
        <f>0.133*K16</f>
        <v>3321021884.2586412</v>
      </c>
    </row>
    <row r="70" spans="3:11" ht="15" customHeight="1" x14ac:dyDescent="0.25">
      <c r="C70" s="23" t="s">
        <v>217</v>
      </c>
      <c r="D70" s="13">
        <v>402326</v>
      </c>
      <c r="E70" s="13">
        <v>0</v>
      </c>
      <c r="F70" s="13">
        <v>0</v>
      </c>
      <c r="G70" s="35">
        <v>0</v>
      </c>
      <c r="H70" s="35">
        <f>G70</f>
        <v>0</v>
      </c>
      <c r="I70" s="35">
        <f t="shared" ref="I70:K70" si="59">H70</f>
        <v>0</v>
      </c>
      <c r="J70" s="35">
        <f t="shared" si="59"/>
        <v>0</v>
      </c>
      <c r="K70" s="35">
        <f t="shared" si="59"/>
        <v>0</v>
      </c>
    </row>
    <row r="71" spans="3:11" ht="15" customHeight="1" x14ac:dyDescent="0.25">
      <c r="C71" s="23" t="s">
        <v>212</v>
      </c>
      <c r="D71" s="13">
        <v>16732250</v>
      </c>
      <c r="E71" s="13">
        <v>0</v>
      </c>
      <c r="F71" s="13">
        <v>0</v>
      </c>
      <c r="G71" s="35">
        <v>0</v>
      </c>
      <c r="H71" s="35">
        <f>G71</f>
        <v>0</v>
      </c>
      <c r="I71" s="35">
        <f t="shared" ref="I71:K71" si="60">H71</f>
        <v>0</v>
      </c>
      <c r="J71" s="35">
        <f t="shared" si="60"/>
        <v>0</v>
      </c>
      <c r="K71" s="35">
        <f t="shared" si="60"/>
        <v>0</v>
      </c>
    </row>
    <row r="72" spans="3:11" ht="15" customHeight="1" x14ac:dyDescent="0.25">
      <c r="C72" s="23" t="s">
        <v>218</v>
      </c>
      <c r="D72" s="13">
        <v>2342600551</v>
      </c>
      <c r="E72" s="13">
        <v>2240138857</v>
      </c>
      <c r="F72" s="13">
        <v>3784335147</v>
      </c>
      <c r="G72" s="35">
        <f>F72*(1+G$50)</f>
        <v>5263441705.7341862</v>
      </c>
      <c r="H72" s="35">
        <f t="shared" ref="H72:K72" si="61">G72*(1+H$50)</f>
        <v>6822313306.1973543</v>
      </c>
      <c r="I72" s="35">
        <f t="shared" si="61"/>
        <v>8323740946.6589766</v>
      </c>
      <c r="J72" s="35">
        <f t="shared" si="61"/>
        <v>9674289446.4805889</v>
      </c>
      <c r="K72" s="35">
        <f t="shared" si="61"/>
        <v>10922432257.27223</v>
      </c>
    </row>
    <row r="73" spans="3:11" ht="15" customHeight="1" x14ac:dyDescent="0.25">
      <c r="C73" s="23" t="s">
        <v>219</v>
      </c>
      <c r="D73" s="13">
        <v>2758635418</v>
      </c>
      <c r="E73" s="13">
        <v>4267441022</v>
      </c>
      <c r="F73" s="13">
        <v>5940887233</v>
      </c>
      <c r="G73" s="35">
        <f>F73+G160</f>
        <v>6219186061.3653278</v>
      </c>
      <c r="H73" s="35">
        <f>G73+H160</f>
        <v>7358944685.3145561</v>
      </c>
      <c r="I73" s="35">
        <f>H73+I160</f>
        <v>9556324605.8471489</v>
      </c>
      <c r="J73" s="35">
        <f>I73+J160</f>
        <v>13078987564.607578</v>
      </c>
      <c r="K73" s="35">
        <f>J73+K160</f>
        <v>18112280925.181763</v>
      </c>
    </row>
    <row r="74" spans="3:11" ht="15" customHeight="1" x14ac:dyDescent="0.25">
      <c r="C74" s="15" t="s">
        <v>6</v>
      </c>
      <c r="D74" s="16">
        <f>SUM(D65:D73)</f>
        <v>6996037684</v>
      </c>
      <c r="E74" s="16">
        <f t="shared" ref="E74:F74" si="62">SUM(E65:E73)</f>
        <v>9875765978</v>
      </c>
      <c r="F74" s="16">
        <f t="shared" si="62"/>
        <v>16453981631</v>
      </c>
      <c r="G74" s="16">
        <f t="shared" ref="G74" si="63">SUM(G65:G73)</f>
        <v>21505070681.101913</v>
      </c>
      <c r="H74" s="16">
        <f t="shared" ref="H74" si="64">SUM(H65:H73)</f>
        <v>27854105687.580173</v>
      </c>
      <c r="I74" s="16">
        <f t="shared" ref="I74" si="65">SUM(I65:I73)</f>
        <v>35297007928.468384</v>
      </c>
      <c r="J74" s="16">
        <f t="shared" ref="J74" si="66">SUM(J65:J73)</f>
        <v>43686567018.10437</v>
      </c>
      <c r="K74" s="16">
        <f t="shared" ref="K74" si="67">SUM(K65:K73)</f>
        <v>53120662176.05471</v>
      </c>
    </row>
    <row r="75" spans="3:11" ht="15" customHeight="1" x14ac:dyDescent="0.25">
      <c r="E75" s="24"/>
      <c r="F75" s="24"/>
      <c r="G75" s="24"/>
      <c r="H75" s="24"/>
      <c r="I75" s="24"/>
      <c r="J75" s="24"/>
      <c r="K75" s="24"/>
    </row>
    <row r="76" spans="3:11" ht="15" customHeight="1" x14ac:dyDescent="0.25">
      <c r="C76" s="18" t="s">
        <v>7</v>
      </c>
      <c r="E76" s="24"/>
      <c r="F76" s="24"/>
      <c r="G76" s="24"/>
      <c r="H76" s="24"/>
      <c r="I76" s="24"/>
      <c r="J76" s="24"/>
      <c r="K76" s="24"/>
    </row>
    <row r="77" spans="3:11" ht="15" customHeight="1" x14ac:dyDescent="0.25">
      <c r="C77" s="36" t="s">
        <v>204</v>
      </c>
      <c r="D77" s="13">
        <v>873824906</v>
      </c>
      <c r="E77" s="13">
        <v>1388672663</v>
      </c>
      <c r="F77" s="13">
        <v>1886305468</v>
      </c>
      <c r="G77" s="35">
        <f>G171</f>
        <v>3245678920.4000001</v>
      </c>
      <c r="H77" s="35">
        <f t="shared" ref="H77:K77" si="68">H171</f>
        <v>4611478509.4849997</v>
      </c>
      <c r="I77" s="35">
        <f t="shared" si="68"/>
        <v>5892115359.5956402</v>
      </c>
      <c r="J77" s="35">
        <f t="shared" si="68"/>
        <v>6999648352.7539606</v>
      </c>
      <c r="K77" s="35">
        <f t="shared" si="68"/>
        <v>7896164569.5671473</v>
      </c>
    </row>
    <row r="78" spans="3:11" ht="15" customHeight="1" x14ac:dyDescent="0.25">
      <c r="C78" s="23" t="s">
        <v>205</v>
      </c>
      <c r="D78" s="13">
        <v>606237569</v>
      </c>
      <c r="E78" s="13">
        <v>914418379</v>
      </c>
      <c r="F78" s="13">
        <v>1488621582</v>
      </c>
      <c r="G78" s="35">
        <f>G189</f>
        <v>2107631822.8000002</v>
      </c>
      <c r="H78" s="35">
        <f t="shared" ref="H78:K78" si="69">H189</f>
        <v>2883255239.809</v>
      </c>
      <c r="I78" s="35">
        <f t="shared" si="69"/>
        <v>3782807155.3157201</v>
      </c>
      <c r="J78" s="35">
        <f t="shared" si="69"/>
        <v>4763553251.8075218</v>
      </c>
      <c r="K78" s="35">
        <f t="shared" si="69"/>
        <v>5796926518.9093628</v>
      </c>
    </row>
    <row r="79" spans="3:11" ht="15" customHeight="1" x14ac:dyDescent="0.25">
      <c r="C79" s="23" t="s">
        <v>206</v>
      </c>
      <c r="D79" s="13">
        <v>74861241</v>
      </c>
      <c r="E79" s="13">
        <v>136823092</v>
      </c>
      <c r="F79" s="13">
        <v>56464613</v>
      </c>
      <c r="G79" s="35">
        <f>F79</f>
        <v>56464613</v>
      </c>
      <c r="H79" s="35">
        <f t="shared" ref="H79:K79" si="70">G79</f>
        <v>56464613</v>
      </c>
      <c r="I79" s="35">
        <f t="shared" si="70"/>
        <v>56464613</v>
      </c>
      <c r="J79" s="35">
        <f t="shared" si="70"/>
        <v>56464613</v>
      </c>
      <c r="K79" s="35">
        <f t="shared" si="70"/>
        <v>56464613</v>
      </c>
    </row>
    <row r="80" spans="3:11" ht="15" customHeight="1" x14ac:dyDescent="0.25">
      <c r="C80" s="23" t="s">
        <v>207</v>
      </c>
      <c r="D80" s="13">
        <v>32771437</v>
      </c>
      <c r="E80" s="13">
        <v>32771437</v>
      </c>
      <c r="F80" s="13">
        <v>91606292</v>
      </c>
      <c r="G80" s="35">
        <f>F80</f>
        <v>91606292</v>
      </c>
      <c r="H80" s="35">
        <f t="shared" ref="H80:K80" si="71">G80</f>
        <v>91606292</v>
      </c>
      <c r="I80" s="35">
        <f t="shared" si="71"/>
        <v>91606292</v>
      </c>
      <c r="J80" s="35">
        <f t="shared" si="71"/>
        <v>91606292</v>
      </c>
      <c r="K80" s="35">
        <f t="shared" si="71"/>
        <v>91606292</v>
      </c>
    </row>
    <row r="81" spans="3:11" ht="15" customHeight="1" x14ac:dyDescent="0.25">
      <c r="C81" s="23" t="s">
        <v>208</v>
      </c>
      <c r="D81" s="13">
        <v>52668674</v>
      </c>
      <c r="E81" s="13">
        <v>74949462</v>
      </c>
      <c r="F81" s="13">
        <v>44034045</v>
      </c>
      <c r="G81" s="35">
        <f>F81</f>
        <v>44034045</v>
      </c>
      <c r="H81" s="35">
        <f t="shared" ref="H81:K81" si="72">G81</f>
        <v>44034045</v>
      </c>
      <c r="I81" s="35">
        <f t="shared" si="72"/>
        <v>44034045</v>
      </c>
      <c r="J81" s="35">
        <f t="shared" si="72"/>
        <v>44034045</v>
      </c>
      <c r="K81" s="35">
        <f t="shared" si="72"/>
        <v>44034045</v>
      </c>
    </row>
    <row r="82" spans="3:11" ht="15" customHeight="1" x14ac:dyDescent="0.25">
      <c r="C82" s="23" t="s">
        <v>209</v>
      </c>
      <c r="D82" s="13">
        <v>231244380</v>
      </c>
      <c r="E82" s="13">
        <v>725040807</v>
      </c>
      <c r="F82" s="13">
        <v>1231013043</v>
      </c>
      <c r="G82" s="35">
        <f>G219-G67</f>
        <v>1907128641.4236002</v>
      </c>
      <c r="H82" s="35">
        <f>H219-H67</f>
        <v>2669980097.9930401</v>
      </c>
      <c r="I82" s="35">
        <f>I219-I67</f>
        <v>3470974127.3909512</v>
      </c>
      <c r="J82" s="35">
        <f>J219-J67</f>
        <v>4234588435.4169617</v>
      </c>
      <c r="K82" s="35">
        <f>K219-K67</f>
        <v>4912122585.0836754</v>
      </c>
    </row>
    <row r="83" spans="3:11" ht="15" customHeight="1" x14ac:dyDescent="0.25">
      <c r="C83" s="23" t="s">
        <v>210</v>
      </c>
      <c r="D83" s="13">
        <v>30894057</v>
      </c>
      <c r="E83" s="13">
        <v>44969727</v>
      </c>
      <c r="F83" s="13">
        <v>30392109</v>
      </c>
      <c r="G83" s="35">
        <f>F83</f>
        <v>30392109</v>
      </c>
      <c r="H83" s="35">
        <f t="shared" ref="H83:K83" si="73">G83</f>
        <v>30392109</v>
      </c>
      <c r="I83" s="35">
        <f t="shared" si="73"/>
        <v>30392109</v>
      </c>
      <c r="J83" s="35">
        <f t="shared" si="73"/>
        <v>30392109</v>
      </c>
      <c r="K83" s="35">
        <f t="shared" si="73"/>
        <v>30392109</v>
      </c>
    </row>
    <row r="84" spans="3:11" ht="15" customHeight="1" x14ac:dyDescent="0.25">
      <c r="C84" s="23" t="s">
        <v>211</v>
      </c>
      <c r="D84" s="13">
        <v>40047247</v>
      </c>
      <c r="E84" s="13">
        <v>29388425</v>
      </c>
      <c r="F84" s="13">
        <v>24888425</v>
      </c>
      <c r="G84" s="35">
        <f>F84</f>
        <v>24888425</v>
      </c>
      <c r="H84" s="35">
        <f t="shared" ref="H84:K84" si="74">G84</f>
        <v>24888425</v>
      </c>
      <c r="I84" s="35">
        <f t="shared" si="74"/>
        <v>24888425</v>
      </c>
      <c r="J84" s="35">
        <f t="shared" si="74"/>
        <v>24888425</v>
      </c>
      <c r="K84" s="35">
        <f t="shared" si="74"/>
        <v>24888425</v>
      </c>
    </row>
    <row r="85" spans="3:11" ht="15" customHeight="1" x14ac:dyDescent="0.25">
      <c r="C85" s="23" t="s">
        <v>212</v>
      </c>
      <c r="D85" s="13">
        <v>32996450</v>
      </c>
      <c r="E85" s="13">
        <v>33976400</v>
      </c>
      <c r="F85" s="13">
        <v>34855350</v>
      </c>
      <c r="G85" s="35">
        <f>F85</f>
        <v>34855350</v>
      </c>
      <c r="H85" s="35">
        <f t="shared" ref="H85:K85" si="75">G85</f>
        <v>34855350</v>
      </c>
      <c r="I85" s="35">
        <f t="shared" si="75"/>
        <v>34855350</v>
      </c>
      <c r="J85" s="35">
        <f t="shared" si="75"/>
        <v>34855350</v>
      </c>
      <c r="K85" s="35">
        <f t="shared" si="75"/>
        <v>34855350</v>
      </c>
    </row>
    <row r="86" spans="3:11" ht="15" customHeight="1" x14ac:dyDescent="0.25">
      <c r="C86" s="15" t="s">
        <v>8</v>
      </c>
      <c r="D86" s="16">
        <f>SUM(D77:D85)</f>
        <v>1975545961</v>
      </c>
      <c r="E86" s="16">
        <f t="shared" ref="E86:F86" si="76">SUM(E77:E85)</f>
        <v>3381010392</v>
      </c>
      <c r="F86" s="16">
        <f t="shared" si="76"/>
        <v>4888180927</v>
      </c>
      <c r="G86" s="16">
        <f t="shared" ref="G86" si="77">SUM(G77:G85)</f>
        <v>7542680218.623601</v>
      </c>
      <c r="H86" s="16">
        <f t="shared" ref="H86" si="78">SUM(H77:H85)</f>
        <v>10446954681.287041</v>
      </c>
      <c r="I86" s="16">
        <f t="shared" ref="I86" si="79">SUM(I77:I85)</f>
        <v>13428137476.302311</v>
      </c>
      <c r="J86" s="16">
        <f t="shared" ref="J86" si="80">SUM(J77:J85)</f>
        <v>16280030873.978443</v>
      </c>
      <c r="K86" s="16">
        <f t="shared" ref="K86" si="81">SUM(K77:K85)</f>
        <v>18887454507.560184</v>
      </c>
    </row>
    <row r="87" spans="3:11" ht="15" customHeight="1" x14ac:dyDescent="0.25">
      <c r="E87" s="28"/>
      <c r="F87" s="28"/>
      <c r="G87" s="28"/>
      <c r="H87" s="28"/>
      <c r="I87" s="28"/>
      <c r="J87" s="28"/>
      <c r="K87" s="28"/>
    </row>
    <row r="88" spans="3:11" ht="15" customHeight="1" x14ac:dyDescent="0.25">
      <c r="C88" s="18" t="s">
        <v>9</v>
      </c>
      <c r="D88" s="19">
        <f>D74+D86</f>
        <v>8971583645</v>
      </c>
      <c r="E88" s="19">
        <f t="shared" ref="E88:F88" si="82">E74+E86</f>
        <v>13256776370</v>
      </c>
      <c r="F88" s="19">
        <f t="shared" si="82"/>
        <v>21342162558</v>
      </c>
      <c r="G88" s="19">
        <f t="shared" ref="G88:K88" si="83">G74+G86</f>
        <v>29047750899.725513</v>
      </c>
      <c r="H88" s="19">
        <f t="shared" si="83"/>
        <v>38301060368.867218</v>
      </c>
      <c r="I88" s="19">
        <f t="shared" si="83"/>
        <v>48725145404.770691</v>
      </c>
      <c r="J88" s="19">
        <f t="shared" si="83"/>
        <v>59966597892.082809</v>
      </c>
      <c r="K88" s="19">
        <f t="shared" si="83"/>
        <v>72008116683.614899</v>
      </c>
    </row>
    <row r="89" spans="3:11" ht="15" customHeight="1" x14ac:dyDescent="0.25">
      <c r="E89" s="24"/>
      <c r="F89" s="24"/>
      <c r="G89" s="24"/>
      <c r="H89" s="24"/>
      <c r="I89" s="24"/>
      <c r="J89" s="24"/>
      <c r="K89" s="24"/>
    </row>
    <row r="90" spans="3:11" s="50" customFormat="1" ht="15" customHeight="1" x14ac:dyDescent="0.25">
      <c r="C90" s="60" t="s">
        <v>10</v>
      </c>
      <c r="D90" s="62"/>
      <c r="E90" s="63"/>
      <c r="F90" s="63"/>
      <c r="G90" s="63"/>
      <c r="H90" s="63"/>
      <c r="I90" s="63"/>
      <c r="J90" s="63"/>
      <c r="K90" s="63"/>
    </row>
    <row r="91" spans="3:11" ht="15" customHeight="1" x14ac:dyDescent="0.25">
      <c r="E91" s="24"/>
      <c r="F91" s="24"/>
      <c r="G91" s="24"/>
      <c r="H91" s="24"/>
      <c r="I91" s="24"/>
      <c r="J91" s="24"/>
      <c r="K91" s="24"/>
    </row>
    <row r="92" spans="3:11" ht="15" customHeight="1" x14ac:dyDescent="0.25">
      <c r="C92" s="18" t="s">
        <v>11</v>
      </c>
      <c r="E92" s="24"/>
      <c r="F92" s="24"/>
      <c r="G92" s="24"/>
      <c r="H92" s="24"/>
      <c r="I92" s="24"/>
      <c r="J92" s="24"/>
      <c r="K92" s="24"/>
    </row>
    <row r="93" spans="3:11" ht="15" customHeight="1" x14ac:dyDescent="0.25">
      <c r="C93" s="23" t="s">
        <v>12</v>
      </c>
      <c r="D93" s="13">
        <v>59762705</v>
      </c>
      <c r="E93" s="13">
        <v>145019071</v>
      </c>
      <c r="F93" s="13">
        <v>230748390</v>
      </c>
      <c r="G93" s="35">
        <f>F93*(1+G$50)</f>
        <v>320936347.41093856</v>
      </c>
      <c r="H93" s="35">
        <f t="shared" ref="H93:K93" si="84">G93*(1+H$50)</f>
        <v>415987947.77163976</v>
      </c>
      <c r="I93" s="35">
        <f t="shared" si="84"/>
        <v>507536924.61441892</v>
      </c>
      <c r="J93" s="35">
        <f t="shared" si="84"/>
        <v>589886103.49140084</v>
      </c>
      <c r="K93" s="35">
        <f t="shared" si="84"/>
        <v>665991134.59800375</v>
      </c>
    </row>
    <row r="94" spans="3:11" ht="15" customHeight="1" x14ac:dyDescent="0.25">
      <c r="C94" s="23" t="s">
        <v>230</v>
      </c>
      <c r="D94" s="13">
        <v>158290410</v>
      </c>
      <c r="E94" s="13">
        <v>279364012</v>
      </c>
      <c r="F94" s="13">
        <v>709464328</v>
      </c>
      <c r="G94" s="35">
        <f>F94</f>
        <v>709464328</v>
      </c>
      <c r="H94" s="35">
        <f t="shared" ref="H94:K94" si="85">G94</f>
        <v>709464328</v>
      </c>
      <c r="I94" s="35">
        <f t="shared" si="85"/>
        <v>709464328</v>
      </c>
      <c r="J94" s="35">
        <f t="shared" si="85"/>
        <v>709464328</v>
      </c>
      <c r="K94" s="35">
        <f t="shared" si="85"/>
        <v>709464328</v>
      </c>
    </row>
    <row r="95" spans="3:11" ht="15" customHeight="1" x14ac:dyDescent="0.25">
      <c r="C95" s="23" t="s">
        <v>231</v>
      </c>
      <c r="D95" s="13">
        <v>363478866</v>
      </c>
      <c r="E95" s="13">
        <v>886794276</v>
      </c>
      <c r="F95" s="13">
        <v>2182673993</v>
      </c>
      <c r="G95" s="35">
        <f>F95</f>
        <v>2182673993</v>
      </c>
      <c r="H95" s="35">
        <f t="shared" ref="H95:K95" si="86">G95</f>
        <v>2182673993</v>
      </c>
      <c r="I95" s="35">
        <f t="shared" si="86"/>
        <v>2182673993</v>
      </c>
      <c r="J95" s="35">
        <f t="shared" si="86"/>
        <v>2182673993</v>
      </c>
      <c r="K95" s="35">
        <f t="shared" si="86"/>
        <v>2182673993</v>
      </c>
    </row>
    <row r="96" spans="3:11" ht="15" customHeight="1" x14ac:dyDescent="0.25">
      <c r="C96" s="23" t="s">
        <v>232</v>
      </c>
      <c r="D96" s="13">
        <v>110156483</v>
      </c>
      <c r="E96" s="13">
        <v>176449708</v>
      </c>
      <c r="F96" s="13">
        <v>226289992</v>
      </c>
      <c r="G96" s="35">
        <f>0.026*G16</f>
        <v>312855577.57999998</v>
      </c>
      <c r="H96" s="35">
        <f>0.026*H16</f>
        <v>405513899.30220002</v>
      </c>
      <c r="I96" s="35">
        <f>0.026*I16</f>
        <v>494757789.120426</v>
      </c>
      <c r="J96" s="35">
        <f>0.026*J16</f>
        <v>575033520.20740235</v>
      </c>
      <c r="K96" s="35">
        <f>0.026*K16</f>
        <v>649222323.23853135</v>
      </c>
    </row>
    <row r="97" spans="3:13" ht="15" customHeight="1" x14ac:dyDescent="0.25">
      <c r="C97" s="23" t="s">
        <v>233</v>
      </c>
      <c r="D97" s="13">
        <v>2427822504</v>
      </c>
      <c r="E97" s="13">
        <v>2303120832</v>
      </c>
      <c r="F97" s="13">
        <v>2957029450</v>
      </c>
      <c r="G97" s="35">
        <f>0.342*G16</f>
        <v>4115254135.8600001</v>
      </c>
      <c r="H97" s="35">
        <f>0.342*H16</f>
        <v>5334067444.6674004</v>
      </c>
      <c r="I97" s="35">
        <f>0.342*I16</f>
        <v>6507967841.507143</v>
      </c>
      <c r="J97" s="35">
        <f>0.342*J16</f>
        <v>7563902458.1127548</v>
      </c>
      <c r="K97" s="35">
        <f>0.342*K16</f>
        <v>8539770559.5222206</v>
      </c>
    </row>
    <row r="98" spans="3:13" ht="15" customHeight="1" x14ac:dyDescent="0.25">
      <c r="C98" s="23" t="s">
        <v>234</v>
      </c>
      <c r="D98" s="13">
        <v>1445685555</v>
      </c>
      <c r="E98" s="13">
        <v>2602659644</v>
      </c>
      <c r="F98" s="13">
        <v>4113373355</v>
      </c>
      <c r="G98" s="218">
        <f>0.475*G16</f>
        <v>5715630744.25</v>
      </c>
      <c r="H98" s="218">
        <f>0.475*H16</f>
        <v>7408427006.4825001</v>
      </c>
      <c r="I98" s="218">
        <f>0.475*I16</f>
        <v>9038844224.3154755</v>
      </c>
      <c r="J98" s="218">
        <f>0.475*J16</f>
        <v>10505420080.712158</v>
      </c>
      <c r="K98" s="218">
        <f>0.475*K16</f>
        <v>11860792443.780861</v>
      </c>
    </row>
    <row r="99" spans="3:13" ht="15" customHeight="1" x14ac:dyDescent="0.25">
      <c r="C99" s="23" t="s">
        <v>235</v>
      </c>
      <c r="D99" s="13">
        <v>100810102</v>
      </c>
      <c r="E99" s="13">
        <v>108901634</v>
      </c>
      <c r="F99" s="13">
        <v>124467547</v>
      </c>
      <c r="G99" s="35">
        <f>0.014*G16</f>
        <v>168460695.62</v>
      </c>
      <c r="H99" s="35">
        <f>0.014*H16</f>
        <v>218353638.08580002</v>
      </c>
      <c r="I99" s="35">
        <f>0.014*I16</f>
        <v>266408040.29561403</v>
      </c>
      <c r="J99" s="35">
        <f>0.014*J16</f>
        <v>309633433.95783204</v>
      </c>
      <c r="K99" s="35">
        <f>0.014*K16</f>
        <v>349581250.97459382</v>
      </c>
    </row>
    <row r="100" spans="3:13" ht="15" customHeight="1" x14ac:dyDescent="0.25">
      <c r="C100" s="23" t="s">
        <v>13</v>
      </c>
      <c r="D100" s="13">
        <v>325187742</v>
      </c>
      <c r="E100" s="13">
        <v>530099002</v>
      </c>
      <c r="F100" s="13">
        <v>865667687</v>
      </c>
      <c r="G100" s="35">
        <f>0.1*G16</f>
        <v>1203290683</v>
      </c>
      <c r="H100" s="35">
        <f>0.1*H16</f>
        <v>1559668843.4700003</v>
      </c>
      <c r="I100" s="35">
        <f>0.1*I16</f>
        <v>1902914573.5401001</v>
      </c>
      <c r="J100" s="35">
        <f>0.1*J16</f>
        <v>2211667385.4130859</v>
      </c>
      <c r="K100" s="35">
        <f>0.1*K16</f>
        <v>2497008935.5328131</v>
      </c>
    </row>
    <row r="101" spans="3:13" ht="15" customHeight="1" x14ac:dyDescent="0.25">
      <c r="C101" s="23" t="s">
        <v>236</v>
      </c>
      <c r="D101" s="13">
        <v>33604441</v>
      </c>
      <c r="E101" s="13">
        <v>34641791</v>
      </c>
      <c r="F101" s="13">
        <v>47189558</v>
      </c>
      <c r="G101" s="35">
        <f>F101</f>
        <v>47189558</v>
      </c>
      <c r="H101" s="35">
        <f t="shared" ref="H101:K101" si="87">G101</f>
        <v>47189558</v>
      </c>
      <c r="I101" s="35">
        <f t="shared" si="87"/>
        <v>47189558</v>
      </c>
      <c r="J101" s="35">
        <f t="shared" si="87"/>
        <v>47189558</v>
      </c>
      <c r="K101" s="35">
        <f t="shared" si="87"/>
        <v>47189558</v>
      </c>
    </row>
    <row r="102" spans="3:13" ht="15" customHeight="1" x14ac:dyDescent="0.25">
      <c r="C102" s="23" t="s">
        <v>237</v>
      </c>
      <c r="D102" s="13">
        <v>186396575</v>
      </c>
      <c r="E102" s="13">
        <v>419940071</v>
      </c>
      <c r="F102" s="13">
        <v>752345991</v>
      </c>
      <c r="G102" s="35">
        <f>F102*(1+G$50)</f>
        <v>1046400255.8839213</v>
      </c>
      <c r="H102" s="35">
        <f t="shared" ref="H102:K102" si="88">G102*(1+H$50)</f>
        <v>1356312236.0693853</v>
      </c>
      <c r="I102" s="35">
        <f t="shared" si="88"/>
        <v>1654804050.9323914</v>
      </c>
      <c r="J102" s="35">
        <f t="shared" si="88"/>
        <v>1923300288.7186625</v>
      </c>
      <c r="K102" s="35">
        <f t="shared" si="88"/>
        <v>2171437729.8855672</v>
      </c>
      <c r="M102" s="37"/>
    </row>
    <row r="103" spans="3:13" ht="15" customHeight="1" x14ac:dyDescent="0.25">
      <c r="C103" s="15" t="s">
        <v>14</v>
      </c>
      <c r="D103" s="16">
        <f>SUM(D93:D102)</f>
        <v>5211195383</v>
      </c>
      <c r="E103" s="16">
        <f t="shared" ref="E103:F103" si="89">SUM(E93:E102)</f>
        <v>7486990041</v>
      </c>
      <c r="F103" s="16">
        <f t="shared" si="89"/>
        <v>12209250291</v>
      </c>
      <c r="G103" s="16">
        <f t="shared" ref="G103" si="90">SUM(G93:G102)</f>
        <v>15822156318.60486</v>
      </c>
      <c r="H103" s="16">
        <f t="shared" ref="H103" si="91">SUM(H93:H102)</f>
        <v>19637658894.848927</v>
      </c>
      <c r="I103" s="16">
        <f t="shared" ref="I103" si="92">SUM(I93:I102)</f>
        <v>23312561323.325569</v>
      </c>
      <c r="J103" s="16">
        <f t="shared" ref="J103" si="93">SUM(J93:J102)</f>
        <v>26618171149.613297</v>
      </c>
      <c r="K103" s="16">
        <f t="shared" ref="K103" si="94">SUM(K93:K102)</f>
        <v>29673132256.532593</v>
      </c>
    </row>
    <row r="104" spans="3:13" ht="15" customHeight="1" x14ac:dyDescent="0.25">
      <c r="E104" s="24"/>
      <c r="F104" s="24"/>
      <c r="G104" s="24"/>
      <c r="H104" s="24"/>
      <c r="I104" s="24"/>
      <c r="J104" s="24"/>
      <c r="K104" s="24"/>
    </row>
    <row r="105" spans="3:13" ht="15" customHeight="1" x14ac:dyDescent="0.25">
      <c r="C105" s="18" t="s">
        <v>15</v>
      </c>
      <c r="E105" s="24"/>
      <c r="F105" s="24"/>
      <c r="G105" s="24"/>
      <c r="H105" s="24"/>
      <c r="I105" s="24"/>
      <c r="J105" s="24"/>
      <c r="K105" s="24"/>
    </row>
    <row r="106" spans="3:13" ht="15" customHeight="1" x14ac:dyDescent="0.25">
      <c r="C106" s="23" t="s">
        <v>227</v>
      </c>
      <c r="D106" s="13">
        <v>32086528</v>
      </c>
      <c r="E106" s="13">
        <v>49328304</v>
      </c>
      <c r="F106" s="13">
        <v>53036593</v>
      </c>
      <c r="G106" s="35">
        <f>F106</f>
        <v>53036593</v>
      </c>
      <c r="H106" s="35">
        <f t="shared" ref="H106:K106" si="95">G106</f>
        <v>53036593</v>
      </c>
      <c r="I106" s="35">
        <f t="shared" si="95"/>
        <v>53036593</v>
      </c>
      <c r="J106" s="35">
        <f t="shared" si="95"/>
        <v>53036593</v>
      </c>
      <c r="K106" s="35">
        <f t="shared" si="95"/>
        <v>53036593</v>
      </c>
    </row>
    <row r="107" spans="3:13" ht="15" customHeight="1" x14ac:dyDescent="0.25">
      <c r="C107" s="23" t="s">
        <v>228</v>
      </c>
      <c r="D107" s="13">
        <v>147535732</v>
      </c>
      <c r="E107" s="13">
        <v>381159804</v>
      </c>
      <c r="F107" s="13">
        <v>739762468</v>
      </c>
      <c r="G107" s="35">
        <f>F107</f>
        <v>739762468</v>
      </c>
      <c r="H107" s="35">
        <f t="shared" ref="H107:K107" si="96">G107</f>
        <v>739762468</v>
      </c>
      <c r="I107" s="35">
        <f t="shared" si="96"/>
        <v>739762468</v>
      </c>
      <c r="J107" s="35">
        <f t="shared" si="96"/>
        <v>739762468</v>
      </c>
      <c r="K107" s="35">
        <f t="shared" si="96"/>
        <v>739762468</v>
      </c>
    </row>
    <row r="108" spans="3:13" ht="15" customHeight="1" x14ac:dyDescent="0.25">
      <c r="C108" s="23" t="s">
        <v>229</v>
      </c>
      <c r="D108" s="13">
        <v>110917370</v>
      </c>
      <c r="E108" s="13">
        <v>176301969</v>
      </c>
      <c r="F108" s="13">
        <v>268522261</v>
      </c>
      <c r="G108" s="35">
        <f>F108</f>
        <v>268522261</v>
      </c>
      <c r="H108" s="35">
        <f t="shared" ref="H108:K108" si="97">G108</f>
        <v>268522261</v>
      </c>
      <c r="I108" s="35">
        <f t="shared" si="97"/>
        <v>268522261</v>
      </c>
      <c r="J108" s="35">
        <f t="shared" si="97"/>
        <v>268522261</v>
      </c>
      <c r="K108" s="35">
        <f t="shared" si="97"/>
        <v>268522261</v>
      </c>
    </row>
    <row r="109" spans="3:13" ht="15" customHeight="1" x14ac:dyDescent="0.25">
      <c r="C109" s="15" t="s">
        <v>16</v>
      </c>
      <c r="D109" s="16">
        <f>SUM(D106:D108)</f>
        <v>290539630</v>
      </c>
      <c r="E109" s="16">
        <f t="shared" ref="E109:F109" si="98">SUM(E106:E108)</f>
        <v>606790077</v>
      </c>
      <c r="F109" s="16">
        <f t="shared" si="98"/>
        <v>1061321322</v>
      </c>
      <c r="G109" s="16">
        <f t="shared" ref="G109" si="99">SUM(G106:G108)</f>
        <v>1061321322</v>
      </c>
      <c r="H109" s="16">
        <f t="shared" ref="H109" si="100">SUM(H106:H108)</f>
        <v>1061321322</v>
      </c>
      <c r="I109" s="16">
        <f t="shared" ref="I109" si="101">SUM(I106:I108)</f>
        <v>1061321322</v>
      </c>
      <c r="J109" s="16">
        <f t="shared" ref="J109" si="102">SUM(J106:J108)</f>
        <v>1061321322</v>
      </c>
      <c r="K109" s="16">
        <f t="shared" ref="K109" si="103">SUM(K106:K108)</f>
        <v>1061321322</v>
      </c>
    </row>
    <row r="110" spans="3:13" ht="15" customHeight="1" x14ac:dyDescent="0.25">
      <c r="E110" s="24"/>
      <c r="F110" s="24"/>
      <c r="G110" s="24"/>
      <c r="H110" s="24"/>
      <c r="I110" s="24"/>
      <c r="J110" s="24"/>
      <c r="K110" s="24"/>
    </row>
    <row r="111" spans="3:13" ht="15" customHeight="1" x14ac:dyDescent="0.25">
      <c r="C111" s="18" t="s">
        <v>17</v>
      </c>
      <c r="D111" s="38">
        <f>D103+D109</f>
        <v>5501735013</v>
      </c>
      <c r="E111" s="38">
        <f t="shared" ref="E111:F111" si="104">E103+E109</f>
        <v>8093780118</v>
      </c>
      <c r="F111" s="38">
        <f t="shared" si="104"/>
        <v>13270571613</v>
      </c>
      <c r="G111" s="38">
        <f t="shared" ref="G111:K111" si="105">G103+G109</f>
        <v>16883477640.60486</v>
      </c>
      <c r="H111" s="38">
        <f t="shared" si="105"/>
        <v>20698980216.848927</v>
      </c>
      <c r="I111" s="38">
        <f t="shared" si="105"/>
        <v>24373882645.325569</v>
      </c>
      <c r="J111" s="38">
        <f t="shared" si="105"/>
        <v>27679492471.613297</v>
      </c>
      <c r="K111" s="38">
        <f t="shared" si="105"/>
        <v>30734453578.532593</v>
      </c>
    </row>
    <row r="112" spans="3:13" ht="15" customHeight="1" x14ac:dyDescent="0.25">
      <c r="E112" s="24"/>
      <c r="F112" s="24"/>
      <c r="G112" s="24"/>
      <c r="H112" s="24"/>
      <c r="I112" s="24"/>
      <c r="J112" s="24"/>
      <c r="K112" s="24"/>
    </row>
    <row r="113" spans="3:11" ht="15" customHeight="1" x14ac:dyDescent="0.25">
      <c r="C113" s="18" t="s">
        <v>18</v>
      </c>
      <c r="E113" s="24"/>
      <c r="F113" s="24"/>
      <c r="G113" s="24"/>
      <c r="H113" s="24"/>
      <c r="I113" s="24"/>
      <c r="J113" s="24"/>
      <c r="K113" s="24"/>
    </row>
    <row r="114" spans="3:11" ht="15" customHeight="1" x14ac:dyDescent="0.25">
      <c r="C114" s="23" t="s">
        <v>220</v>
      </c>
      <c r="D114" s="13">
        <v>1703261622</v>
      </c>
      <c r="E114" s="13">
        <v>1703261622</v>
      </c>
      <c r="F114" s="13">
        <v>1703261622</v>
      </c>
      <c r="G114" s="35">
        <f>F114</f>
        <v>1703261622</v>
      </c>
      <c r="H114" s="35">
        <f t="shared" ref="H114:K114" si="106">G114</f>
        <v>1703261622</v>
      </c>
      <c r="I114" s="35">
        <f t="shared" si="106"/>
        <v>1703261622</v>
      </c>
      <c r="J114" s="35">
        <f t="shared" si="106"/>
        <v>1703261622</v>
      </c>
      <c r="K114" s="35">
        <f t="shared" si="106"/>
        <v>1703261622</v>
      </c>
    </row>
    <row r="115" spans="3:11" ht="15" customHeight="1" x14ac:dyDescent="0.25">
      <c r="C115" s="23" t="s">
        <v>221</v>
      </c>
      <c r="D115" s="13">
        <v>62039050</v>
      </c>
      <c r="E115" s="13">
        <v>92581238</v>
      </c>
      <c r="F115" s="13">
        <v>162845631</v>
      </c>
      <c r="G115" s="35">
        <f t="shared" ref="G115:K119" si="107">F115</f>
        <v>162845631</v>
      </c>
      <c r="H115" s="35">
        <f t="shared" si="107"/>
        <v>162845631</v>
      </c>
      <c r="I115" s="35">
        <f t="shared" si="107"/>
        <v>162845631</v>
      </c>
      <c r="J115" s="35">
        <f t="shared" si="107"/>
        <v>162845631</v>
      </c>
      <c r="K115" s="35">
        <f t="shared" si="107"/>
        <v>162845631</v>
      </c>
    </row>
    <row r="116" spans="3:11" ht="15" customHeight="1" x14ac:dyDescent="0.25">
      <c r="C116" s="23" t="s">
        <v>222</v>
      </c>
      <c r="D116" s="13">
        <v>-43170059</v>
      </c>
      <c r="E116" s="13">
        <v>-31429709</v>
      </c>
      <c r="F116" s="13">
        <v>-18075565</v>
      </c>
      <c r="G116" s="35">
        <f t="shared" si="107"/>
        <v>-18075565</v>
      </c>
      <c r="H116" s="35">
        <f t="shared" si="107"/>
        <v>-18075565</v>
      </c>
      <c r="I116" s="35">
        <f t="shared" si="107"/>
        <v>-18075565</v>
      </c>
      <c r="J116" s="35">
        <f t="shared" si="107"/>
        <v>-18075565</v>
      </c>
      <c r="K116" s="35">
        <f t="shared" si="107"/>
        <v>-18075565</v>
      </c>
    </row>
    <row r="117" spans="3:11" ht="15" customHeight="1" x14ac:dyDescent="0.25">
      <c r="C117" s="23" t="s">
        <v>223</v>
      </c>
      <c r="D117" s="13">
        <v>198552525</v>
      </c>
      <c r="E117" s="13">
        <v>150837104</v>
      </c>
      <c r="F117" s="13">
        <v>133234448</v>
      </c>
      <c r="G117" s="35">
        <f t="shared" si="107"/>
        <v>133234448</v>
      </c>
      <c r="H117" s="35">
        <f t="shared" si="107"/>
        <v>133234448</v>
      </c>
      <c r="I117" s="35">
        <f t="shared" si="107"/>
        <v>133234448</v>
      </c>
      <c r="J117" s="35">
        <f t="shared" si="107"/>
        <v>133234448</v>
      </c>
      <c r="K117" s="35">
        <f t="shared" si="107"/>
        <v>133234448</v>
      </c>
    </row>
    <row r="118" spans="3:11" ht="15" customHeight="1" x14ac:dyDescent="0.25">
      <c r="C118" s="23" t="s">
        <v>224</v>
      </c>
      <c r="D118" s="13">
        <v>11745574</v>
      </c>
      <c r="E118" s="13">
        <v>11745574</v>
      </c>
      <c r="F118" s="13">
        <v>11745574</v>
      </c>
      <c r="G118" s="35">
        <f t="shared" si="107"/>
        <v>11745574</v>
      </c>
      <c r="H118" s="35">
        <f t="shared" si="107"/>
        <v>11745574</v>
      </c>
      <c r="I118" s="35">
        <f t="shared" si="107"/>
        <v>11745574</v>
      </c>
      <c r="J118" s="35">
        <f t="shared" si="107"/>
        <v>11745574</v>
      </c>
      <c r="K118" s="35">
        <f t="shared" si="107"/>
        <v>11745574</v>
      </c>
    </row>
    <row r="119" spans="3:11" ht="15" customHeight="1" x14ac:dyDescent="0.25">
      <c r="C119" s="23" t="s">
        <v>225</v>
      </c>
      <c r="D119" s="13">
        <v>-12252854</v>
      </c>
      <c r="E119" s="13">
        <v>-22911676</v>
      </c>
      <c r="F119" s="13">
        <v>-27411676</v>
      </c>
      <c r="G119" s="35">
        <f t="shared" si="107"/>
        <v>-27411676</v>
      </c>
      <c r="H119" s="35">
        <f t="shared" si="107"/>
        <v>-27411676</v>
      </c>
      <c r="I119" s="35">
        <f t="shared" si="107"/>
        <v>-27411676</v>
      </c>
      <c r="J119" s="35">
        <f t="shared" si="107"/>
        <v>-27411676</v>
      </c>
      <c r="K119" s="35">
        <f t="shared" si="107"/>
        <v>-27411676</v>
      </c>
    </row>
    <row r="120" spans="3:11" ht="15" customHeight="1" x14ac:dyDescent="0.25">
      <c r="C120" s="23" t="s">
        <v>19</v>
      </c>
      <c r="D120" s="13">
        <v>1396481410</v>
      </c>
      <c r="E120" s="13">
        <v>3043072196</v>
      </c>
      <c r="F120" s="13">
        <v>5764939290</v>
      </c>
      <c r="G120" s="35">
        <f>F120+G40-(G$57*G40)</f>
        <v>9533148208.817688</v>
      </c>
      <c r="H120" s="35">
        <f>G120+H40-(H$57*H40)</f>
        <v>14539838408.525448</v>
      </c>
      <c r="I120" s="35">
        <f>H120+I40-(I$57*I40)</f>
        <v>20753936680.528603</v>
      </c>
      <c r="J120" s="35">
        <f>I120+J40-(J$57*J40)</f>
        <v>28060614990.357567</v>
      </c>
      <c r="K120" s="35">
        <f>J120+K40-(K$57*K40)</f>
        <v>36334706214.050148</v>
      </c>
    </row>
    <row r="121" spans="3:11" ht="15" customHeight="1" x14ac:dyDescent="0.25">
      <c r="C121" s="249" t="s">
        <v>226</v>
      </c>
      <c r="D121" s="186">
        <f>SUM(D114:D120)</f>
        <v>3316657268</v>
      </c>
      <c r="E121" s="186">
        <f t="shared" ref="E121:G121" si="108">SUM(E114:E120)</f>
        <v>4947156349</v>
      </c>
      <c r="F121" s="186">
        <f t="shared" si="108"/>
        <v>7730539324</v>
      </c>
      <c r="G121" s="186">
        <f t="shared" si="108"/>
        <v>11498748242.817688</v>
      </c>
      <c r="H121" s="186">
        <f t="shared" ref="H121" si="109">SUM(H114:H120)</f>
        <v>16505438442.525448</v>
      </c>
      <c r="I121" s="186">
        <f t="shared" ref="I121" si="110">SUM(I114:I120)</f>
        <v>22719536714.528603</v>
      </c>
      <c r="J121" s="186">
        <f t="shared" ref="J121" si="111">SUM(J114:J120)</f>
        <v>30026215024.357567</v>
      </c>
      <c r="K121" s="186">
        <f t="shared" ref="K121" si="112">SUM(K114:K120)</f>
        <v>38300306248.050148</v>
      </c>
    </row>
    <row r="122" spans="3:11" ht="15" customHeight="1" x14ac:dyDescent="0.25">
      <c r="C122" s="23" t="s">
        <v>45</v>
      </c>
      <c r="D122" s="13">
        <v>153191364</v>
      </c>
      <c r="E122" s="13">
        <v>215839903</v>
      </c>
      <c r="F122" s="13">
        <v>341051621</v>
      </c>
      <c r="G122" s="35">
        <f>F122+G39</f>
        <v>665525016.30296683</v>
      </c>
      <c r="H122" s="35">
        <f>G122+H39</f>
        <v>1096641709.4928393</v>
      </c>
      <c r="I122" s="35">
        <f>H122+I39</f>
        <v>1631726044.9165242</v>
      </c>
      <c r="J122" s="35">
        <f>I122+J39</f>
        <v>2260890396.1119504</v>
      </c>
      <c r="K122" s="35">
        <f>J122+K39</f>
        <v>2973356857.0321612</v>
      </c>
    </row>
    <row r="123" spans="3:11" ht="15" customHeight="1" x14ac:dyDescent="0.25">
      <c r="C123" s="39" t="s">
        <v>20</v>
      </c>
      <c r="D123" s="16">
        <f>SUM(D121:D122)</f>
        <v>3469848632</v>
      </c>
      <c r="E123" s="16">
        <f t="shared" ref="E123:F123" si="113">SUM(E121:E122)</f>
        <v>5162996252</v>
      </c>
      <c r="F123" s="16">
        <f t="shared" si="113"/>
        <v>8071590945</v>
      </c>
      <c r="G123" s="16">
        <f t="shared" ref="G123" si="114">SUM(G121:G122)</f>
        <v>12164273259.120655</v>
      </c>
      <c r="H123" s="16">
        <f t="shared" ref="H123" si="115">SUM(H121:H122)</f>
        <v>17602080152.018288</v>
      </c>
      <c r="I123" s="16">
        <f t="shared" ref="I123" si="116">SUM(I121:I122)</f>
        <v>24351262759.445126</v>
      </c>
      <c r="J123" s="16">
        <f t="shared" ref="J123" si="117">SUM(J121:J122)</f>
        <v>32287105420.469517</v>
      </c>
      <c r="K123" s="16">
        <f t="shared" ref="K123" si="118">SUM(K121:K122)</f>
        <v>41273663105.082306</v>
      </c>
    </row>
    <row r="124" spans="3:11" ht="15" customHeight="1" x14ac:dyDescent="0.25">
      <c r="E124" s="28"/>
      <c r="F124" s="28"/>
      <c r="G124" s="28"/>
      <c r="H124" s="28"/>
      <c r="I124" s="28"/>
      <c r="J124" s="28"/>
      <c r="K124" s="28"/>
    </row>
    <row r="125" spans="3:11" ht="15" customHeight="1" x14ac:dyDescent="0.25">
      <c r="C125" s="18" t="s">
        <v>21</v>
      </c>
      <c r="D125" s="19">
        <f>D111+D123</f>
        <v>8971583645</v>
      </c>
      <c r="E125" s="19">
        <f t="shared" ref="E125:F125" si="119">E111+E123</f>
        <v>13256776370</v>
      </c>
      <c r="F125" s="19">
        <f t="shared" si="119"/>
        <v>21342162558</v>
      </c>
      <c r="G125" s="19">
        <f t="shared" ref="G125:K125" si="120">G111+G123</f>
        <v>29047750899.725517</v>
      </c>
      <c r="H125" s="19">
        <f t="shared" si="120"/>
        <v>38301060368.867218</v>
      </c>
      <c r="I125" s="19">
        <f t="shared" si="120"/>
        <v>48725145404.770691</v>
      </c>
      <c r="J125" s="19">
        <f t="shared" si="120"/>
        <v>59966597892.082809</v>
      </c>
      <c r="K125" s="19">
        <f t="shared" si="120"/>
        <v>72008116683.614899</v>
      </c>
    </row>
    <row r="126" spans="3:11" ht="15" customHeight="1" x14ac:dyDescent="0.25">
      <c r="E126" s="24"/>
      <c r="F126" s="24"/>
      <c r="G126" s="24"/>
      <c r="H126" s="24"/>
      <c r="I126" s="24"/>
      <c r="J126" s="24"/>
      <c r="K126" s="24"/>
    </row>
    <row r="127" spans="3:11" ht="15" customHeight="1" x14ac:dyDescent="0.25">
      <c r="C127" s="8" t="s">
        <v>22</v>
      </c>
      <c r="D127" s="24">
        <f>D88-D125</f>
        <v>0</v>
      </c>
      <c r="E127" s="24">
        <f t="shared" ref="E127:K127" si="121">E88-E125</f>
        <v>0</v>
      </c>
      <c r="F127" s="24">
        <f t="shared" si="121"/>
        <v>0</v>
      </c>
      <c r="G127" s="24">
        <f t="shared" si="121"/>
        <v>0</v>
      </c>
      <c r="H127" s="24">
        <f t="shared" si="121"/>
        <v>0</v>
      </c>
      <c r="I127" s="24">
        <f t="shared" si="121"/>
        <v>0</v>
      </c>
      <c r="J127" s="24">
        <f t="shared" si="121"/>
        <v>0</v>
      </c>
      <c r="K127" s="24">
        <f t="shared" si="121"/>
        <v>0</v>
      </c>
    </row>
    <row r="128" spans="3:11" ht="15" customHeight="1" x14ac:dyDescent="0.25"/>
    <row r="129" spans="3:11" customFormat="1" x14ac:dyDescent="0.25">
      <c r="C129" s="54" t="s">
        <v>67</v>
      </c>
      <c r="D129" s="61"/>
      <c r="E129" s="61"/>
      <c r="F129" s="61"/>
      <c r="G129" s="61"/>
      <c r="H129" s="61"/>
      <c r="I129" s="61"/>
      <c r="J129" s="61"/>
      <c r="K129" s="61"/>
    </row>
    <row r="130" spans="3:11" customFormat="1" x14ac:dyDescent="0.25">
      <c r="C130" t="s">
        <v>64</v>
      </c>
      <c r="D130" s="56"/>
      <c r="E130" s="56"/>
      <c r="F130" s="56">
        <f t="shared" ref="F130" si="122">F$13</f>
        <v>2025</v>
      </c>
      <c r="G130" s="57">
        <f t="shared" ref="G130:K130" si="123">G$13</f>
        <v>2026</v>
      </c>
      <c r="H130" s="57">
        <f t="shared" si="123"/>
        <v>2027</v>
      </c>
      <c r="I130" s="57">
        <f t="shared" si="123"/>
        <v>2028</v>
      </c>
      <c r="J130" s="57">
        <f t="shared" si="123"/>
        <v>2029</v>
      </c>
      <c r="K130" s="57">
        <f t="shared" si="123"/>
        <v>2030</v>
      </c>
    </row>
    <row r="131" spans="3:11" customFormat="1" x14ac:dyDescent="0.25">
      <c r="C131" s="58" t="s">
        <v>65</v>
      </c>
      <c r="D131" s="59"/>
      <c r="E131" s="59"/>
      <c r="F131" s="59">
        <f t="shared" ref="F131" si="124">F$14</f>
        <v>46022</v>
      </c>
      <c r="G131" s="59">
        <f t="shared" ref="G131:K131" si="125">G$14</f>
        <v>46387</v>
      </c>
      <c r="H131" s="59">
        <f t="shared" si="125"/>
        <v>46752</v>
      </c>
      <c r="I131" s="59">
        <f t="shared" si="125"/>
        <v>47118</v>
      </c>
      <c r="J131" s="59">
        <f t="shared" si="125"/>
        <v>47483</v>
      </c>
      <c r="K131" s="59">
        <f t="shared" si="125"/>
        <v>47848</v>
      </c>
    </row>
    <row r="132" spans="3:11" ht="15" customHeight="1" x14ac:dyDescent="0.25"/>
    <row r="133" spans="3:11" s="18" customFormat="1" ht="15" customHeight="1" x14ac:dyDescent="0.25">
      <c r="C133" s="23" t="s">
        <v>47</v>
      </c>
      <c r="D133" s="254"/>
      <c r="E133" s="254"/>
      <c r="F133" s="254">
        <f>F38</f>
        <v>3100654415</v>
      </c>
      <c r="G133" s="254">
        <f>G38</f>
        <v>4757660358.6178923</v>
      </c>
      <c r="H133" s="254">
        <f>H38</f>
        <v>6321340457.5519428</v>
      </c>
      <c r="I133" s="254">
        <f>I38</f>
        <v>7845788184.8391638</v>
      </c>
      <c r="J133" s="254">
        <f>J38</f>
        <v>9225256480.4059753</v>
      </c>
      <c r="K133" s="254">
        <f>K38</f>
        <v>10446691429.970304</v>
      </c>
    </row>
    <row r="134" spans="3:11" ht="15" customHeight="1" x14ac:dyDescent="0.25">
      <c r="C134" s="23" t="s">
        <v>238</v>
      </c>
      <c r="D134" s="257"/>
      <c r="E134" s="257"/>
      <c r="F134" s="257">
        <f t="shared" ref="F134:K134" si="126">F180</f>
        <v>696996881</v>
      </c>
      <c r="G134" s="257">
        <f t="shared" si="126"/>
        <v>789184877.69999993</v>
      </c>
      <c r="H134" s="257">
        <f t="shared" si="126"/>
        <v>1289848449.54</v>
      </c>
      <c r="I134" s="257">
        <f t="shared" si="126"/>
        <v>1815931838.8168497</v>
      </c>
      <c r="J134" s="257">
        <f t="shared" si="126"/>
        <v>2335055681.1760502</v>
      </c>
      <c r="K134" s="257">
        <f t="shared" si="126"/>
        <v>2814427493.5973163</v>
      </c>
    </row>
    <row r="135" spans="3:11" ht="15" customHeight="1" x14ac:dyDescent="0.25">
      <c r="C135" s="23" t="s">
        <v>23</v>
      </c>
      <c r="D135" s="257"/>
      <c r="E135" s="255"/>
      <c r="F135" s="255">
        <f t="shared" ref="F135:K135" si="127">F93-E93</f>
        <v>85729319</v>
      </c>
      <c r="G135" s="255">
        <f t="shared" si="127"/>
        <v>90187957.410938561</v>
      </c>
      <c r="H135" s="255">
        <f t="shared" si="127"/>
        <v>95051600.360701203</v>
      </c>
      <c r="I135" s="255">
        <f t="shared" si="127"/>
        <v>91548976.84277916</v>
      </c>
      <c r="J135" s="255">
        <f t="shared" si="127"/>
        <v>82349178.876981914</v>
      </c>
      <c r="K135" s="255">
        <f t="shared" si="127"/>
        <v>76105031.106602907</v>
      </c>
    </row>
    <row r="136" spans="3:11" s="18" customFormat="1" ht="15" customHeight="1" x14ac:dyDescent="0.25">
      <c r="C136" s="18" t="s">
        <v>24</v>
      </c>
      <c r="D136" s="254"/>
      <c r="E136" s="254"/>
      <c r="F136" s="254">
        <f>SUM(F133:F135)</f>
        <v>3883380615</v>
      </c>
      <c r="G136" s="254">
        <f>SUM(G133:G135)</f>
        <v>5637033193.7288303</v>
      </c>
      <c r="H136" s="254">
        <f>SUM(H133:H135)</f>
        <v>7706240507.4526443</v>
      </c>
      <c r="I136" s="254">
        <f>SUM(I133:I135)</f>
        <v>9753269000.4987926</v>
      </c>
      <c r="J136" s="254">
        <f>SUM(J133:J135)</f>
        <v>11642661340.459007</v>
      </c>
      <c r="K136" s="254">
        <f>SUM(K133:K135)</f>
        <v>13337223954.674225</v>
      </c>
    </row>
    <row r="137" spans="3:11" s="18" customFormat="1" ht="15" customHeight="1" x14ac:dyDescent="0.25">
      <c r="D137" s="261"/>
      <c r="E137" s="259"/>
      <c r="F137" s="259"/>
      <c r="G137" s="260"/>
      <c r="H137" s="260"/>
      <c r="I137" s="260"/>
      <c r="J137" s="260"/>
      <c r="K137" s="260"/>
    </row>
    <row r="138" spans="3:11" ht="15" customHeight="1" x14ac:dyDescent="0.25">
      <c r="C138" s="23" t="s">
        <v>239</v>
      </c>
      <c r="D138" s="255"/>
      <c r="E138" s="255"/>
      <c r="F138" s="255">
        <f>-(F65-E65)</f>
        <v>-33226647</v>
      </c>
      <c r="G138" s="255">
        <f>-(G65-F65)</f>
        <v>-17289308.149999999</v>
      </c>
      <c r="H138" s="255">
        <f>-(H65-G65)</f>
        <v>-17818908.023500003</v>
      </c>
      <c r="I138" s="255">
        <f>-(I65-H65)</f>
        <v>-17162286.503505006</v>
      </c>
      <c r="J138" s="255">
        <f>-(J65-I65)</f>
        <v>-15437640.593649298</v>
      </c>
      <c r="K138" s="255">
        <f>-(K65-J65)</f>
        <v>-14267077.505986348</v>
      </c>
    </row>
    <row r="139" spans="3:11" ht="15" customHeight="1" x14ac:dyDescent="0.25">
      <c r="C139" s="23" t="s">
        <v>240</v>
      </c>
      <c r="D139" s="255"/>
      <c r="E139" s="255"/>
      <c r="F139" s="255">
        <f>-((F66+F68+F69)-(E66+E68+E69))</f>
        <v>-1316474817</v>
      </c>
      <c r="G139" s="255">
        <f>-((G66+G68+G69)-(F66+F68+F69))</f>
        <v>-951433740.06000042</v>
      </c>
      <c r="H139" s="255">
        <f>-((H66+H68+H69)-(G66+G68+G69))</f>
        <v>-1004986412.5254002</v>
      </c>
      <c r="I139" s="255">
        <f>-((I66+I68+I69)-(H66+H68+H69))</f>
        <v>-967952958.79768276</v>
      </c>
      <c r="J139" s="255">
        <f>-((J66+J68+J69)-(I66+I68+I69))</f>
        <v>-870682929.48181915</v>
      </c>
      <c r="K139" s="255">
        <f>-((K66+K68+K69)-(J66+J68+J69))</f>
        <v>-804663171.33763027</v>
      </c>
    </row>
    <row r="140" spans="3:11" ht="15" customHeight="1" x14ac:dyDescent="0.25">
      <c r="C140" s="23" t="s">
        <v>241</v>
      </c>
      <c r="D140" s="255"/>
      <c r="E140" s="255"/>
      <c r="F140" s="255">
        <f>(F96+F97+F98+F99+F100)-(E96+E97+E98+E99+E100)</f>
        <v>2565597211</v>
      </c>
      <c r="G140" s="255">
        <f>(G96+G97+G98+G99+G100)-(F96+F97+F98+F99+F100)</f>
        <v>3228663805.3100014</v>
      </c>
      <c r="H140" s="255">
        <f>(H96+H97+H98+H99+H100)-(G96+G97+G98+G99+G100)</f>
        <v>3410538995.6978989</v>
      </c>
      <c r="I140" s="255">
        <f>(I96+I97+I98+I99+I100)-(H96+H97+H98+H99+H100)</f>
        <v>3284861636.7708588</v>
      </c>
      <c r="J140" s="255">
        <f>(J96+J97+J98+J99+J100)-(I96+I97+I98+I99+I100)</f>
        <v>2954764409.6244736</v>
      </c>
      <c r="K140" s="255">
        <f>(K96+K97+K98+K99+K100)-(J96+J97+J98+J99+J100)</f>
        <v>2730718634.6457863</v>
      </c>
    </row>
    <row r="141" spans="3:11" ht="15" customHeight="1" x14ac:dyDescent="0.25">
      <c r="C141" s="23" t="s">
        <v>242</v>
      </c>
      <c r="D141" s="255"/>
      <c r="E141" s="255"/>
      <c r="F141" s="255">
        <f>-((F67+F82)-(E67+E82))+(F102-E102)+((F106-E106)-(F81-E81))</f>
        <v>-2149814298</v>
      </c>
      <c r="G141" s="255">
        <f>-((G67+G82)-(F67+F82))+(G102-F102)+((G106-F106)-(G81-F81))</f>
        <v>-2707021948.3320794</v>
      </c>
      <c r="H141" s="255">
        <f>-((H67+H82)-(G67+G82))+(H102-G102)+((H106-G106)-(H81-G81))</f>
        <v>-3080538937.9009361</v>
      </c>
      <c r="I141" s="255">
        <f>-((I67+I82)-(H67+H82))+(I102-H102)+((I106-H106)-(I81-H81))</f>
        <v>-3261481649.1277146</v>
      </c>
      <c r="J141" s="255">
        <f>-((J67+J82)-(I67+I82))+(J102-I102)+((J106-I106)-(J81-I81))</f>
        <v>-3125345131.218215</v>
      </c>
      <c r="K141" s="255">
        <f>-((K67+K82)-(J67+J82))+(K102-J102)+((K106-J106)-(K81-J81))</f>
        <v>-2763125446.2407112</v>
      </c>
    </row>
    <row r="142" spans="3:11" s="18" customFormat="1" ht="15" customHeight="1" x14ac:dyDescent="0.25">
      <c r="C142" s="18" t="s">
        <v>25</v>
      </c>
      <c r="D142" s="259"/>
      <c r="E142" s="259"/>
      <c r="F142" s="259">
        <f t="shared" ref="F142:K142" si="128">F136+SUM(F138:F141)</f>
        <v>2949462064</v>
      </c>
      <c r="G142" s="259">
        <f t="shared" si="128"/>
        <v>5189952002.4967518</v>
      </c>
      <c r="H142" s="259">
        <f t="shared" si="128"/>
        <v>7013435244.7007065</v>
      </c>
      <c r="I142" s="259">
        <f t="shared" si="128"/>
        <v>8791533742.8407497</v>
      </c>
      <c r="J142" s="259">
        <f t="shared" si="128"/>
        <v>10585960048.789797</v>
      </c>
      <c r="K142" s="259">
        <f t="shared" si="128"/>
        <v>12485886894.235683</v>
      </c>
    </row>
    <row r="143" spans="3:11" s="18" customFormat="1" ht="15" customHeight="1" x14ac:dyDescent="0.25">
      <c r="C143" s="15" t="s">
        <v>26</v>
      </c>
      <c r="D143" s="270"/>
      <c r="E143" s="270"/>
      <c r="F143" s="270">
        <f t="shared" ref="F143:K143" si="129">F142</f>
        <v>2949462064</v>
      </c>
      <c r="G143" s="270">
        <f t="shared" si="129"/>
        <v>5189952002.4967518</v>
      </c>
      <c r="H143" s="270">
        <f t="shared" si="129"/>
        <v>7013435244.7007065</v>
      </c>
      <c r="I143" s="270">
        <f t="shared" si="129"/>
        <v>8791533742.8407497</v>
      </c>
      <c r="J143" s="270">
        <f t="shared" si="129"/>
        <v>10585960048.789797</v>
      </c>
      <c r="K143" s="270">
        <f t="shared" si="129"/>
        <v>12485886894.235683</v>
      </c>
    </row>
    <row r="144" spans="3:11" ht="15" customHeight="1" x14ac:dyDescent="0.25">
      <c r="D144" s="262"/>
      <c r="E144" s="258"/>
      <c r="F144" s="258"/>
      <c r="G144" s="258"/>
      <c r="H144" s="258"/>
      <c r="I144" s="258"/>
      <c r="J144" s="258"/>
      <c r="K144" s="258"/>
    </row>
    <row r="145" spans="3:11" customFormat="1" x14ac:dyDescent="0.25">
      <c r="C145" s="54" t="s">
        <v>27</v>
      </c>
      <c r="D145" s="265"/>
      <c r="E145" s="265"/>
      <c r="F145" s="265"/>
      <c r="G145" s="265"/>
      <c r="H145" s="265"/>
      <c r="I145" s="265"/>
      <c r="J145" s="265"/>
      <c r="K145" s="265"/>
    </row>
    <row r="146" spans="3:11" ht="15" customHeight="1" x14ac:dyDescent="0.25">
      <c r="D146" s="262"/>
      <c r="E146" s="258"/>
      <c r="F146" s="258"/>
      <c r="G146" s="258"/>
      <c r="H146" s="258"/>
      <c r="I146" s="258"/>
      <c r="J146" s="258"/>
      <c r="K146" s="258"/>
    </row>
    <row r="147" spans="3:11" ht="15" customHeight="1" x14ac:dyDescent="0.25">
      <c r="C147" s="23" t="s">
        <v>243</v>
      </c>
      <c r="D147" s="262"/>
      <c r="E147" s="255"/>
      <c r="F147" s="255">
        <f>-((F77-E77)+(F78-E78)+(F79-E79))-F134</f>
        <v>-1688474410</v>
      </c>
      <c r="G147" s="255">
        <f>-((G77-F77)+(G78-F78)+(G79-F79))-G134</f>
        <v>-2767568570.9000001</v>
      </c>
      <c r="H147" s="255">
        <f>-((H77-G77)+(H78-G78)+(H79-G79))-H134</f>
        <v>-3431271455.6339993</v>
      </c>
      <c r="I147" s="255">
        <f>-((I77-H77)+(I78-H78)+(I79-H79))-I134</f>
        <v>-3996120604.4342103</v>
      </c>
      <c r="J147" s="255">
        <f>-((J77-I77)+(J78-I78)+(J79-I79))-J134</f>
        <v>-4423334770.8261719</v>
      </c>
      <c r="K147" s="255">
        <f>-((K77-J77)+(K78-J78)+(K79-J79))-K134</f>
        <v>-4744316977.5123444</v>
      </c>
    </row>
    <row r="148" spans="3:11" ht="15" customHeight="1" x14ac:dyDescent="0.25">
      <c r="C148" s="23" t="s">
        <v>244</v>
      </c>
      <c r="D148" s="262"/>
      <c r="E148" s="255"/>
      <c r="F148" s="255">
        <f>-((F80-E80)+(F83-E83)+(F84-E84)+(F85-E85)+(F71-E71))</f>
        <v>-40636187</v>
      </c>
      <c r="G148" s="255">
        <f>-((G80-F80)+(G83-F83)+(G84-F84)+(G85-F85)+(G71-F71))</f>
        <v>0</v>
      </c>
      <c r="H148" s="255">
        <f>-((H80-G80)+(H83-G83)+(H84-G84)+(H85-G85)+(H71-G71))</f>
        <v>0</v>
      </c>
      <c r="I148" s="255">
        <f>-((I80-H80)+(I83-H83)+(I84-H84)+(I85-H85)+(I71-H71))</f>
        <v>0</v>
      </c>
      <c r="J148" s="255">
        <f>-((J80-I80)+(J83-I83)+(J84-I84)+(J85-I85)+(J71-I71))</f>
        <v>0</v>
      </c>
      <c r="K148" s="255">
        <f>-((K80-J80)+(K83-J83)+(K84-J84)+(K85-J85)+(K71-J71))</f>
        <v>0</v>
      </c>
    </row>
    <row r="149" spans="3:11" ht="15" customHeight="1" x14ac:dyDescent="0.25">
      <c r="C149" s="23" t="s">
        <v>245</v>
      </c>
      <c r="D149" s="262"/>
      <c r="E149" s="255"/>
      <c r="F149" s="255">
        <f>-(F72-E72)</f>
        <v>-1544196290</v>
      </c>
      <c r="G149" s="255">
        <f>-(G72-F72)</f>
        <v>-1479106558.7341862</v>
      </c>
      <c r="H149" s="255">
        <f>-(H72-G72)</f>
        <v>-1558871600.4631681</v>
      </c>
      <c r="I149" s="255">
        <f>-(I72-H72)</f>
        <v>-1501427640.4616222</v>
      </c>
      <c r="J149" s="255">
        <f>-(J72-I72)</f>
        <v>-1350548499.8216124</v>
      </c>
      <c r="K149" s="255">
        <f>-(K72-J72)</f>
        <v>-1248142810.7916412</v>
      </c>
    </row>
    <row r="150" spans="3:11" ht="15" customHeight="1" x14ac:dyDescent="0.25">
      <c r="C150" s="23"/>
      <c r="D150" s="262"/>
      <c r="E150" s="255"/>
      <c r="F150" s="255"/>
      <c r="G150" s="256"/>
      <c r="H150" s="256"/>
      <c r="I150" s="256"/>
      <c r="J150" s="256"/>
      <c r="K150" s="256"/>
    </row>
    <row r="151" spans="3:11" ht="15" customHeight="1" x14ac:dyDescent="0.25">
      <c r="C151" s="15" t="s">
        <v>28</v>
      </c>
      <c r="D151" s="266"/>
      <c r="E151" s="264"/>
      <c r="F151" s="264">
        <f>SUM(F147:F150)</f>
        <v>-3273306887</v>
      </c>
      <c r="G151" s="264">
        <f t="shared" ref="G151:K151" si="130">SUM(G147:G150)</f>
        <v>-4246675129.6341863</v>
      </c>
      <c r="H151" s="264">
        <f t="shared" si="130"/>
        <v>-4990143056.097168</v>
      </c>
      <c r="I151" s="264">
        <f t="shared" si="130"/>
        <v>-5497548244.8958321</v>
      </c>
      <c r="J151" s="264">
        <f t="shared" si="130"/>
        <v>-5773883270.6477842</v>
      </c>
      <c r="K151" s="264">
        <f t="shared" si="130"/>
        <v>-5992459788.3039856</v>
      </c>
    </row>
    <row r="152" spans="3:11" ht="15" customHeight="1" x14ac:dyDescent="0.25">
      <c r="D152" s="262"/>
      <c r="E152" s="267"/>
      <c r="F152" s="267"/>
      <c r="G152" s="258"/>
      <c r="H152" s="258"/>
      <c r="I152" s="258"/>
      <c r="J152" s="258"/>
      <c r="K152" s="258"/>
    </row>
    <row r="153" spans="3:11" s="50" customFormat="1" ht="15" customHeight="1" x14ac:dyDescent="0.25">
      <c r="C153" s="60" t="s">
        <v>29</v>
      </c>
      <c r="D153" s="268"/>
      <c r="E153" s="269"/>
      <c r="F153" s="269"/>
      <c r="G153" s="269"/>
      <c r="H153" s="269"/>
      <c r="I153" s="269"/>
      <c r="J153" s="269"/>
      <c r="K153" s="269"/>
    </row>
    <row r="154" spans="3:11" ht="15" customHeight="1" x14ac:dyDescent="0.25">
      <c r="D154" s="262"/>
      <c r="E154" s="267"/>
      <c r="F154" s="267"/>
      <c r="G154" s="258"/>
      <c r="H154" s="258"/>
      <c r="I154" s="258"/>
      <c r="J154" s="258"/>
      <c r="K154" s="258"/>
    </row>
    <row r="155" spans="3:11" ht="15" customHeight="1" x14ac:dyDescent="0.25">
      <c r="C155" s="23" t="s">
        <v>246</v>
      </c>
      <c r="D155" s="262"/>
      <c r="E155" s="255"/>
      <c r="F155" s="255">
        <f>((F114+F115+F116+F117+F118+F119+F120+F122)-(E114+E115+E116+E117+E118+E119+E120+E122))-F38</f>
        <v>-192059722</v>
      </c>
      <c r="G155" s="255">
        <f>((G114+G115+G116+G117+G118+G119+G120+G122)-(F114+F115+F116+F117+F118+F119+F120+F122))-G38</f>
        <v>-664978044.49723721</v>
      </c>
      <c r="H155" s="255">
        <f>((H114+H115+H116+H117+H118+H119+H120+H122)-(G114+G115+G116+G117+G118+G119+G120+G122))-H38</f>
        <v>-883533564.65431023</v>
      </c>
      <c r="I155" s="255">
        <f>((I114+I115+I116+I117+I118+I119+I120+I122)-(H114+H115+H116+H117+H118+H119+H120+H122))-I38</f>
        <v>-1096605577.4123259</v>
      </c>
      <c r="J155" s="255">
        <f>((J114+J115+J116+J117+J118+J119+J120+J122)-(I114+I115+I116+I117+I118+I119+I120+I122))-J38</f>
        <v>-1289413819.3815842</v>
      </c>
      <c r="K155" s="255">
        <f>((K114+K115+K116+K117+K118+K119+K120+K122)-(J114+J115+J116+J117+J118+J119+J120+J122))-K38</f>
        <v>-1460133745.3575153</v>
      </c>
    </row>
    <row r="156" spans="3:11" ht="15" customHeight="1" x14ac:dyDescent="0.25">
      <c r="C156" s="23" t="s">
        <v>30</v>
      </c>
      <c r="D156" s="262"/>
      <c r="E156" s="255"/>
      <c r="F156" s="255">
        <f>(F94+F95+F107)-(E94+E95+E107)</f>
        <v>2084582697</v>
      </c>
      <c r="G156" s="255">
        <f>(G94+G95+G107)-(F94+F95+F107)</f>
        <v>0</v>
      </c>
      <c r="H156" s="255">
        <f>(H94+H95+H107)-(G94+G95+G107)</f>
        <v>0</v>
      </c>
      <c r="I156" s="255">
        <f>(I94+I95+I107)-(H94+H95+H107)</f>
        <v>0</v>
      </c>
      <c r="J156" s="255">
        <f>(J94+J95+J107)-(I94+I95+I107)</f>
        <v>0</v>
      </c>
      <c r="K156" s="255">
        <f>(K94+K95+K107)-(J94+J95+J107)</f>
        <v>0</v>
      </c>
    </row>
    <row r="157" spans="3:11" ht="15" customHeight="1" x14ac:dyDescent="0.25">
      <c r="C157" s="23" t="s">
        <v>31</v>
      </c>
      <c r="D157" s="262"/>
      <c r="E157" s="255"/>
      <c r="F157" s="255">
        <f>(F101+F108)-(E101+E108)</f>
        <v>104768059</v>
      </c>
      <c r="G157" s="255">
        <f>(G101+G108)-(F101+F108)</f>
        <v>0</v>
      </c>
      <c r="H157" s="255">
        <f>(H101+H108)-(G101+G108)</f>
        <v>0</v>
      </c>
      <c r="I157" s="255">
        <f>(I101+I108)-(H101+H108)</f>
        <v>0</v>
      </c>
      <c r="J157" s="255">
        <f>(J101+J108)-(I101+I108)</f>
        <v>0</v>
      </c>
      <c r="K157" s="255">
        <f>(K101+K108)-(J101+J108)</f>
        <v>0</v>
      </c>
    </row>
    <row r="158" spans="3:11" ht="15" customHeight="1" x14ac:dyDescent="0.25">
      <c r="C158" s="15" t="s">
        <v>32</v>
      </c>
      <c r="D158" s="263"/>
      <c r="E158" s="264"/>
      <c r="F158" s="264">
        <f>SUM(F155:F157)</f>
        <v>1997291034</v>
      </c>
      <c r="G158" s="264">
        <f t="shared" ref="G158:K158" si="131">SUM(G155:G157)</f>
        <v>-664978044.49723721</v>
      </c>
      <c r="H158" s="264">
        <f t="shared" si="131"/>
        <v>-883533564.65431023</v>
      </c>
      <c r="I158" s="264">
        <f t="shared" si="131"/>
        <v>-1096605577.4123259</v>
      </c>
      <c r="J158" s="264">
        <f t="shared" si="131"/>
        <v>-1289413819.3815842</v>
      </c>
      <c r="K158" s="264">
        <f t="shared" si="131"/>
        <v>-1460133745.3575153</v>
      </c>
    </row>
    <row r="159" spans="3:11" ht="15" customHeight="1" x14ac:dyDescent="0.25">
      <c r="D159" s="262"/>
      <c r="E159" s="267"/>
      <c r="F159" s="267"/>
      <c r="G159" s="258"/>
      <c r="H159" s="258"/>
      <c r="I159" s="258"/>
      <c r="J159" s="258"/>
      <c r="K159" s="258"/>
    </row>
    <row r="160" spans="3:11" ht="15" customHeight="1" x14ac:dyDescent="0.25">
      <c r="C160" s="15" t="s">
        <v>40</v>
      </c>
      <c r="D160" s="266"/>
      <c r="E160" s="264"/>
      <c r="F160" s="264">
        <f>F143+F151+F158</f>
        <v>1673446211</v>
      </c>
      <c r="G160" s="264">
        <f t="shared" ref="G160:K160" si="132">G143+G151+G158</f>
        <v>278298828.36532831</v>
      </c>
      <c r="H160" s="264">
        <f t="shared" si="132"/>
        <v>1139758623.9492283</v>
      </c>
      <c r="I160" s="264">
        <f t="shared" si="132"/>
        <v>2197379920.5325918</v>
      </c>
      <c r="J160" s="264">
        <f t="shared" si="132"/>
        <v>3522662958.7604284</v>
      </c>
      <c r="K160" s="264">
        <f t="shared" si="132"/>
        <v>5033293360.5741825</v>
      </c>
    </row>
    <row r="161" spans="3:11" ht="15" customHeight="1" x14ac:dyDescent="0.25">
      <c r="C161" s="18"/>
      <c r="D161" s="262"/>
      <c r="E161" s="260"/>
      <c r="F161" s="259"/>
      <c r="G161" s="260"/>
      <c r="H161" s="260"/>
      <c r="I161" s="260"/>
      <c r="J161" s="260"/>
      <c r="K161" s="260"/>
    </row>
    <row r="162" spans="3:11" ht="15" customHeight="1" x14ac:dyDescent="0.25">
      <c r="C162" s="18" t="s">
        <v>33</v>
      </c>
      <c r="D162" s="262"/>
      <c r="E162" s="255"/>
      <c r="F162" s="255">
        <f>F160-(F73-E73)</f>
        <v>0</v>
      </c>
      <c r="G162" s="255">
        <f>G160-(G73-F73)</f>
        <v>4.76837158203125E-7</v>
      </c>
      <c r="H162" s="255">
        <f>H160-(H73-G73)</f>
        <v>0</v>
      </c>
      <c r="I162" s="255">
        <f>I160-(I73-H73)</f>
        <v>0</v>
      </c>
      <c r="J162" s="255">
        <f>J160-(J73-I73)</f>
        <v>0</v>
      </c>
      <c r="K162" s="255">
        <f>K160-(K73-J73)</f>
        <v>0</v>
      </c>
    </row>
    <row r="163" spans="3:11" ht="15" customHeight="1" x14ac:dyDescent="0.25"/>
    <row r="164" spans="3:11" customFormat="1" x14ac:dyDescent="0.25">
      <c r="C164" s="54" t="s">
        <v>48</v>
      </c>
      <c r="D164" s="55"/>
      <c r="E164" s="55"/>
      <c r="F164" s="55"/>
      <c r="G164" s="55"/>
      <c r="H164" s="55"/>
      <c r="I164" s="55"/>
      <c r="J164" s="55"/>
      <c r="K164" s="55"/>
    </row>
    <row r="165" spans="3:11" customFormat="1" x14ac:dyDescent="0.25">
      <c r="C165" t="s">
        <v>64</v>
      </c>
      <c r="D165" s="56">
        <f t="shared" ref="D165:F165" si="133">D$13</f>
        <v>2023</v>
      </c>
      <c r="E165" s="56">
        <f t="shared" si="133"/>
        <v>2024</v>
      </c>
      <c r="F165" s="56">
        <f t="shared" si="133"/>
        <v>2025</v>
      </c>
      <c r="G165" s="57">
        <f t="shared" ref="G165:K165" si="134">G$13</f>
        <v>2026</v>
      </c>
      <c r="H165" s="57">
        <f t="shared" si="134"/>
        <v>2027</v>
      </c>
      <c r="I165" s="57">
        <f t="shared" si="134"/>
        <v>2028</v>
      </c>
      <c r="J165" s="57">
        <f t="shared" si="134"/>
        <v>2029</v>
      </c>
      <c r="K165" s="57">
        <f t="shared" si="134"/>
        <v>2030</v>
      </c>
    </row>
    <row r="166" spans="3:11" customFormat="1" x14ac:dyDescent="0.25">
      <c r="C166" s="58" t="s">
        <v>65</v>
      </c>
      <c r="D166" s="59">
        <f t="shared" ref="D166:F166" si="135">D$14</f>
        <v>45291</v>
      </c>
      <c r="E166" s="59">
        <f t="shared" si="135"/>
        <v>45657</v>
      </c>
      <c r="F166" s="59">
        <f t="shared" si="135"/>
        <v>46022</v>
      </c>
      <c r="G166" s="59">
        <f t="shared" ref="G166:K166" si="136">G$14</f>
        <v>46387</v>
      </c>
      <c r="H166" s="59">
        <f t="shared" si="136"/>
        <v>46752</v>
      </c>
      <c r="I166" s="59">
        <f t="shared" si="136"/>
        <v>47118</v>
      </c>
      <c r="J166" s="59">
        <f t="shared" si="136"/>
        <v>47483</v>
      </c>
      <c r="K166" s="59">
        <f t="shared" si="136"/>
        <v>47848</v>
      </c>
    </row>
    <row r="167" spans="3:11" ht="15" customHeight="1" x14ac:dyDescent="0.25"/>
    <row r="168" spans="3:11" ht="15" customHeight="1" x14ac:dyDescent="0.25">
      <c r="C168" s="23" t="s">
        <v>49</v>
      </c>
      <c r="D168" s="219"/>
      <c r="E168" s="221">
        <f>D171</f>
        <v>873824906</v>
      </c>
      <c r="F168" s="221">
        <f t="shared" ref="F168:K168" si="137">E171</f>
        <v>1388672663</v>
      </c>
      <c r="G168" s="221">
        <f t="shared" si="137"/>
        <v>1886305468</v>
      </c>
      <c r="H168" s="221">
        <f t="shared" si="137"/>
        <v>3245678920.4000001</v>
      </c>
      <c r="I168" s="221">
        <f t="shared" si="137"/>
        <v>4611478509.4849997</v>
      </c>
      <c r="J168" s="221">
        <f t="shared" si="137"/>
        <v>5892115359.5956402</v>
      </c>
      <c r="K168" s="221">
        <f t="shared" si="137"/>
        <v>6999648352.7539606</v>
      </c>
    </row>
    <row r="169" spans="3:11" ht="15" customHeight="1" x14ac:dyDescent="0.25">
      <c r="C169" s="44" t="s">
        <v>50</v>
      </c>
      <c r="D169" s="250">
        <v>339156411</v>
      </c>
      <c r="E169" s="250">
        <v>683824667</v>
      </c>
      <c r="F169" s="251">
        <v>779381243</v>
      </c>
      <c r="G169" s="218">
        <f>G$55*G16</f>
        <v>1925265092.8</v>
      </c>
      <c r="H169" s="218">
        <f>H$55*H16</f>
        <v>2339503265.2049999</v>
      </c>
      <c r="I169" s="218">
        <f>I$55*I16</f>
        <v>2664080402.9561405</v>
      </c>
      <c r="J169" s="218">
        <f>J$55*J16</f>
        <v>2875167601.0370116</v>
      </c>
      <c r="K169" s="218">
        <f>K$55*K16</f>
        <v>2996410722.6393752</v>
      </c>
    </row>
    <row r="170" spans="3:11" ht="15" customHeight="1" x14ac:dyDescent="0.25">
      <c r="C170" s="44" t="s">
        <v>51</v>
      </c>
      <c r="D170" s="251">
        <v>-218104192</v>
      </c>
      <c r="E170" s="251">
        <v>-334940051</v>
      </c>
      <c r="F170" s="251">
        <v>-548432248</v>
      </c>
      <c r="G170" s="218">
        <f>-G$56*G168</f>
        <v>-565891640.39999998</v>
      </c>
      <c r="H170" s="218">
        <f t="shared" ref="H170:K170" si="138">-H$56*H168</f>
        <v>-973703676.12</v>
      </c>
      <c r="I170" s="218">
        <f t="shared" si="138"/>
        <v>-1383443552.8454998</v>
      </c>
      <c r="J170" s="218">
        <f t="shared" si="138"/>
        <v>-1767634607.8786919</v>
      </c>
      <c r="K170" s="218">
        <f t="shared" si="138"/>
        <v>-2099894505.8261881</v>
      </c>
    </row>
    <row r="171" spans="3:11" ht="15" customHeight="1" x14ac:dyDescent="0.25">
      <c r="C171" s="22" t="s">
        <v>52</v>
      </c>
      <c r="D171" s="220">
        <f>D77</f>
        <v>873824906</v>
      </c>
      <c r="E171" s="220">
        <f>E77</f>
        <v>1388672663</v>
      </c>
      <c r="F171" s="220">
        <f>F77</f>
        <v>1886305468</v>
      </c>
      <c r="G171" s="220">
        <f>SUM(G168:G170)</f>
        <v>3245678920.4000001</v>
      </c>
      <c r="H171" s="220">
        <f t="shared" ref="H171:K171" si="139">SUM(H168:H170)</f>
        <v>4611478509.4849997</v>
      </c>
      <c r="I171" s="220">
        <f t="shared" si="139"/>
        <v>5892115359.5956402</v>
      </c>
      <c r="J171" s="220">
        <f t="shared" si="139"/>
        <v>6999648352.7539606</v>
      </c>
      <c r="K171" s="220">
        <f t="shared" si="139"/>
        <v>7896164569.5671473</v>
      </c>
    </row>
    <row r="172" spans="3:11" ht="15" customHeight="1" x14ac:dyDescent="0.25">
      <c r="C172" s="18"/>
      <c r="D172" s="13"/>
      <c r="E172" s="186"/>
      <c r="F172" s="186"/>
      <c r="G172" s="187"/>
      <c r="H172" s="187"/>
      <c r="I172" s="187"/>
      <c r="J172" s="187"/>
      <c r="K172" s="187"/>
    </row>
    <row r="173" spans="3:11" ht="15" customHeight="1" x14ac:dyDescent="0.25">
      <c r="C173" s="8" t="s">
        <v>170</v>
      </c>
      <c r="D173" s="1">
        <f>D169/D16</f>
        <v>0.10365365034790387</v>
      </c>
      <c r="E173" s="1">
        <f>E169/E16</f>
        <v>0.12409214283820073</v>
      </c>
      <c r="F173" s="1">
        <f>F169/F16</f>
        <v>9.0086480805387781E-2</v>
      </c>
      <c r="G173" s="1">
        <f>G169/G16</f>
        <v>0.16</v>
      </c>
      <c r="H173" s="1">
        <f>H169/H16</f>
        <v>0.15</v>
      </c>
      <c r="I173" s="1">
        <f>I169/I16</f>
        <v>0.14000000000000001</v>
      </c>
      <c r="J173" s="1">
        <f>J169/J16</f>
        <v>0.13</v>
      </c>
      <c r="K173" s="1">
        <f>K169/K16</f>
        <v>0.12</v>
      </c>
    </row>
    <row r="174" spans="3:11" ht="15" customHeight="1" x14ac:dyDescent="0.25">
      <c r="C174" s="8" t="s">
        <v>171</v>
      </c>
      <c r="D174" s="1">
        <f>-D170/AVERAGE(D168,D171)</f>
        <v>0.24959713382213897</v>
      </c>
      <c r="E174" s="1">
        <f>-E170/AVERAGE(E168,E171)</f>
        <v>0.29607992122443688</v>
      </c>
      <c r="F174" s="1">
        <f>-F170/AVERAGE(F168,F171)</f>
        <v>0.33492269325935231</v>
      </c>
      <c r="G174" s="1">
        <f>-G170/AVERAGE(G168,G171)</f>
        <v>0.22053521506382764</v>
      </c>
      <c r="H174" s="1">
        <f>-H170/AVERAGE(H168,H171)</f>
        <v>0.2478513851374495</v>
      </c>
      <c r="I174" s="1">
        <f>-I170/AVERAGE(I168,I171)</f>
        <v>0.26342289507554811</v>
      </c>
      <c r="J174" s="1">
        <f>-J170/AVERAGE(J168,J171)</f>
        <v>0.27422696340383512</v>
      </c>
      <c r="K174" s="1">
        <f>-K170/AVERAGE(K168,K171)</f>
        <v>0.28194426403939782</v>
      </c>
    </row>
    <row r="175" spans="3:11" ht="15" customHeight="1" x14ac:dyDescent="0.25">
      <c r="D175" s="43"/>
      <c r="E175" s="1"/>
      <c r="F175" s="1"/>
      <c r="G175" s="1"/>
      <c r="H175" s="1"/>
      <c r="I175" s="1"/>
      <c r="J175" s="1"/>
      <c r="K175" s="1"/>
    </row>
    <row r="176" spans="3:11" s="50" customFormat="1" ht="15" customHeight="1" x14ac:dyDescent="0.25">
      <c r="C176" s="60" t="s">
        <v>53</v>
      </c>
      <c r="D176" s="63"/>
      <c r="E176" s="63"/>
      <c r="F176" s="63"/>
      <c r="G176" s="63"/>
      <c r="H176" s="63"/>
      <c r="I176" s="63"/>
      <c r="J176" s="63"/>
      <c r="K176" s="63"/>
    </row>
    <row r="177" spans="1:11" s="46" customFormat="1" ht="15" customHeight="1" x14ac:dyDescent="0.25">
      <c r="C177" s="47"/>
      <c r="D177" s="48"/>
      <c r="E177" s="49"/>
      <c r="F177" s="49"/>
      <c r="G177" s="49"/>
      <c r="H177" s="49"/>
      <c r="I177" s="49"/>
      <c r="J177" s="49"/>
      <c r="K177" s="49"/>
    </row>
    <row r="178" spans="1:11" s="46" customFormat="1" ht="15" customHeight="1" x14ac:dyDescent="0.25">
      <c r="C178" s="50" t="s">
        <v>54</v>
      </c>
      <c r="D178" s="13">
        <v>63532024</v>
      </c>
      <c r="E178" s="13">
        <v>90897096</v>
      </c>
      <c r="F178" s="223">
        <v>148564633</v>
      </c>
      <c r="G178" s="51">
        <f>G182*G186</f>
        <v>223293237.29999998</v>
      </c>
      <c r="H178" s="51">
        <f t="shared" ref="H178:K178" si="140">H182*H186</f>
        <v>316144773.42000002</v>
      </c>
      <c r="I178" s="51">
        <f t="shared" si="140"/>
        <v>432488285.97135001</v>
      </c>
      <c r="J178" s="51">
        <f t="shared" si="140"/>
        <v>567421073.29735804</v>
      </c>
      <c r="K178" s="51">
        <f t="shared" si="140"/>
        <v>714532987.7711283</v>
      </c>
    </row>
    <row r="179" spans="1:11" s="46" customFormat="1" ht="15" customHeight="1" x14ac:dyDescent="0.25">
      <c r="A179" s="47"/>
      <c r="B179" s="47"/>
      <c r="C179" s="36" t="s">
        <v>55</v>
      </c>
      <c r="D179" s="52">
        <f>D178/D16</f>
        <v>1.9416782310479861E-2</v>
      </c>
      <c r="E179" s="52">
        <f>E178/E16</f>
        <v>1.6494894034598556E-2</v>
      </c>
      <c r="F179" s="52">
        <f>F178/F16</f>
        <v>1.7172167125292213E-2</v>
      </c>
      <c r="G179" s="52">
        <f>G178/G16</f>
        <v>1.855688242705358E-2</v>
      </c>
      <c r="H179" s="52">
        <f>H178/H16</f>
        <v>2.0269993514561158E-2</v>
      </c>
      <c r="I179" s="52">
        <f>I178/I16</f>
        <v>2.2727677426252903E-2</v>
      </c>
      <c r="J179" s="52">
        <f>J178/J16</f>
        <v>2.5655805074476762E-2</v>
      </c>
      <c r="K179" s="52">
        <f>K178/K16</f>
        <v>2.8615555899829448E-2</v>
      </c>
    </row>
    <row r="180" spans="1:11" ht="15" customHeight="1" x14ac:dyDescent="0.25">
      <c r="C180" s="53" t="s">
        <v>56</v>
      </c>
      <c r="D180" s="45">
        <f>-D170+D178</f>
        <v>281636216</v>
      </c>
      <c r="E180" s="45">
        <f>-E170+E178</f>
        <v>425837147</v>
      </c>
      <c r="F180" s="45">
        <f>-F170+F178</f>
        <v>696996881</v>
      </c>
      <c r="G180" s="45">
        <f>-G170+G178</f>
        <v>789184877.69999993</v>
      </c>
      <c r="H180" s="45">
        <f>-H170+H178</f>
        <v>1289848449.54</v>
      </c>
      <c r="I180" s="45">
        <f>-I170+I178</f>
        <v>1815931838.8168497</v>
      </c>
      <c r="J180" s="45">
        <f>-J170+J178</f>
        <v>2335055681.1760502</v>
      </c>
      <c r="K180" s="45">
        <f>-K170+K178</f>
        <v>2814427493.5973163</v>
      </c>
    </row>
    <row r="181" spans="1:11" ht="15" customHeight="1" x14ac:dyDescent="0.25">
      <c r="C181" s="283"/>
      <c r="D181" s="284"/>
      <c r="E181" s="284"/>
      <c r="F181" s="284"/>
      <c r="G181" s="284"/>
      <c r="H181" s="284"/>
      <c r="I181" s="284"/>
      <c r="J181" s="284"/>
      <c r="K181" s="284"/>
    </row>
    <row r="182" spans="1:11" ht="15" customHeight="1" x14ac:dyDescent="0.25">
      <c r="C182" s="8" t="s">
        <v>269</v>
      </c>
      <c r="D182" s="1"/>
      <c r="E182" s="1">
        <f>-E187/E186</f>
        <v>0.14993642863462986</v>
      </c>
      <c r="F182" s="1">
        <f>-F187/F186</f>
        <v>0.16246899276288496</v>
      </c>
      <c r="G182" s="278">
        <v>0.15</v>
      </c>
      <c r="H182" s="278">
        <v>0.15</v>
      </c>
      <c r="I182" s="278">
        <v>0.15</v>
      </c>
      <c r="J182" s="278">
        <v>0.15</v>
      </c>
      <c r="K182" s="278">
        <v>0.15</v>
      </c>
    </row>
    <row r="183" spans="1:11" ht="15" customHeight="1" x14ac:dyDescent="0.25">
      <c r="D183" s="1"/>
      <c r="E183" s="1"/>
      <c r="F183" s="1"/>
      <c r="G183" s="278"/>
      <c r="H183" s="278"/>
      <c r="I183" s="278"/>
      <c r="J183" s="278"/>
      <c r="K183" s="278"/>
    </row>
    <row r="184" spans="1:11" s="50" customFormat="1" ht="15" customHeight="1" x14ac:dyDescent="0.25">
      <c r="C184" s="60" t="s">
        <v>59</v>
      </c>
      <c r="D184" s="63"/>
      <c r="E184" s="63"/>
      <c r="F184" s="63"/>
      <c r="G184" s="63"/>
      <c r="H184" s="63"/>
      <c r="I184" s="63"/>
      <c r="J184" s="63"/>
      <c r="K184" s="63"/>
    </row>
    <row r="185" spans="1:11" s="46" customFormat="1" ht="15" customHeight="1" x14ac:dyDescent="0.25">
      <c r="A185" s="47"/>
      <c r="B185" s="47"/>
      <c r="D185" s="48"/>
      <c r="E185" s="49"/>
      <c r="F185" s="49"/>
      <c r="G185" s="49"/>
      <c r="H185" s="49"/>
      <c r="I185" s="49"/>
      <c r="J185" s="49"/>
      <c r="K185" s="49"/>
    </row>
    <row r="186" spans="1:11" s="46" customFormat="1" ht="15" customHeight="1" x14ac:dyDescent="0.25">
      <c r="A186" s="47"/>
      <c r="B186" s="47"/>
      <c r="C186" s="50" t="s">
        <v>49</v>
      </c>
      <c r="D186" s="252"/>
      <c r="E186" s="218">
        <f>D189</f>
        <v>606237569</v>
      </c>
      <c r="F186" s="218">
        <f t="shared" ref="F186" si="141">E189</f>
        <v>914418379</v>
      </c>
      <c r="G186" s="218">
        <f>F189</f>
        <v>1488621582</v>
      </c>
      <c r="H186" s="218">
        <f t="shared" ref="H186:K186" si="142">G189</f>
        <v>2107631822.8000002</v>
      </c>
      <c r="I186" s="218">
        <f t="shared" si="142"/>
        <v>2883255239.809</v>
      </c>
      <c r="J186" s="218">
        <f t="shared" si="142"/>
        <v>3782807155.3157201</v>
      </c>
      <c r="K186" s="218">
        <f t="shared" si="142"/>
        <v>4763553251.8075218</v>
      </c>
    </row>
    <row r="187" spans="1:11" ht="15" customHeight="1" x14ac:dyDescent="0.25">
      <c r="C187" s="23" t="s">
        <v>57</v>
      </c>
      <c r="D187" s="219">
        <f>-D178</f>
        <v>-63532024</v>
      </c>
      <c r="E187" s="219">
        <f>-E178</f>
        <v>-90897096</v>
      </c>
      <c r="F187" s="219">
        <f>-F178</f>
        <v>-148564633</v>
      </c>
      <c r="G187" s="219">
        <f>-G178</f>
        <v>-223293237.29999998</v>
      </c>
      <c r="H187" s="219">
        <f t="shared" ref="H187:K187" si="143">-H178</f>
        <v>-316144773.42000002</v>
      </c>
      <c r="I187" s="219">
        <f t="shared" si="143"/>
        <v>-432488285.97135001</v>
      </c>
      <c r="J187" s="219">
        <f t="shared" si="143"/>
        <v>-567421073.29735804</v>
      </c>
      <c r="K187" s="219">
        <f t="shared" si="143"/>
        <v>-714532987.7711283</v>
      </c>
    </row>
    <row r="188" spans="1:11" ht="15" customHeight="1" x14ac:dyDescent="0.25">
      <c r="C188" s="23" t="s">
        <v>58</v>
      </c>
      <c r="D188" s="13">
        <v>261287659</v>
      </c>
      <c r="E188" s="13">
        <v>396753512</v>
      </c>
      <c r="F188" s="13">
        <v>722767836</v>
      </c>
      <c r="G188" s="42">
        <f>G191*G16</f>
        <v>842303478.10000002</v>
      </c>
      <c r="H188" s="42">
        <f>H191*H16</f>
        <v>1091768190.4290001</v>
      </c>
      <c r="I188" s="42">
        <f>I191*I16</f>
        <v>1332040201.4780703</v>
      </c>
      <c r="J188" s="42">
        <f>J191*J16</f>
        <v>1548167169.7891603</v>
      </c>
      <c r="K188" s="42">
        <f>K191*K16</f>
        <v>1747906254.8729692</v>
      </c>
    </row>
    <row r="189" spans="1:11" ht="15" customHeight="1" x14ac:dyDescent="0.25">
      <c r="C189" s="22" t="s">
        <v>52</v>
      </c>
      <c r="D189" s="253">
        <f>D78</f>
        <v>606237569</v>
      </c>
      <c r="E189" s="253">
        <f>E78</f>
        <v>914418379</v>
      </c>
      <c r="F189" s="253">
        <f>F78</f>
        <v>1488621582</v>
      </c>
      <c r="G189" s="253">
        <f>SUM(G186:G188)</f>
        <v>2107631822.8000002</v>
      </c>
      <c r="H189" s="253">
        <f t="shared" ref="H189:K189" si="144">SUM(H186:H188)</f>
        <v>2883255239.809</v>
      </c>
      <c r="I189" s="253">
        <f t="shared" si="144"/>
        <v>3782807155.3157201</v>
      </c>
      <c r="J189" s="253">
        <f t="shared" si="144"/>
        <v>4763553251.8075218</v>
      </c>
      <c r="K189" s="253">
        <f t="shared" si="144"/>
        <v>5796926518.9093628</v>
      </c>
    </row>
    <row r="190" spans="1:11" ht="15" customHeight="1" x14ac:dyDescent="0.25">
      <c r="C190" s="237"/>
      <c r="D190" s="282"/>
      <c r="E190" s="282"/>
      <c r="F190" s="282"/>
      <c r="G190" s="282"/>
      <c r="H190" s="282"/>
      <c r="I190" s="282"/>
      <c r="J190" s="282"/>
      <c r="K190" s="282"/>
    </row>
    <row r="191" spans="1:11" ht="15" customHeight="1" x14ac:dyDescent="0.25">
      <c r="C191" s="8" t="s">
        <v>268</v>
      </c>
      <c r="D191" s="1">
        <f>D188/D16</f>
        <v>7.9855248987784386E-2</v>
      </c>
      <c r="E191" s="1">
        <f>E188/E16</f>
        <v>7.1997978222481676E-2</v>
      </c>
      <c r="F191" s="1">
        <f>F188/F16</f>
        <v>8.3542696683252954E-2</v>
      </c>
      <c r="G191" s="278">
        <v>7.0000000000000007E-2</v>
      </c>
      <c r="H191" s="278">
        <v>7.0000000000000007E-2</v>
      </c>
      <c r="I191" s="278">
        <v>7.0000000000000007E-2</v>
      </c>
      <c r="J191" s="278">
        <v>7.0000000000000007E-2</v>
      </c>
      <c r="K191" s="278">
        <v>7.0000000000000007E-2</v>
      </c>
    </row>
    <row r="193" spans="3:11" x14ac:dyDescent="0.25">
      <c r="C193" s="18" t="s">
        <v>247</v>
      </c>
      <c r="D193" s="40"/>
      <c r="E193" s="18"/>
      <c r="F193" s="18"/>
      <c r="G193" s="18"/>
      <c r="H193" s="18"/>
      <c r="I193" s="18"/>
      <c r="J193" s="18"/>
      <c r="K193" s="18"/>
    </row>
    <row r="194" spans="3:11" x14ac:dyDescent="0.25">
      <c r="C194" s="64" t="s">
        <v>64</v>
      </c>
      <c r="D194" s="65">
        <f t="shared" ref="D194:F194" si="145">D$13</f>
        <v>2023</v>
      </c>
      <c r="E194" s="65">
        <f t="shared" si="145"/>
        <v>2024</v>
      </c>
      <c r="F194" s="65">
        <f t="shared" si="145"/>
        <v>2025</v>
      </c>
      <c r="G194" s="66">
        <f t="shared" ref="G194:K194" si="146">G$13</f>
        <v>2026</v>
      </c>
      <c r="H194" s="66">
        <f t="shared" si="146"/>
        <v>2027</v>
      </c>
      <c r="I194" s="66">
        <f t="shared" si="146"/>
        <v>2028</v>
      </c>
      <c r="J194" s="66">
        <f t="shared" si="146"/>
        <v>2029</v>
      </c>
      <c r="K194" s="66">
        <f t="shared" si="146"/>
        <v>2030</v>
      </c>
    </row>
    <row r="195" spans="3:11" x14ac:dyDescent="0.25">
      <c r="C195" s="58" t="s">
        <v>65</v>
      </c>
      <c r="D195" s="59">
        <f t="shared" ref="D195:K195" si="147">D$14</f>
        <v>45291</v>
      </c>
      <c r="E195" s="59">
        <f t="shared" si="147"/>
        <v>45657</v>
      </c>
      <c r="F195" s="59">
        <f t="shared" si="147"/>
        <v>46022</v>
      </c>
      <c r="G195" s="59">
        <f t="shared" si="147"/>
        <v>46387</v>
      </c>
      <c r="H195" s="59">
        <f t="shared" si="147"/>
        <v>46752</v>
      </c>
      <c r="I195" s="59">
        <f t="shared" si="147"/>
        <v>47118</v>
      </c>
      <c r="J195" s="59">
        <f t="shared" si="147"/>
        <v>47483</v>
      </c>
      <c r="K195" s="59">
        <f t="shared" si="147"/>
        <v>47848</v>
      </c>
    </row>
    <row r="196" spans="3:11" x14ac:dyDescent="0.25">
      <c r="C196" s="271"/>
      <c r="D196" s="272"/>
      <c r="E196" s="271"/>
      <c r="F196" s="271"/>
      <c r="G196" s="271"/>
      <c r="H196" s="271"/>
    </row>
    <row r="197" spans="3:11" x14ac:dyDescent="0.25">
      <c r="C197" s="8" t="s">
        <v>248</v>
      </c>
      <c r="D197" s="255">
        <v>1268491000</v>
      </c>
      <c r="E197" s="255">
        <v>1708038000</v>
      </c>
      <c r="F197" s="255">
        <v>2008281000</v>
      </c>
      <c r="G197" s="255">
        <f>F197*(1+G206)</f>
        <v>2168943480</v>
      </c>
      <c r="H197" s="255">
        <f>G197*(1+H206)</f>
        <v>2320769523.5999999</v>
      </c>
      <c r="I197" s="255">
        <f>H197*(1+I206)</f>
        <v>2460015695.0159998</v>
      </c>
      <c r="J197" s="255">
        <f>I197*(1+J206)</f>
        <v>2607616636.71696</v>
      </c>
      <c r="K197" s="255">
        <f>J197*(1+K206)</f>
        <v>2764073634.9199777</v>
      </c>
    </row>
    <row r="198" spans="3:11" x14ac:dyDescent="0.25">
      <c r="C198" s="8" t="s">
        <v>249</v>
      </c>
      <c r="D198" s="255">
        <v>609304000</v>
      </c>
      <c r="E198" s="255">
        <v>1196947000</v>
      </c>
      <c r="F198" s="255">
        <v>1785665000</v>
      </c>
      <c r="G198" s="255">
        <f>F198*(1+G207)</f>
        <v>2714210800</v>
      </c>
      <c r="H198" s="255">
        <f>G198*(1+H207)</f>
        <v>3664184580.0000005</v>
      </c>
      <c r="I198" s="255">
        <f>H198*(1+I207)</f>
        <v>4580230725.000001</v>
      </c>
      <c r="J198" s="255">
        <f>I198*(1+J207)</f>
        <v>5404672255.500001</v>
      </c>
      <c r="K198" s="255">
        <f>J198*(1+K207)</f>
        <v>6161326371.2700014</v>
      </c>
    </row>
    <row r="199" spans="3:11" x14ac:dyDescent="0.25">
      <c r="C199" s="8" t="s">
        <v>250</v>
      </c>
      <c r="D199" s="255">
        <v>652080000</v>
      </c>
      <c r="E199" s="255">
        <v>1115108000</v>
      </c>
      <c r="F199" s="255">
        <v>1729005000</v>
      </c>
      <c r="G199" s="255">
        <f>F199*(1+G208)</f>
        <v>2005645799.9999998</v>
      </c>
      <c r="H199" s="255">
        <f>G199*(1+H208)</f>
        <v>2286436212</v>
      </c>
      <c r="I199" s="255">
        <f>H199*(1+I208)</f>
        <v>2560808557.4400001</v>
      </c>
      <c r="J199" s="255">
        <f>I199*(1+J208)</f>
        <v>2842497498.7584004</v>
      </c>
      <c r="K199" s="255">
        <f>J199*(1+K208)</f>
        <v>3126747248.6342406</v>
      </c>
    </row>
    <row r="200" spans="3:11" x14ac:dyDescent="0.25">
      <c r="C200" s="8" t="s">
        <v>251</v>
      </c>
      <c r="D200" s="255">
        <v>426407000</v>
      </c>
      <c r="E200" s="255">
        <v>1013634000</v>
      </c>
      <c r="F200" s="255">
        <v>2382015000</v>
      </c>
      <c r="G200" s="255">
        <f>F200*(1+G209)</f>
        <v>4049425500</v>
      </c>
      <c r="H200" s="255">
        <f>G200*(1+H209)</f>
        <v>5871666975</v>
      </c>
      <c r="I200" s="255">
        <f>H200*(1+I209)</f>
        <v>7633167067.5</v>
      </c>
      <c r="J200" s="255">
        <f>I200*(1+J209)</f>
        <v>9159800481</v>
      </c>
      <c r="K200" s="255">
        <f>J200*(1+K209)</f>
        <v>10533770553.15</v>
      </c>
    </row>
    <row r="201" spans="3:11" x14ac:dyDescent="0.25">
      <c r="C201" s="8" t="s">
        <v>252</v>
      </c>
      <c r="D201" s="255">
        <v>226309000</v>
      </c>
      <c r="E201" s="255">
        <v>347188000</v>
      </c>
      <c r="F201" s="255">
        <v>496113000</v>
      </c>
      <c r="G201" s="255">
        <f>F201*(1+G210)</f>
        <v>749130630</v>
      </c>
      <c r="H201" s="255">
        <f>G201*(1+H210)</f>
        <v>1011326350.5000001</v>
      </c>
      <c r="I201" s="255">
        <f>H201*(1+I210)</f>
        <v>1264157938.1250002</v>
      </c>
      <c r="J201" s="255">
        <f>I201*(1+J210)</f>
        <v>1491706366.9875002</v>
      </c>
      <c r="K201" s="255">
        <f>J201*(1+K210)</f>
        <v>1700545258.3657503</v>
      </c>
    </row>
    <row r="202" spans="3:11" x14ac:dyDescent="0.25">
      <c r="C202" s="8" t="s">
        <v>253</v>
      </c>
      <c r="D202" s="255">
        <v>89424000</v>
      </c>
      <c r="E202" s="255">
        <v>129706000</v>
      </c>
      <c r="F202" s="255">
        <v>250399000</v>
      </c>
      <c r="G202" s="255">
        <f>F202*(1+G211)</f>
        <v>345550620</v>
      </c>
      <c r="H202" s="255">
        <f>G202*(1+H211)</f>
        <v>442304793.60000002</v>
      </c>
      <c r="I202" s="255">
        <f>H202*(1+I211)</f>
        <v>530765752.31999999</v>
      </c>
      <c r="J202" s="255">
        <f>I202*(1+J211)</f>
        <v>610380615.16799998</v>
      </c>
      <c r="K202" s="255">
        <f>J202*(1+K211)</f>
        <v>683626288.98816001</v>
      </c>
    </row>
    <row r="203" spans="3:11" x14ac:dyDescent="0.25">
      <c r="C203" s="22" t="s">
        <v>254</v>
      </c>
      <c r="D203" s="274">
        <f>SUM(D197:D202)</f>
        <v>3272015000</v>
      </c>
      <c r="E203" s="274">
        <f t="shared" ref="E203:F203" si="148">SUM(E197:E202)</f>
        <v>5510621000</v>
      </c>
      <c r="F203" s="274">
        <f t="shared" si="148"/>
        <v>8651478000</v>
      </c>
      <c r="G203" s="274">
        <f t="shared" ref="G203" si="149">SUM(G197:G202)</f>
        <v>12032906830</v>
      </c>
      <c r="H203" s="274">
        <f t="shared" ref="H203" si="150">SUM(H197:H202)</f>
        <v>15596688434.700001</v>
      </c>
      <c r="I203" s="274">
        <f t="shared" ref="I203" si="151">SUM(I197:I202)</f>
        <v>19029145735.401001</v>
      </c>
      <c r="J203" s="274">
        <f t="shared" ref="J203" si="152">SUM(J197:J202)</f>
        <v>22116673854.130859</v>
      </c>
      <c r="K203" s="274">
        <f t="shared" ref="K203" si="153">SUM(K197:K202)</f>
        <v>24970089355.328129</v>
      </c>
    </row>
    <row r="204" spans="3:11" x14ac:dyDescent="0.25">
      <c r="C204" s="8" t="s">
        <v>255</v>
      </c>
      <c r="D204" s="255">
        <f>D203-D16</f>
        <v>-1083</v>
      </c>
      <c r="E204" s="255">
        <f>E203-E16</f>
        <v>816</v>
      </c>
      <c r="F204" s="255">
        <f>F203-F16</f>
        <v>-402</v>
      </c>
      <c r="G204" s="255">
        <f>G203-G16</f>
        <v>0</v>
      </c>
      <c r="H204" s="255">
        <f>H203-H16</f>
        <v>0</v>
      </c>
      <c r="I204" s="255">
        <f>I203-I16</f>
        <v>0</v>
      </c>
      <c r="J204" s="255">
        <f>J203-J16</f>
        <v>0</v>
      </c>
      <c r="K204" s="255">
        <f>K203-K16</f>
        <v>0</v>
      </c>
    </row>
    <row r="205" spans="3:11" x14ac:dyDescent="0.25">
      <c r="C205" s="271"/>
      <c r="D205" s="8"/>
    </row>
    <row r="206" spans="3:11" x14ac:dyDescent="0.25">
      <c r="C206" s="8" t="s">
        <v>256</v>
      </c>
      <c r="G206" s="275">
        <v>0.08</v>
      </c>
      <c r="H206" s="275">
        <v>7.0000000000000007E-2</v>
      </c>
      <c r="I206" s="275">
        <v>0.06</v>
      </c>
      <c r="J206" s="275">
        <v>0.06</v>
      </c>
      <c r="K206" s="275">
        <v>0.06</v>
      </c>
    </row>
    <row r="207" spans="3:11" x14ac:dyDescent="0.25">
      <c r="C207" s="8" t="s">
        <v>249</v>
      </c>
      <c r="G207" s="275">
        <v>0.52</v>
      </c>
      <c r="H207" s="275">
        <v>0.35</v>
      </c>
      <c r="I207" s="275">
        <v>0.25</v>
      </c>
      <c r="J207" s="275">
        <v>0.18</v>
      </c>
      <c r="K207" s="275">
        <v>0.14000000000000001</v>
      </c>
    </row>
    <row r="208" spans="3:11" x14ac:dyDescent="0.25">
      <c r="C208" s="8" t="s">
        <v>250</v>
      </c>
      <c r="G208" s="275">
        <v>0.16</v>
      </c>
      <c r="H208" s="275">
        <v>0.14000000000000001</v>
      </c>
      <c r="I208" s="275">
        <v>0.12</v>
      </c>
      <c r="J208" s="275">
        <v>0.11</v>
      </c>
      <c r="K208" s="275">
        <v>0.1</v>
      </c>
    </row>
    <row r="209" spans="3:11" x14ac:dyDescent="0.25">
      <c r="C209" s="8" t="s">
        <v>257</v>
      </c>
      <c r="G209" s="275">
        <v>0.7</v>
      </c>
      <c r="H209" s="275">
        <v>0.45</v>
      </c>
      <c r="I209" s="275">
        <v>0.3</v>
      </c>
      <c r="J209" s="275">
        <v>0.2</v>
      </c>
      <c r="K209" s="275">
        <v>0.15</v>
      </c>
    </row>
    <row r="210" spans="3:11" x14ac:dyDescent="0.25">
      <c r="C210" s="8" t="s">
        <v>258</v>
      </c>
      <c r="G210" s="275">
        <v>0.51</v>
      </c>
      <c r="H210" s="275">
        <v>0.35</v>
      </c>
      <c r="I210" s="275">
        <v>0.25</v>
      </c>
      <c r="J210" s="275">
        <v>0.18</v>
      </c>
      <c r="K210" s="275">
        <v>0.14000000000000001</v>
      </c>
    </row>
    <row r="211" spans="3:11" x14ac:dyDescent="0.25">
      <c r="C211" s="8" t="s">
        <v>253</v>
      </c>
      <c r="G211" s="275">
        <v>0.38</v>
      </c>
      <c r="H211" s="275">
        <v>0.28000000000000003</v>
      </c>
      <c r="I211" s="275">
        <v>0.2</v>
      </c>
      <c r="J211" s="275">
        <v>0.15</v>
      </c>
      <c r="K211" s="275">
        <v>0.12</v>
      </c>
    </row>
    <row r="213" spans="3:11" x14ac:dyDescent="0.25">
      <c r="C213" s="18" t="s">
        <v>259</v>
      </c>
    </row>
    <row r="214" spans="3:11" x14ac:dyDescent="0.25">
      <c r="C214" s="64" t="s">
        <v>64</v>
      </c>
      <c r="D214" s="65">
        <f t="shared" ref="D214:K214" si="154">D$13</f>
        <v>2023</v>
      </c>
      <c r="E214" s="65">
        <f t="shared" si="154"/>
        <v>2024</v>
      </c>
      <c r="F214" s="65">
        <f t="shared" si="154"/>
        <v>2025</v>
      </c>
      <c r="G214" s="66">
        <f t="shared" si="154"/>
        <v>2026</v>
      </c>
      <c r="H214" s="66">
        <f t="shared" si="154"/>
        <v>2027</v>
      </c>
      <c r="I214" s="66">
        <f t="shared" si="154"/>
        <v>2028</v>
      </c>
      <c r="J214" s="66">
        <f t="shared" si="154"/>
        <v>2029</v>
      </c>
      <c r="K214" s="66">
        <f t="shared" si="154"/>
        <v>2030</v>
      </c>
    </row>
    <row r="215" spans="3:11" x14ac:dyDescent="0.25">
      <c r="C215" s="58" t="s">
        <v>65</v>
      </c>
      <c r="D215" s="59">
        <f t="shared" ref="D215:K215" si="155">D$14</f>
        <v>45291</v>
      </c>
      <c r="E215" s="59">
        <f t="shared" si="155"/>
        <v>45657</v>
      </c>
      <c r="F215" s="59">
        <f t="shared" si="155"/>
        <v>46022</v>
      </c>
      <c r="G215" s="59">
        <f t="shared" si="155"/>
        <v>46387</v>
      </c>
      <c r="H215" s="59">
        <f t="shared" si="155"/>
        <v>46752</v>
      </c>
      <c r="I215" s="59">
        <f t="shared" si="155"/>
        <v>47118</v>
      </c>
      <c r="J215" s="59">
        <f t="shared" si="155"/>
        <v>47483</v>
      </c>
      <c r="K215" s="59">
        <f t="shared" si="155"/>
        <v>47848</v>
      </c>
    </row>
    <row r="217" spans="3:11" x14ac:dyDescent="0.25">
      <c r="C217" s="8" t="s">
        <v>260</v>
      </c>
      <c r="D217" s="218">
        <v>1216500554</v>
      </c>
      <c r="E217" s="218">
        <v>3119157511</v>
      </c>
      <c r="F217" s="218">
        <v>5696322107</v>
      </c>
      <c r="G217" s="218">
        <f>+F217*(1+G221)</f>
        <v>8829299265.8500004</v>
      </c>
      <c r="H217" s="218">
        <f t="shared" ref="H217:K217" si="156">+G217*(1+H221)</f>
        <v>12361018972.190001</v>
      </c>
      <c r="I217" s="218">
        <f t="shared" si="156"/>
        <v>16069324663.847002</v>
      </c>
      <c r="J217" s="218">
        <f t="shared" si="156"/>
        <v>19604576089.893341</v>
      </c>
      <c r="K217" s="218">
        <f t="shared" si="156"/>
        <v>22741308264.276276</v>
      </c>
    </row>
    <row r="218" spans="3:11" x14ac:dyDescent="0.25">
      <c r="C218" s="8" t="s">
        <v>261</v>
      </c>
      <c r="D218" s="218">
        <v>-64704098</v>
      </c>
      <c r="E218" s="218">
        <v>-160950353</v>
      </c>
      <c r="F218" s="218">
        <v>-221271025</v>
      </c>
      <c r="G218" s="218">
        <f>-G222*G217</f>
        <v>-353171970.634</v>
      </c>
      <c r="H218" s="218">
        <f t="shared" ref="H218:K218" si="157">-H222*H217</f>
        <v>-494440758.8876</v>
      </c>
      <c r="I218" s="218">
        <f t="shared" si="157"/>
        <v>-642772986.5538801</v>
      </c>
      <c r="J218" s="218">
        <f t="shared" si="157"/>
        <v>-784183043.59573364</v>
      </c>
      <c r="K218" s="218">
        <f t="shared" si="157"/>
        <v>-909652330.571051</v>
      </c>
    </row>
    <row r="219" spans="3:11" x14ac:dyDescent="0.25">
      <c r="C219" s="18" t="s">
        <v>262</v>
      </c>
      <c r="D219" s="218">
        <f>SUM(D217:D218)</f>
        <v>1151796456</v>
      </c>
      <c r="E219" s="218">
        <f t="shared" ref="E219:F219" si="158">SUM(E217:E218)</f>
        <v>2958207158</v>
      </c>
      <c r="F219" s="218">
        <f t="shared" si="158"/>
        <v>5475051082</v>
      </c>
      <c r="G219" s="218">
        <f t="shared" ref="G219" si="159">SUM(G217:G218)</f>
        <v>8476127295.2160006</v>
      </c>
      <c r="H219" s="218">
        <f t="shared" ref="H219" si="160">SUM(H217:H218)</f>
        <v>11866578213.302401</v>
      </c>
      <c r="I219" s="218">
        <f t="shared" ref="I219" si="161">SUM(I217:I218)</f>
        <v>15426551677.293121</v>
      </c>
      <c r="J219" s="218">
        <f t="shared" ref="J219" si="162">SUM(J217:J218)</f>
        <v>18820393046.297607</v>
      </c>
      <c r="K219" s="218">
        <f t="shared" ref="K219" si="163">SUM(K217:K218)</f>
        <v>21831655933.705223</v>
      </c>
    </row>
    <row r="220" spans="3:11" x14ac:dyDescent="0.25">
      <c r="C220" s="8" t="s">
        <v>263</v>
      </c>
      <c r="D220" s="219">
        <f>+D219-(D67+D82)</f>
        <v>0</v>
      </c>
      <c r="E220" s="219">
        <f>+E219-(E67+E82)</f>
        <v>0</v>
      </c>
      <c r="F220" s="219">
        <f>+F219-(F67+F82)</f>
        <v>0</v>
      </c>
      <c r="G220" s="219">
        <f>+G219-(G67+G82)</f>
        <v>0</v>
      </c>
      <c r="H220" s="219">
        <f>+H219-(H67+H82)</f>
        <v>0</v>
      </c>
      <c r="I220" s="219">
        <f>+I219-(I67+I82)</f>
        <v>0</v>
      </c>
      <c r="J220" s="219">
        <f>+J219-(J67+J82)</f>
        <v>0</v>
      </c>
      <c r="K220" s="219">
        <f>+K219-(K67+K82)</f>
        <v>0</v>
      </c>
    </row>
    <row r="221" spans="3:11" x14ac:dyDescent="0.25">
      <c r="C221" s="8" t="s">
        <v>264</v>
      </c>
      <c r="D221" s="273"/>
      <c r="E221" s="1">
        <f>E217/D217-1</f>
        <v>1.5640411759319264</v>
      </c>
      <c r="F221" s="1">
        <f>F217/E217-1</f>
        <v>0.8262374012570346</v>
      </c>
      <c r="G221" s="278">
        <v>0.55000000000000004</v>
      </c>
      <c r="H221" s="278">
        <v>0.4</v>
      </c>
      <c r="I221" s="278">
        <v>0.3</v>
      </c>
      <c r="J221" s="278">
        <v>0.22</v>
      </c>
      <c r="K221" s="278">
        <v>0.16</v>
      </c>
    </row>
    <row r="222" spans="3:11" x14ac:dyDescent="0.25">
      <c r="C222" s="8" t="s">
        <v>265</v>
      </c>
      <c r="D222" s="1">
        <f>-D218/D217</f>
        <v>5.3188712316854396E-2</v>
      </c>
      <c r="E222" s="1">
        <f t="shared" ref="E222:F222" si="164">-E218/E217</f>
        <v>5.1600585232516656E-2</v>
      </c>
      <c r="F222" s="1">
        <f t="shared" si="164"/>
        <v>3.8844542293015386E-2</v>
      </c>
      <c r="G222" s="278">
        <v>0.04</v>
      </c>
      <c r="H222" s="278">
        <v>0.04</v>
      </c>
      <c r="I222" s="278">
        <v>0.04</v>
      </c>
      <c r="J222" s="278">
        <v>0.04</v>
      </c>
      <c r="K222" s="278">
        <v>0.04</v>
      </c>
    </row>
    <row r="223" spans="3:11" x14ac:dyDescent="0.25">
      <c r="C223" s="8" t="s">
        <v>267</v>
      </c>
      <c r="E223" s="1">
        <f>E28/AVERAGE(D219,E219)</f>
        <v>0.33637138402769295</v>
      </c>
      <c r="F223" s="1">
        <f>F28/AVERAGE(E219,F219)</f>
        <v>0.24737549789534252</v>
      </c>
      <c r="G223" s="278">
        <v>0.24</v>
      </c>
      <c r="H223" s="278">
        <v>0.23</v>
      </c>
      <c r="I223" s="278">
        <v>0.22</v>
      </c>
      <c r="J223" s="278">
        <v>0.21</v>
      </c>
      <c r="K223" s="278">
        <v>0.2</v>
      </c>
    </row>
    <row r="224" spans="3:11" x14ac:dyDescent="0.25">
      <c r="C224" s="8" t="s">
        <v>266</v>
      </c>
      <c r="D224" s="1">
        <f>D67/D219</f>
        <v>0.79923155797589984</v>
      </c>
      <c r="E224" s="1">
        <f>E67/E219</f>
        <v>0.7549053300614047</v>
      </c>
      <c r="F224" s="1">
        <f>F67/F219</f>
        <v>0.77515953284031847</v>
      </c>
      <c r="G224" s="278">
        <v>0.77500000000000002</v>
      </c>
      <c r="H224" s="278">
        <v>0.77500000000000002</v>
      </c>
      <c r="I224" s="278">
        <v>0.77500000000000002</v>
      </c>
      <c r="J224" s="278">
        <v>0.77500000000000002</v>
      </c>
      <c r="K224" s="278">
        <v>0.77500000000000002</v>
      </c>
    </row>
    <row r="225" spans="4:4" x14ac:dyDescent="0.25">
      <c r="D225" s="8"/>
    </row>
    <row r="226" spans="4:4" x14ac:dyDescent="0.25">
      <c r="D226" s="8"/>
    </row>
    <row r="227" spans="4:4" x14ac:dyDescent="0.25">
      <c r="D227" s="8"/>
    </row>
    <row r="228" spans="4:4" x14ac:dyDescent="0.25">
      <c r="D228" s="8"/>
    </row>
    <row r="229" spans="4:4" x14ac:dyDescent="0.25">
      <c r="D229" s="8"/>
    </row>
  </sheetData>
  <conditionalFormatting sqref="C52">
    <cfRule type="expression" dxfId="2" priority="1">
      <formula>#REF!=$C52</formula>
    </cfRule>
  </conditionalFormatting>
  <pageMargins left="0.7" right="0.7" top="0.75" bottom="0.75" header="0.511811023622047" footer="0.511811023622047"/>
  <pageSetup orientation="portrait" horizontalDpi="300" verticalDpi="30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BFB8B-B60E-497E-A730-4D15A5E1DAC7}">
  <dimension ref="B1:Q132"/>
  <sheetViews>
    <sheetView showGridLines="0" tabSelected="1" zoomScaleNormal="100" workbookViewId="0">
      <selection activeCell="F7" sqref="F7:H8"/>
    </sheetView>
  </sheetViews>
  <sheetFormatPr defaultColWidth="9.140625" defaultRowHeight="15" x14ac:dyDescent="0.25"/>
  <cols>
    <col min="1" max="1" width="1.42578125" style="67" customWidth="1"/>
    <col min="2" max="2" width="54.42578125" style="67" customWidth="1"/>
    <col min="3" max="3" width="15.28515625" style="67" bestFit="1" customWidth="1"/>
    <col min="4" max="4" width="15.5703125" style="67" bestFit="1" customWidth="1"/>
    <col min="5" max="5" width="14.28515625" style="67" customWidth="1"/>
    <col min="6" max="8" width="14.85546875" style="67" customWidth="1"/>
    <col min="9" max="9" width="15.5703125" style="67" bestFit="1" customWidth="1"/>
    <col min="10" max="10" width="1.7109375" style="67" customWidth="1"/>
    <col min="11" max="11" width="12.140625" style="67" bestFit="1" customWidth="1"/>
    <col min="12" max="16" width="9.42578125" style="67" customWidth="1"/>
    <col min="17" max="16384" width="9.140625" style="67"/>
  </cols>
  <sheetData>
    <row r="1" spans="2:10" ht="15.75" thickBot="1" x14ac:dyDescent="0.3"/>
    <row r="2" spans="2:10" ht="15.75" thickBot="1" x14ac:dyDescent="0.3">
      <c r="B2" s="68" t="s">
        <v>68</v>
      </c>
      <c r="C2" s="69"/>
      <c r="D2" s="69"/>
      <c r="E2" s="69"/>
      <c r="F2" s="69"/>
      <c r="G2" s="69"/>
      <c r="H2" s="69"/>
      <c r="I2" s="69"/>
    </row>
    <row r="3" spans="2:10" x14ac:dyDescent="0.25">
      <c r="B3" s="214" t="str">
        <f>FSM!C3</f>
        <v>All amounts are shown in Egyptian pounds, except per-share data, ratios, and shares outstanding</v>
      </c>
    </row>
    <row r="4" spans="2:10" x14ac:dyDescent="0.25">
      <c r="B4" s="67" t="s">
        <v>69</v>
      </c>
      <c r="C4" s="71"/>
      <c r="D4" s="71">
        <v>46022</v>
      </c>
      <c r="F4" s="67" t="s">
        <v>70</v>
      </c>
      <c r="H4" s="72">
        <f>+WACC!E21</f>
        <v>0.24303401019399451</v>
      </c>
      <c r="I4" s="67" t="s">
        <v>71</v>
      </c>
    </row>
    <row r="5" spans="2:10" x14ac:dyDescent="0.25">
      <c r="B5" s="67" t="s">
        <v>72</v>
      </c>
      <c r="C5" s="73"/>
      <c r="D5" s="73">
        <f>EOMONTH(D4,12)</f>
        <v>46387</v>
      </c>
      <c r="F5" s="67" t="s">
        <v>73</v>
      </c>
      <c r="H5" s="182">
        <f>FSM!D7</f>
        <v>20.45</v>
      </c>
    </row>
    <row r="6" spans="2:10" x14ac:dyDescent="0.25">
      <c r="B6" s="67" t="s">
        <v>74</v>
      </c>
      <c r="C6" s="71"/>
      <c r="D6" s="71">
        <v>46022</v>
      </c>
      <c r="F6" s="67" t="s">
        <v>75</v>
      </c>
      <c r="H6" s="74">
        <v>46167</v>
      </c>
      <c r="J6" s="75"/>
    </row>
    <row r="7" spans="2:10" x14ac:dyDescent="0.25">
      <c r="B7" s="67" t="s">
        <v>76</v>
      </c>
      <c r="C7" s="71"/>
      <c r="D7" s="71">
        <v>46173</v>
      </c>
      <c r="E7" s="75"/>
      <c r="F7" s="286" t="s">
        <v>271</v>
      </c>
      <c r="G7" s="75"/>
      <c r="H7" s="182">
        <f ca="1">C73</f>
        <v>11.412569571982546</v>
      </c>
    </row>
    <row r="8" spans="2:10" x14ac:dyDescent="0.25">
      <c r="B8" s="67" t="s">
        <v>77</v>
      </c>
      <c r="C8" s="162"/>
      <c r="D8" s="162">
        <f>YEARFRAC(D7,D5)</f>
        <v>0.58333333333333337</v>
      </c>
      <c r="F8" s="286" t="s">
        <v>272</v>
      </c>
      <c r="H8" s="273">
        <f ca="1">+(H7-H5)/H5</f>
        <v>-0.441928138289362</v>
      </c>
    </row>
    <row r="9" spans="2:10" x14ac:dyDescent="0.25">
      <c r="D9" s="77"/>
    </row>
    <row r="10" spans="2:10" x14ac:dyDescent="0.25">
      <c r="B10" s="78" t="s">
        <v>78</v>
      </c>
      <c r="C10" s="79"/>
      <c r="D10" s="80"/>
      <c r="F10" s="79"/>
      <c r="G10" s="79"/>
      <c r="H10" s="79"/>
      <c r="I10" s="79"/>
    </row>
    <row r="11" spans="2:10" ht="17.25" customHeight="1" x14ac:dyDescent="0.4">
      <c r="C11" s="81" t="s">
        <v>79</v>
      </c>
      <c r="D11" s="81" t="s">
        <v>80</v>
      </c>
      <c r="E11" s="82" t="s">
        <v>81</v>
      </c>
      <c r="F11" s="81"/>
      <c r="G11" s="81"/>
      <c r="H11" s="81"/>
      <c r="I11" s="81"/>
    </row>
    <row r="12" spans="2:10" x14ac:dyDescent="0.25">
      <c r="B12" s="83" t="s">
        <v>82</v>
      </c>
      <c r="C12" s="84">
        <f>D7</f>
        <v>46173</v>
      </c>
      <c r="D12" s="85">
        <f>D4</f>
        <v>46022</v>
      </c>
      <c r="E12" s="86">
        <f>EOMONTH(D12,12)</f>
        <v>46387</v>
      </c>
      <c r="F12" s="87">
        <f>EOMONTH(E12,12)</f>
        <v>46752</v>
      </c>
      <c r="G12" s="87">
        <f t="shared" ref="G12:I12" si="0">EOMONTH(F12,12)</f>
        <v>47118</v>
      </c>
      <c r="H12" s="87">
        <f t="shared" si="0"/>
        <v>47483</v>
      </c>
      <c r="I12" s="87">
        <f t="shared" si="0"/>
        <v>47848</v>
      </c>
    </row>
    <row r="13" spans="2:10" x14ac:dyDescent="0.25">
      <c r="B13" s="83"/>
      <c r="D13" s="205"/>
      <c r="E13" s="213"/>
      <c r="F13" s="213"/>
      <c r="G13" s="213"/>
      <c r="H13" s="213"/>
      <c r="I13" s="211"/>
    </row>
    <row r="14" spans="2:10" x14ac:dyDescent="0.25">
      <c r="B14" s="67" t="s">
        <v>83</v>
      </c>
      <c r="C14" s="183">
        <f>E14*(1-$D$8)+D14*$D$8</f>
        <v>10060406913.666666</v>
      </c>
      <c r="D14" s="206">
        <f>FSM!F16</f>
        <v>8651478402</v>
      </c>
      <c r="E14" s="206">
        <f>FSM!G16</f>
        <v>12032906830</v>
      </c>
      <c r="F14" s="206">
        <f>FSM!H16</f>
        <v>15596688434.700001</v>
      </c>
      <c r="G14" s="206">
        <f>FSM!I16</f>
        <v>19029145735.401001</v>
      </c>
      <c r="H14" s="206">
        <f>FSM!J16</f>
        <v>22116673854.130859</v>
      </c>
      <c r="I14" s="206">
        <f>FSM!K16</f>
        <v>24970089355.328129</v>
      </c>
    </row>
    <row r="15" spans="2:10" x14ac:dyDescent="0.25">
      <c r="B15" s="90" t="s">
        <v>61</v>
      </c>
      <c r="D15" s="207"/>
      <c r="E15" s="207">
        <f>+E14/D14-1</f>
        <v>0.3908497797576771</v>
      </c>
      <c r="F15" s="207">
        <f t="shared" ref="F15:I15" si="1">+F14/E14-1</f>
        <v>0.29616963341018421</v>
      </c>
      <c r="G15" s="207">
        <f t="shared" si="1"/>
        <v>0.22007603184945101</v>
      </c>
      <c r="H15" s="207">
        <f t="shared" si="1"/>
        <v>0.1622525867246869</v>
      </c>
      <c r="I15" s="207">
        <f t="shared" si="1"/>
        <v>0.12901648412490929</v>
      </c>
    </row>
    <row r="16" spans="2:10" x14ac:dyDescent="0.25">
      <c r="B16" s="67" t="s">
        <v>35</v>
      </c>
      <c r="C16" s="183">
        <f>E16*(1-$D$8)+D16*$D$8</f>
        <v>5686976291.7393208</v>
      </c>
      <c r="D16" s="206">
        <f>FSM!F43</f>
        <v>4743138825</v>
      </c>
      <c r="E16" s="206">
        <f>FSM!G43</f>
        <v>7008348745.1743689</v>
      </c>
      <c r="F16" s="206">
        <f>FSM!H43</f>
        <v>9553038590.1307755</v>
      </c>
      <c r="G16" s="206">
        <f>FSM!I43</f>
        <v>12071864106.580463</v>
      </c>
      <c r="H16" s="206">
        <f>FSM!J43</f>
        <v>14394214479.092358</v>
      </c>
      <c r="I16" s="206">
        <f>FSM!K43</f>
        <v>16470233284.408173</v>
      </c>
    </row>
    <row r="17" spans="2:13" x14ac:dyDescent="0.25">
      <c r="B17" s="90" t="s">
        <v>84</v>
      </c>
      <c r="D17" s="207">
        <f>+D16/D14</f>
        <v>0.5482460458900883</v>
      </c>
      <c r="E17" s="207">
        <f t="shared" ref="E17:I17" si="2">+E16/E14</f>
        <v>0.58243189648085802</v>
      </c>
      <c r="F17" s="207">
        <f t="shared" si="2"/>
        <v>0.61250429090298908</v>
      </c>
      <c r="G17" s="207">
        <f t="shared" si="2"/>
        <v>0.63438812621643281</v>
      </c>
      <c r="H17" s="207">
        <f t="shared" si="2"/>
        <v>0.6508308877740161</v>
      </c>
      <c r="I17" s="207">
        <f t="shared" si="2"/>
        <v>0.65959849202116483</v>
      </c>
    </row>
    <row r="18" spans="2:13" x14ac:dyDescent="0.25">
      <c r="B18" s="67" t="s">
        <v>85</v>
      </c>
      <c r="C18" s="183">
        <f>E18*(1-$D$8)+D18*$D$8</f>
        <v>5076540188.0214081</v>
      </c>
      <c r="D18" s="206">
        <f>FSM!F33-FSM!F29</f>
        <v>4153612387</v>
      </c>
      <c r="E18" s="206">
        <f>FSM!G33-FSM!G29</f>
        <v>6368639109.4513788</v>
      </c>
      <c r="F18" s="206">
        <f>FSM!H33-FSM!H29</f>
        <v>8456935410.188014</v>
      </c>
      <c r="G18" s="206">
        <f>FSM!I33-FSM!I29</f>
        <v>10492316227.483416</v>
      </c>
      <c r="H18" s="206">
        <f>FSM!J33-FSM!J29</f>
        <v>12333896666.560871</v>
      </c>
      <c r="I18" s="206">
        <f>FSM!K33-FSM!K29</f>
        <v>13965989373.323914</v>
      </c>
    </row>
    <row r="19" spans="2:13" x14ac:dyDescent="0.25">
      <c r="B19" s="90" t="s">
        <v>84</v>
      </c>
      <c r="D19" s="207">
        <f>+D18/D14</f>
        <v>0.48010434679462316</v>
      </c>
      <c r="E19" s="207">
        <f t="shared" ref="E19:I19" si="3">+E18/E14</f>
        <v>0.52926854661363476</v>
      </c>
      <c r="F19" s="207">
        <f t="shared" si="3"/>
        <v>0.54222634795811908</v>
      </c>
      <c r="G19" s="207">
        <f t="shared" si="3"/>
        <v>0.55138135854222625</v>
      </c>
      <c r="H19" s="207">
        <f t="shared" si="3"/>
        <v>0.55767412170149622</v>
      </c>
      <c r="I19" s="207">
        <f t="shared" si="3"/>
        <v>0.55930874633990224</v>
      </c>
    </row>
    <row r="20" spans="2:13" x14ac:dyDescent="0.25">
      <c r="B20" s="90"/>
      <c r="D20" s="206"/>
      <c r="E20" s="206"/>
      <c r="F20" s="206"/>
      <c r="G20" s="206"/>
      <c r="H20" s="206"/>
      <c r="I20" s="212"/>
    </row>
    <row r="21" spans="2:13" x14ac:dyDescent="0.25">
      <c r="B21" s="67" t="s">
        <v>86</v>
      </c>
      <c r="D21" s="208">
        <f>-D18*D22</f>
        <v>-979309137.3228265</v>
      </c>
      <c r="E21" s="208">
        <f t="shared" ref="E21:I21" si="4">-E18*E22</f>
        <v>-1496630190.7210739</v>
      </c>
      <c r="F21" s="208">
        <f t="shared" si="4"/>
        <v>-1987379821.3941832</v>
      </c>
      <c r="G21" s="208">
        <f t="shared" si="4"/>
        <v>-2465694313.4586024</v>
      </c>
      <c r="H21" s="208">
        <f t="shared" si="4"/>
        <v>-2898465716.6418047</v>
      </c>
      <c r="I21" s="208">
        <f t="shared" si="4"/>
        <v>-3282007502.7311196</v>
      </c>
    </row>
    <row r="22" spans="2:13" ht="15" customHeight="1" x14ac:dyDescent="0.25">
      <c r="B22" s="90" t="s">
        <v>38</v>
      </c>
      <c r="D22" s="209">
        <f>FSM!F53</f>
        <v>0.23577287577143063</v>
      </c>
      <c r="E22" s="209">
        <f>FSM!G53</f>
        <v>0.23499999999999999</v>
      </c>
      <c r="F22" s="209">
        <f>FSM!H53</f>
        <v>0.23499999999999999</v>
      </c>
      <c r="G22" s="209">
        <f>FSM!I53</f>
        <v>0.23499999999999999</v>
      </c>
      <c r="H22" s="209">
        <f>FSM!J53</f>
        <v>0.23499999999999999</v>
      </c>
      <c r="I22" s="209">
        <f>FSM!K53</f>
        <v>0.23499999999999999</v>
      </c>
    </row>
    <row r="23" spans="2:13" x14ac:dyDescent="0.25">
      <c r="B23" s="91" t="s">
        <v>87</v>
      </c>
      <c r="C23" s="91"/>
      <c r="D23" s="210">
        <f>D18+D21</f>
        <v>3174303249.6771736</v>
      </c>
      <c r="E23" s="210">
        <f t="shared" ref="E23:I23" si="5">E18+E21</f>
        <v>4872008918.7303047</v>
      </c>
      <c r="F23" s="210">
        <f t="shared" si="5"/>
        <v>6469555588.7938309</v>
      </c>
      <c r="G23" s="210">
        <f t="shared" si="5"/>
        <v>8026621914.0248127</v>
      </c>
      <c r="H23" s="210">
        <f t="shared" si="5"/>
        <v>9435430949.9190674</v>
      </c>
      <c r="I23" s="210">
        <f t="shared" si="5"/>
        <v>10683981870.592794</v>
      </c>
    </row>
    <row r="24" spans="2:13" x14ac:dyDescent="0.25">
      <c r="D24" s="88"/>
      <c r="E24" s="88"/>
      <c r="F24" s="88"/>
      <c r="G24" s="88"/>
      <c r="H24" s="88"/>
      <c r="I24" s="88"/>
    </row>
    <row r="25" spans="2:13" x14ac:dyDescent="0.25">
      <c r="B25" s="67" t="s">
        <v>34</v>
      </c>
      <c r="D25" s="89">
        <f>FSM!F180</f>
        <v>696996881</v>
      </c>
      <c r="E25" s="89">
        <f>FSM!G180</f>
        <v>789184877.69999993</v>
      </c>
      <c r="F25" s="89">
        <f>FSM!H180</f>
        <v>1289848449.54</v>
      </c>
      <c r="G25" s="89">
        <f>FSM!I180</f>
        <v>1815931838.8168497</v>
      </c>
      <c r="H25" s="89">
        <f>FSM!J180</f>
        <v>2335055681.1760502</v>
      </c>
      <c r="I25" s="89">
        <f>FSM!K180</f>
        <v>2814427493.5973163</v>
      </c>
      <c r="M25" s="93"/>
    </row>
    <row r="26" spans="2:13" x14ac:dyDescent="0.25">
      <c r="B26" s="67" t="s">
        <v>88</v>
      </c>
      <c r="D26" s="88"/>
      <c r="E26" s="88">
        <f>D32-E32</f>
        <v>2553995021.9839211</v>
      </c>
      <c r="F26" s="88">
        <f t="shared" ref="F26:I26" si="6">E32-F32</f>
        <v>2697645655.334465</v>
      </c>
      <c r="G26" s="88">
        <f t="shared" si="6"/>
        <v>2598238206.3326778</v>
      </c>
      <c r="H26" s="88">
        <f t="shared" si="6"/>
        <v>2337140077.3352737</v>
      </c>
      <c r="I26" s="88">
        <f t="shared" si="6"/>
        <v>2159925826.9690762</v>
      </c>
      <c r="M26" s="93"/>
    </row>
    <row r="27" spans="2:13" x14ac:dyDescent="0.25">
      <c r="B27" s="67" t="s">
        <v>89</v>
      </c>
      <c r="D27" s="89">
        <f>-(FSM!F169+FSM!F188)</f>
        <v>-1502149079</v>
      </c>
      <c r="E27" s="89">
        <f>-(FSM!G169+FSM!G188)</f>
        <v>-2767568570.9000001</v>
      </c>
      <c r="F27" s="89">
        <f>-(FSM!H169+FSM!H188)</f>
        <v>-3431271455.6339998</v>
      </c>
      <c r="G27" s="89">
        <f>-(FSM!I169+FSM!I188)</f>
        <v>-3996120604.4342108</v>
      </c>
      <c r="H27" s="89">
        <f>-(FSM!J169+FSM!J188)</f>
        <v>-4423334770.8261719</v>
      </c>
      <c r="I27" s="89">
        <f>-(FSM!K169+FSM!K188)</f>
        <v>-4744316977.5123444</v>
      </c>
      <c r="M27" s="93"/>
    </row>
    <row r="28" spans="2:13" x14ac:dyDescent="0.25">
      <c r="B28" s="90" t="s">
        <v>55</v>
      </c>
      <c r="D28" s="1">
        <f>D27/D14</f>
        <v>-0.17362917748864073</v>
      </c>
      <c r="E28" s="1">
        <f t="shared" ref="E28:I28" si="7">E27/E14</f>
        <v>-0.23</v>
      </c>
      <c r="F28" s="1">
        <f t="shared" si="7"/>
        <v>-0.21999999999999997</v>
      </c>
      <c r="G28" s="1">
        <f t="shared" si="7"/>
        <v>-0.21000000000000002</v>
      </c>
      <c r="H28" s="1">
        <f t="shared" si="7"/>
        <v>-0.2</v>
      </c>
      <c r="I28" s="1">
        <f t="shared" si="7"/>
        <v>-0.19</v>
      </c>
      <c r="M28" s="93"/>
    </row>
    <row r="29" spans="2:13" x14ac:dyDescent="0.25">
      <c r="B29" s="286" t="s">
        <v>270</v>
      </c>
      <c r="D29" s="89">
        <f>-((FSM!F219)-(FSM!E219))</f>
        <v>-2516843924</v>
      </c>
      <c r="E29" s="89">
        <f>-((FSM!G219)-(FSM!F219))</f>
        <v>-3001076213.2160006</v>
      </c>
      <c r="F29" s="89">
        <f>-((FSM!H219)-(FSM!G219))</f>
        <v>-3390450918.0864</v>
      </c>
      <c r="G29" s="89">
        <f>-((FSM!I219)-(FSM!H219))</f>
        <v>-3559973463.9907207</v>
      </c>
      <c r="H29" s="89">
        <f>-((FSM!J219)-(FSM!I219))</f>
        <v>-3393841369.0044861</v>
      </c>
      <c r="I29" s="89">
        <f>-((FSM!K219)-(FSM!J219))</f>
        <v>-3011262887.4076157</v>
      </c>
      <c r="M29" s="93"/>
    </row>
    <row r="30" spans="2:13" x14ac:dyDescent="0.25">
      <c r="B30" s="91" t="s">
        <v>90</v>
      </c>
      <c r="C30" s="91"/>
      <c r="D30" s="92">
        <f>D23+D25+D26+D27+D29</f>
        <v>-147692872.32282639</v>
      </c>
      <c r="E30" s="92">
        <f t="shared" ref="E30:I30" si="8">E23+E25+E26+E27+E29</f>
        <v>2446544034.2982244</v>
      </c>
      <c r="F30" s="92">
        <f t="shared" si="8"/>
        <v>3635327319.947897</v>
      </c>
      <c r="G30" s="92">
        <f t="shared" si="8"/>
        <v>4884697890.7494097</v>
      </c>
      <c r="H30" s="92">
        <f t="shared" si="8"/>
        <v>6290450568.5997334</v>
      </c>
      <c r="I30" s="92">
        <f t="shared" si="8"/>
        <v>7902755326.2392273</v>
      </c>
      <c r="M30" s="92"/>
    </row>
    <row r="31" spans="2:13" x14ac:dyDescent="0.25">
      <c r="D31" s="89"/>
      <c r="E31" s="89"/>
      <c r="F31" s="89"/>
      <c r="G31" s="89"/>
      <c r="H31" s="89"/>
      <c r="I31" s="89"/>
      <c r="M31" s="93"/>
    </row>
    <row r="32" spans="2:13" x14ac:dyDescent="0.25">
      <c r="B32" s="67" t="s">
        <v>91</v>
      </c>
      <c r="C32" s="89"/>
      <c r="D32" s="89">
        <f>(FSM!F65+FSM!F66+FSM!F68+FSM!F69)-(FSM!F96+FSM!F97+FSM!F98+FSM!F99+FSM!F100+FSM!F102)</f>
        <v>-6554452810</v>
      </c>
      <c r="E32" s="89">
        <f>(FSM!G65+FSM!G66+FSM!G68+FSM!G69)-(FSM!G96+FSM!G97+FSM!G98+FSM!G99+FSM!G100+FSM!G102)</f>
        <v>-9108447831.9839211</v>
      </c>
      <c r="F32" s="89">
        <f>(FSM!H65+FSM!H66+FSM!H68+FSM!H69)-(FSM!H96+FSM!H97+FSM!H98+FSM!H99+FSM!H100+FSM!H102)</f>
        <v>-11806093487.318386</v>
      </c>
      <c r="G32" s="89">
        <f>(FSM!I65+FSM!I66+FSM!I68+FSM!I69)-(FSM!I96+FSM!I97+FSM!I98+FSM!I99+FSM!I100+FSM!I102)</f>
        <v>-14404331693.651064</v>
      </c>
      <c r="H32" s="89">
        <f>(FSM!J65+FSM!J66+FSM!J68+FSM!J69)-(FSM!J96+FSM!J97+FSM!J98+FSM!J99+FSM!J100+FSM!J102)</f>
        <v>-16741471770.986338</v>
      </c>
      <c r="I32" s="89">
        <f>(FSM!K65+FSM!K66+FSM!K68+FSM!K69)-(FSM!K96+FSM!K97+FSM!K98+FSM!K99+FSM!K100+FSM!K102)</f>
        <v>-18901397597.955414</v>
      </c>
    </row>
    <row r="33" spans="2:13" x14ac:dyDescent="0.25">
      <c r="B33" s="90" t="s">
        <v>55</v>
      </c>
      <c r="D33" s="76">
        <f>+D32/D14</f>
        <v>-0.75761072332848667</v>
      </c>
      <c r="E33" s="76">
        <f t="shared" ref="E33:I33" si="9">+E32/E14</f>
        <v>-0.75696155223898809</v>
      </c>
      <c r="F33" s="76">
        <f t="shared" si="9"/>
        <v>-0.75696155223898809</v>
      </c>
      <c r="G33" s="76">
        <f t="shared" si="9"/>
        <v>-0.7569615522389882</v>
      </c>
      <c r="H33" s="76">
        <f t="shared" si="9"/>
        <v>-0.75696155223898809</v>
      </c>
      <c r="I33" s="76">
        <f t="shared" si="9"/>
        <v>-0.75696155223898809</v>
      </c>
      <c r="J33" s="89"/>
    </row>
    <row r="34" spans="2:13" x14ac:dyDescent="0.25">
      <c r="D34"/>
      <c r="E34" s="76"/>
      <c r="F34" s="76"/>
      <c r="G34" s="76"/>
      <c r="H34" s="76"/>
      <c r="I34" s="76"/>
      <c r="J34" s="89"/>
      <c r="K34" s="94"/>
      <c r="M34" s="76"/>
    </row>
    <row r="35" spans="2:13" x14ac:dyDescent="0.25">
      <c r="B35" s="78" t="str">
        <f>"Present value of UFCF on "&amp;TEXT(D7,"mmm dd, yyyy")&amp;" valuation date"</f>
        <v>Present value of UFCF on May 31, 2026 valuation date</v>
      </c>
      <c r="C35" s="79"/>
      <c r="D35" s="95"/>
      <c r="E35" s="79"/>
      <c r="F35" s="95"/>
      <c r="G35" s="95"/>
      <c r="H35" s="95"/>
      <c r="I35" s="95"/>
      <c r="J35" s="89"/>
    </row>
    <row r="36" spans="2:13" ht="17.25" x14ac:dyDescent="0.4">
      <c r="B36" s="91"/>
      <c r="D36" s="96" t="s">
        <v>92</v>
      </c>
      <c r="E36" s="96" t="s">
        <v>93</v>
      </c>
      <c r="F36" s="97" t="s">
        <v>94</v>
      </c>
      <c r="G36" s="97" t="s">
        <v>95</v>
      </c>
      <c r="H36" s="97" t="s">
        <v>96</v>
      </c>
      <c r="I36" s="97" t="s">
        <v>97</v>
      </c>
      <c r="J36" s="89"/>
    </row>
    <row r="37" spans="2:13" x14ac:dyDescent="0.25">
      <c r="B37" s="67" t="s">
        <v>98</v>
      </c>
      <c r="D37" s="98">
        <f>D7</f>
        <v>46173</v>
      </c>
      <c r="E37" s="184">
        <f ca="1">IF($H$7=1,AVERAGE(E12,D37),E12)</f>
        <v>46387</v>
      </c>
      <c r="F37" s="184">
        <f ca="1">IF($H$7=1,AVERAGE(F12,E12),F12)</f>
        <v>46752</v>
      </c>
      <c r="G37" s="184">
        <f ca="1">IF($H$7=1,AVERAGE(G12,F12),G12)</f>
        <v>47118</v>
      </c>
      <c r="H37" s="184">
        <f ca="1">IF($H$7=1,AVERAGE(H12,G12),H12)</f>
        <v>47483</v>
      </c>
      <c r="I37" s="184">
        <f ca="1">IF($H$7=1,AVERAGE(I12,H12),I12)</f>
        <v>47848</v>
      </c>
      <c r="J37" s="89"/>
    </row>
    <row r="38" spans="2:13" x14ac:dyDescent="0.25">
      <c r="B38" s="67" t="s">
        <v>99</v>
      </c>
      <c r="C38" s="99">
        <f>$D$8</f>
        <v>0.58333333333333337</v>
      </c>
      <c r="D38" s="93"/>
      <c r="E38" s="100">
        <f>E30*C38</f>
        <v>1427150686.6739643</v>
      </c>
      <c r="F38" s="100">
        <f t="shared" ref="F38:I38" si="10">F30</f>
        <v>3635327319.947897</v>
      </c>
      <c r="G38" s="100">
        <f t="shared" si="10"/>
        <v>4884697890.7494097</v>
      </c>
      <c r="H38" s="100">
        <f t="shared" si="10"/>
        <v>6290450568.5997334</v>
      </c>
      <c r="I38" s="100">
        <f t="shared" si="10"/>
        <v>7902755326.2392273</v>
      </c>
      <c r="J38" s="88"/>
    </row>
    <row r="39" spans="2:13" ht="15" customHeight="1" x14ac:dyDescent="0.25">
      <c r="B39" s="91" t="s">
        <v>100</v>
      </c>
      <c r="C39" s="101"/>
      <c r="D39" s="92"/>
      <c r="E39" s="92">
        <f ca="1">E38/(1+$H$4)^((E37-$D$7)/365)</f>
        <v>1256244900.4638441</v>
      </c>
      <c r="F39" s="92">
        <f t="shared" ref="F39:I39" ca="1" si="11">F38/(1+$H$4)^((F37-$D$7)/365)</f>
        <v>2574334576.6574512</v>
      </c>
      <c r="G39" s="92">
        <f t="shared" ca="1" si="11"/>
        <v>2781104509.6110644</v>
      </c>
      <c r="H39" s="92">
        <f t="shared" ca="1" si="11"/>
        <v>2881232754.2654338</v>
      </c>
      <c r="I39" s="92">
        <f t="shared" ca="1" si="11"/>
        <v>2912004984.8721986</v>
      </c>
      <c r="J39" s="88"/>
    </row>
    <row r="41" spans="2:13" x14ac:dyDescent="0.25">
      <c r="B41" s="78" t="s">
        <v>101</v>
      </c>
      <c r="C41" s="78"/>
      <c r="E41" s="78" t="s">
        <v>102</v>
      </c>
      <c r="F41" s="79"/>
      <c r="G41" s="79"/>
      <c r="H41" s="79"/>
      <c r="I41" s="79"/>
    </row>
    <row r="42" spans="2:13" x14ac:dyDescent="0.25">
      <c r="B42" s="67" t="s">
        <v>103</v>
      </c>
      <c r="C42" s="102">
        <v>0.1</v>
      </c>
      <c r="E42" s="67" t="s">
        <v>104</v>
      </c>
      <c r="I42" s="93">
        <f>+I16</f>
        <v>16470233284.408173</v>
      </c>
      <c r="J42" s="93"/>
    </row>
    <row r="43" spans="2:13" x14ac:dyDescent="0.25">
      <c r="B43" s="103" t="str">
        <f>YEAR(I12)&amp;" FCF x (1+g)"</f>
        <v>2030 FCF x (1+g)</v>
      </c>
      <c r="C43" s="93">
        <f>+I38*(1+C42)</f>
        <v>8693030858.8631516</v>
      </c>
      <c r="E43" s="67" t="s">
        <v>105</v>
      </c>
      <c r="I43" s="104">
        <v>10</v>
      </c>
      <c r="J43" s="104"/>
    </row>
    <row r="44" spans="2:13" x14ac:dyDescent="0.25">
      <c r="B44" s="67" t="str">
        <f>"Terminal value in "&amp;YEAR(I12)</f>
        <v>Terminal value in 2030</v>
      </c>
      <c r="C44" s="93">
        <f>C43/(H4-C42)</f>
        <v>60775971023.066101</v>
      </c>
      <c r="E44" s="67" t="str">
        <f>"Terminal value in "&amp;YEAR(I12)</f>
        <v>Terminal value in 2030</v>
      </c>
      <c r="I44" s="93">
        <f>+I42*I43</f>
        <v>164702332844.08173</v>
      </c>
      <c r="J44" s="93"/>
    </row>
    <row r="45" spans="2:13" x14ac:dyDescent="0.25">
      <c r="B45" s="67" t="s">
        <v>106</v>
      </c>
      <c r="C45" s="93">
        <f ca="1">C44/(1+H4)^((I37-$D$37)/365)</f>
        <v>22394712131.85569</v>
      </c>
      <c r="E45" s="67" t="s">
        <v>106</v>
      </c>
      <c r="I45" s="93">
        <f ca="1">I44/(1+H4)^((I37-$D$37)/365)</f>
        <v>60689467718.885498</v>
      </c>
      <c r="J45" s="93"/>
    </row>
    <row r="46" spans="2:13" x14ac:dyDescent="0.25">
      <c r="B46" s="67" t="s">
        <v>107</v>
      </c>
      <c r="C46" s="88">
        <f ca="1">+SUM(E39:I39)</f>
        <v>12404921725.869991</v>
      </c>
      <c r="E46" s="67" t="s">
        <v>107</v>
      </c>
      <c r="I46" s="93">
        <f ca="1">C46</f>
        <v>12404921725.869991</v>
      </c>
      <c r="J46" s="93"/>
    </row>
    <row r="47" spans="2:13" x14ac:dyDescent="0.25">
      <c r="B47" s="91" t="s">
        <v>108</v>
      </c>
      <c r="C47" s="105">
        <f ca="1">SUM(C45:C46)</f>
        <v>34799633857.725677</v>
      </c>
      <c r="E47" s="91" t="s">
        <v>109</v>
      </c>
      <c r="I47" s="105">
        <f ca="1">I45+I46</f>
        <v>73094389444.755493</v>
      </c>
      <c r="J47" s="105"/>
    </row>
    <row r="49" spans="2:10" x14ac:dyDescent="0.25">
      <c r="B49" s="106" t="s">
        <v>110</v>
      </c>
      <c r="C49" s="107">
        <f ca="1">+C45/C47</f>
        <v>0.64353298150819371</v>
      </c>
      <c r="E49" s="106" t="s">
        <v>110</v>
      </c>
      <c r="I49" s="107">
        <f ca="1">I45/I47</f>
        <v>0.83028900275245343</v>
      </c>
      <c r="J49" s="107"/>
    </row>
    <row r="50" spans="2:10" x14ac:dyDescent="0.25">
      <c r="B50" s="106" t="s">
        <v>111</v>
      </c>
      <c r="C50" s="107">
        <f ca="1">1-C49</f>
        <v>0.35646701849180629</v>
      </c>
      <c r="E50" s="106" t="s">
        <v>112</v>
      </c>
      <c r="G50" s="108"/>
      <c r="I50" s="109">
        <f ca="1">1-I49</f>
        <v>0.16971099724754657</v>
      </c>
      <c r="J50" s="109"/>
    </row>
    <row r="51" spans="2:10" x14ac:dyDescent="0.25">
      <c r="B51" s="106" t="s">
        <v>113</v>
      </c>
      <c r="C51" s="110">
        <f>C44/I16</f>
        <v>3.6900491919929701</v>
      </c>
      <c r="E51" s="67" t="s">
        <v>114</v>
      </c>
      <c r="I51" s="111">
        <f>(H4-I38/I44)/(1+I38/I44)</f>
        <v>0.18612147216346034</v>
      </c>
      <c r="J51" s="111"/>
    </row>
    <row r="52" spans="2:10" x14ac:dyDescent="0.25">
      <c r="B52" s="106"/>
      <c r="C52" s="83"/>
      <c r="D52" s="110"/>
      <c r="I52" s="111"/>
      <c r="J52" s="111"/>
    </row>
    <row r="53" spans="2:10" x14ac:dyDescent="0.25">
      <c r="B53" s="78" t="s">
        <v>115</v>
      </c>
      <c r="C53" s="79"/>
      <c r="E53" s="78" t="s">
        <v>46</v>
      </c>
      <c r="F53" s="79"/>
      <c r="G53" s="78"/>
      <c r="H53" s="79"/>
      <c r="I53" s="79"/>
    </row>
    <row r="54" spans="2:10" x14ac:dyDescent="0.25">
      <c r="B54" s="67" t="s">
        <v>116</v>
      </c>
      <c r="C54" s="227"/>
    </row>
    <row r="55" spans="2:10" x14ac:dyDescent="0.25">
      <c r="B55" s="112" t="s">
        <v>117</v>
      </c>
      <c r="C55" s="74"/>
      <c r="G55" s="113" t="s">
        <v>116</v>
      </c>
      <c r="H55" s="114" t="s">
        <v>118</v>
      </c>
      <c r="I55" s="114" t="s">
        <v>119</v>
      </c>
    </row>
    <row r="56" spans="2:10" x14ac:dyDescent="0.25">
      <c r="B56" s="115" t="s">
        <v>120</v>
      </c>
      <c r="C56" s="116"/>
      <c r="E56" s="67" t="s">
        <v>121</v>
      </c>
      <c r="G56" s="228"/>
      <c r="H56" s="74"/>
      <c r="I56" s="225">
        <v>3406523244</v>
      </c>
      <c r="J56" s="117"/>
    </row>
    <row r="57" spans="2:10" x14ac:dyDescent="0.25">
      <c r="B57" s="90" t="s">
        <v>122</v>
      </c>
      <c r="C57" s="118">
        <f>FSM!F94+FSM!F95+FSM!F107</f>
        <v>3631900789</v>
      </c>
      <c r="E57" s="112" t="s">
        <v>123</v>
      </c>
      <c r="G57" s="228"/>
      <c r="H57" s="74"/>
      <c r="I57" s="117">
        <v>0</v>
      </c>
      <c r="J57" s="119"/>
    </row>
    <row r="58" spans="2:10" x14ac:dyDescent="0.25">
      <c r="B58" s="90" t="s">
        <v>124</v>
      </c>
      <c r="C58" s="120">
        <v>0</v>
      </c>
      <c r="E58" s="112" t="s">
        <v>125</v>
      </c>
      <c r="G58" s="74"/>
      <c r="H58" s="74"/>
      <c r="I58" s="121">
        <v>0</v>
      </c>
    </row>
    <row r="59" spans="2:10" ht="15" customHeight="1" x14ac:dyDescent="0.25">
      <c r="B59" s="90" t="s">
        <v>126</v>
      </c>
      <c r="C59" s="120">
        <v>0</v>
      </c>
      <c r="E59" s="67" t="s">
        <v>124</v>
      </c>
      <c r="G59" s="74"/>
      <c r="H59" s="74"/>
      <c r="I59" s="121">
        <v>0</v>
      </c>
    </row>
    <row r="60" spans="2:10" x14ac:dyDescent="0.25">
      <c r="B60" s="122" t="s">
        <v>127</v>
      </c>
      <c r="C60" s="118">
        <f>FSM!F122</f>
        <v>341051621</v>
      </c>
      <c r="E60" s="67" t="s">
        <v>128</v>
      </c>
      <c r="G60" s="74"/>
      <c r="H60" s="74"/>
      <c r="I60" s="121">
        <v>0</v>
      </c>
    </row>
    <row r="61" spans="2:10" ht="15" customHeight="1" x14ac:dyDescent="0.25">
      <c r="B61" s="115" t="s">
        <v>129</v>
      </c>
      <c r="E61" s="123" t="s">
        <v>130</v>
      </c>
      <c r="I61" s="226">
        <f>SUM(I56:I60)</f>
        <v>3406523244</v>
      </c>
      <c r="J61" s="124"/>
    </row>
    <row r="62" spans="2:10" x14ac:dyDescent="0.25">
      <c r="B62" s="125" t="s">
        <v>131</v>
      </c>
      <c r="C62" s="118">
        <v>4266166926</v>
      </c>
      <c r="J62" s="126"/>
    </row>
    <row r="63" spans="2:10" x14ac:dyDescent="0.25">
      <c r="B63" s="125" t="s">
        <v>132</v>
      </c>
      <c r="C63" s="118">
        <f>FSM!F72</f>
        <v>3784335147</v>
      </c>
      <c r="J63" s="126"/>
    </row>
    <row r="64" spans="2:10" x14ac:dyDescent="0.25">
      <c r="J64" s="127"/>
    </row>
    <row r="65" spans="2:6" x14ac:dyDescent="0.25">
      <c r="B65" s="128" t="s">
        <v>115</v>
      </c>
      <c r="C65" s="129">
        <f>SUM(C57:C60)-SUM(C62:C63)</f>
        <v>-4077549663</v>
      </c>
    </row>
    <row r="67" spans="2:6" x14ac:dyDescent="0.25">
      <c r="B67" s="78" t="s">
        <v>133</v>
      </c>
      <c r="C67" s="79"/>
      <c r="D67" s="79"/>
    </row>
    <row r="68" spans="2:6" ht="17.25" x14ac:dyDescent="0.4">
      <c r="C68" s="130" t="s">
        <v>134</v>
      </c>
      <c r="D68" s="130" t="s">
        <v>35</v>
      </c>
    </row>
    <row r="69" spans="2:6" x14ac:dyDescent="0.25">
      <c r="B69" s="67" t="s">
        <v>135</v>
      </c>
      <c r="C69" s="131">
        <f ca="1">C47</f>
        <v>34799633857.725677</v>
      </c>
      <c r="D69" s="131">
        <f ca="1">I47</f>
        <v>73094389444.755493</v>
      </c>
    </row>
    <row r="70" spans="2:6" x14ac:dyDescent="0.25">
      <c r="B70" s="67" t="s">
        <v>115</v>
      </c>
      <c r="C70" s="132">
        <f>C65</f>
        <v>-4077549663</v>
      </c>
      <c r="D70" s="132">
        <f>C65</f>
        <v>-4077549663</v>
      </c>
    </row>
    <row r="71" spans="2:6" x14ac:dyDescent="0.25">
      <c r="B71" s="67" t="s">
        <v>136</v>
      </c>
      <c r="C71" s="133">
        <f ca="1">C69-C70</f>
        <v>38877183520.725677</v>
      </c>
      <c r="D71" s="133">
        <f ca="1">D69-D70</f>
        <v>77171939107.755493</v>
      </c>
    </row>
    <row r="72" spans="2:6" x14ac:dyDescent="0.25">
      <c r="B72" s="67" t="s">
        <v>46</v>
      </c>
      <c r="C72" s="287">
        <f>+$I$61</f>
        <v>3406523244</v>
      </c>
      <c r="D72" s="287">
        <f>+$I$61</f>
        <v>3406523244</v>
      </c>
    </row>
    <row r="73" spans="2:6" x14ac:dyDescent="0.25">
      <c r="B73" s="91" t="s">
        <v>137</v>
      </c>
      <c r="C73" s="134">
        <f ca="1">C71/C72</f>
        <v>11.412569571982546</v>
      </c>
      <c r="D73" s="134">
        <f ca="1">D71/D72</f>
        <v>22.654164842021988</v>
      </c>
    </row>
    <row r="75" spans="2:6" ht="17.25" x14ac:dyDescent="0.4">
      <c r="C75" s="81" t="s">
        <v>138</v>
      </c>
      <c r="D75" s="81"/>
    </row>
    <row r="76" spans="2:6" x14ac:dyDescent="0.25">
      <c r="B76" s="113"/>
      <c r="C76" s="114" t="s">
        <v>134</v>
      </c>
      <c r="D76" s="114" t="s">
        <v>35</v>
      </c>
    </row>
    <row r="77" spans="2:6" x14ac:dyDescent="0.25">
      <c r="B77" s="67" t="s">
        <v>139</v>
      </c>
      <c r="C77" s="135">
        <f ca="1">C$69/$C$14</f>
        <v>3.4590682222258571</v>
      </c>
      <c r="D77" s="135">
        <f ca="1">D$69/$C$14</f>
        <v>7.2655499993205694</v>
      </c>
    </row>
    <row r="78" spans="2:6" x14ac:dyDescent="0.25">
      <c r="B78" s="67" t="s">
        <v>140</v>
      </c>
      <c r="C78" s="135">
        <f ca="1">C$69/C16</f>
        <v>6.1191803996570666</v>
      </c>
      <c r="D78" s="135">
        <f ca="1">D$69/C16</f>
        <v>12.85294428797418</v>
      </c>
    </row>
    <row r="79" spans="2:6" x14ac:dyDescent="0.25">
      <c r="B79" s="88" t="s">
        <v>141</v>
      </c>
      <c r="C79" s="135">
        <f ca="1">C$69/C18</f>
        <v>6.8549903219201944</v>
      </c>
      <c r="D79" s="135">
        <f ca="1">D$69/C18</f>
        <v>14.39846563555802</v>
      </c>
    </row>
    <row r="80" spans="2:6" ht="17.25" x14ac:dyDescent="0.4">
      <c r="B80" s="88"/>
      <c r="C80" s="81" t="s">
        <v>142</v>
      </c>
      <c r="D80" s="81"/>
      <c r="E80" s="136"/>
      <c r="F80" s="136"/>
    </row>
    <row r="81" spans="2:17" x14ac:dyDescent="0.25">
      <c r="B81" s="113"/>
      <c r="C81" s="114" t="s">
        <v>134</v>
      </c>
      <c r="D81" s="114" t="s">
        <v>35</v>
      </c>
      <c r="E81" s="136"/>
      <c r="F81" s="136"/>
    </row>
    <row r="82" spans="2:17" x14ac:dyDescent="0.25">
      <c r="B82" s="67" t="s">
        <v>139</v>
      </c>
      <c r="C82" s="135">
        <f ca="1">C69/E14</f>
        <v>2.892038835617385</v>
      </c>
      <c r="D82" s="135">
        <f ca="1">D69/E14</f>
        <v>6.074541295584476</v>
      </c>
      <c r="E82" s="136"/>
      <c r="F82" s="136"/>
    </row>
    <row r="83" spans="2:17" x14ac:dyDescent="0.25">
      <c r="B83" s="67" t="s">
        <v>140</v>
      </c>
      <c r="C83" s="135">
        <f ca="1">C$69/$E$16</f>
        <v>4.965454078136041</v>
      </c>
      <c r="D83" s="135">
        <f ca="1">D$69/$E$16</f>
        <v>10.42961646209244</v>
      </c>
      <c r="E83" s="136"/>
      <c r="F83" s="136"/>
    </row>
    <row r="84" spans="2:17" x14ac:dyDescent="0.25">
      <c r="B84" s="88" t="s">
        <v>141</v>
      </c>
      <c r="C84" s="135">
        <f ca="1">+C69/E18</f>
        <v>5.4642182198833158</v>
      </c>
      <c r="D84" s="135">
        <f ca="1">+D69/E18</f>
        <v>11.477238416018858</v>
      </c>
      <c r="E84" s="136"/>
      <c r="F84" s="136"/>
    </row>
    <row r="86" spans="2:17" x14ac:dyDescent="0.25">
      <c r="B86" s="78" t="s">
        <v>143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</row>
    <row r="87" spans="2:17" x14ac:dyDescent="0.25">
      <c r="B87" s="91"/>
    </row>
    <row r="88" spans="2:17" ht="17.25" customHeight="1" x14ac:dyDescent="0.4">
      <c r="B88" s="137"/>
      <c r="C88" s="91"/>
      <c r="D88" s="138" t="s">
        <v>137</v>
      </c>
      <c r="E88" s="81"/>
      <c r="F88" s="81"/>
      <c r="G88" s="81"/>
      <c r="H88" s="81"/>
      <c r="I88" s="81"/>
      <c r="J88" s="139"/>
      <c r="L88" s="138" t="s">
        <v>144</v>
      </c>
      <c r="M88" s="81"/>
      <c r="N88" s="81"/>
      <c r="O88" s="81"/>
      <c r="P88" s="81"/>
      <c r="Q88" s="81"/>
    </row>
    <row r="89" spans="2:17" ht="15" customHeight="1" x14ac:dyDescent="0.25">
      <c r="B89" s="137"/>
      <c r="D89" s="112"/>
      <c r="E89" s="140" t="s">
        <v>145</v>
      </c>
      <c r="F89" s="140"/>
      <c r="G89" s="140"/>
      <c r="H89" s="140"/>
      <c r="I89" s="140"/>
      <c r="J89" s="141"/>
      <c r="L89" s="140" t="s">
        <v>145</v>
      </c>
      <c r="M89" s="140"/>
      <c r="N89" s="140"/>
      <c r="O89" s="140"/>
      <c r="P89" s="140"/>
      <c r="Q89" s="140"/>
    </row>
    <row r="90" spans="2:17" ht="15" customHeight="1" x14ac:dyDescent="0.25">
      <c r="B90" s="137"/>
      <c r="C90" s="142"/>
      <c r="D90" s="189">
        <f ca="1">C73</f>
        <v>11.412569571982546</v>
      </c>
      <c r="E90" s="231">
        <f>F90-0.005</f>
        <v>0.09</v>
      </c>
      <c r="F90" s="232">
        <f>G90-0.005</f>
        <v>9.5000000000000001E-2</v>
      </c>
      <c r="G90" s="143">
        <f>$C$42</f>
        <v>0.1</v>
      </c>
      <c r="H90" s="232">
        <f>G90+0.005</f>
        <v>0.10500000000000001</v>
      </c>
      <c r="I90" s="232">
        <f>H90+0.005</f>
        <v>0.11000000000000001</v>
      </c>
      <c r="K90" s="147"/>
      <c r="L90" s="144">
        <f ca="1">C78</f>
        <v>6.1191803996570666</v>
      </c>
      <c r="M90" s="231">
        <f>N90-0.005</f>
        <v>0.09</v>
      </c>
      <c r="N90" s="232">
        <f>O90-0.005</f>
        <v>9.5000000000000001E-2</v>
      </c>
      <c r="O90" s="143">
        <f>$C$42</f>
        <v>0.1</v>
      </c>
      <c r="P90" s="232">
        <f>O90+0.005</f>
        <v>0.10500000000000001</v>
      </c>
      <c r="Q90" s="232">
        <f>P90+0.005</f>
        <v>0.11000000000000001</v>
      </c>
    </row>
    <row r="91" spans="2:17" ht="15" customHeight="1" x14ac:dyDescent="0.25">
      <c r="B91" s="137"/>
      <c r="D91" s="229">
        <f>D92+0.01</f>
        <v>0.26303401019399453</v>
      </c>
      <c r="E91" s="145">
        <f t="dataTable" ref="E91:I95" dt2D="1" dtr="1" r1="C42" r2="H4" ca="1"/>
        <v>9.6801971710649628</v>
      </c>
      <c r="F91" s="145">
        <v>9.5173350930663734</v>
      </c>
      <c r="G91" s="145">
        <v>9.5173350930663734</v>
      </c>
      <c r="H91" s="145">
        <v>9.6801971710649628</v>
      </c>
      <c r="I91" s="145">
        <v>10.03588968970098</v>
      </c>
      <c r="J91" s="146"/>
      <c r="L91" s="229">
        <f>L92+0.01</f>
        <v>0.26303401019399453</v>
      </c>
      <c r="M91" s="147">
        <f t="dataTable" ref="M91:Q95" dt2D="1" dtr="1" r1="C42" r2="H4" ca="1"/>
        <v>5.0814818849715149</v>
      </c>
      <c r="N91" s="147">
        <v>4.983926800194002</v>
      </c>
      <c r="O91" s="147">
        <v>4.983926800194002</v>
      </c>
      <c r="P91" s="147">
        <v>5.0814818849715149</v>
      </c>
      <c r="Q91" s="147">
        <v>5.2945432325650552</v>
      </c>
    </row>
    <row r="92" spans="2:17" ht="15" customHeight="1" x14ac:dyDescent="0.25">
      <c r="B92" s="137"/>
      <c r="D92" s="229">
        <f>D93+0.01</f>
        <v>0.25303401019399452</v>
      </c>
      <c r="E92" s="145">
        <v>10.264465680114769</v>
      </c>
      <c r="F92" s="145">
        <v>10.076027433677853</v>
      </c>
      <c r="G92" s="145">
        <v>10.076027433677853</v>
      </c>
      <c r="H92" s="145">
        <v>10.264465680114769</v>
      </c>
      <c r="I92" s="145">
        <v>10.67828263730723</v>
      </c>
      <c r="J92" s="146"/>
      <c r="L92" s="229">
        <f>L93+0.01</f>
        <v>0.25303401019399452</v>
      </c>
      <c r="M92" s="147">
        <v>5.4314612333479904</v>
      </c>
      <c r="N92" s="147">
        <v>5.3185859137377465</v>
      </c>
      <c r="O92" s="147">
        <v>5.3185859137377465</v>
      </c>
      <c r="P92" s="147">
        <v>5.4314612333479904</v>
      </c>
      <c r="Q92" s="147">
        <v>5.6793393694824967</v>
      </c>
    </row>
    <row r="93" spans="2:17" ht="15" customHeight="1" x14ac:dyDescent="0.25">
      <c r="B93" s="137"/>
      <c r="C93" s="142" t="s">
        <v>146</v>
      </c>
      <c r="D93" s="148">
        <f>WACC!$E$21</f>
        <v>0.24303401019399451</v>
      </c>
      <c r="E93" s="145">
        <v>10.927128525944545</v>
      </c>
      <c r="F93" s="145">
        <v>10.707446131495564</v>
      </c>
      <c r="G93" s="145">
        <v>10.707446131495564</v>
      </c>
      <c r="H93" s="145">
        <v>10.927128525944545</v>
      </c>
      <c r="I93" s="145">
        <v>11.412569571982546</v>
      </c>
      <c r="J93" s="146"/>
      <c r="K93" s="142" t="s">
        <v>146</v>
      </c>
      <c r="L93" s="148">
        <f>WACC!$E$21</f>
        <v>0.24303401019399451</v>
      </c>
      <c r="M93" s="147">
        <v>5.828399126430698</v>
      </c>
      <c r="N93" s="147">
        <v>5.6968084278594633</v>
      </c>
      <c r="O93" s="147">
        <v>5.6968084278594633</v>
      </c>
      <c r="P93" s="147">
        <v>5.828399126430698</v>
      </c>
      <c r="Q93" s="147">
        <v>6.1191803996570666</v>
      </c>
    </row>
    <row r="94" spans="2:17" ht="15" customHeight="1" x14ac:dyDescent="0.25">
      <c r="B94" s="137"/>
      <c r="D94" s="229">
        <f t="shared" ref="D94:D95" si="12">D93-0.01</f>
        <v>0.2330340101939945</v>
      </c>
      <c r="E94" s="145">
        <v>11.684712842472923</v>
      </c>
      <c r="F94" s="145">
        <v>11.426413588958891</v>
      </c>
      <c r="G94" s="145">
        <v>11.426413588958891</v>
      </c>
      <c r="H94" s="145">
        <v>11.684712842472923</v>
      </c>
      <c r="I94" s="145">
        <v>12.259559444060573</v>
      </c>
      <c r="J94" s="146"/>
      <c r="L94" s="229">
        <f t="shared" ref="L94:L95" si="13">L93-0.01</f>
        <v>0.2330340101939945</v>
      </c>
      <c r="M94" s="147">
        <v>6.2821953884781481</v>
      </c>
      <c r="N94" s="147">
        <v>6.1274730253338694</v>
      </c>
      <c r="O94" s="147">
        <v>6.1274730253338694</v>
      </c>
      <c r="P94" s="147">
        <v>6.2821953884781481</v>
      </c>
      <c r="Q94" s="147">
        <v>6.6265309737850862</v>
      </c>
    </row>
    <row r="95" spans="2:17" ht="15" customHeight="1" x14ac:dyDescent="0.25">
      <c r="B95" s="149" t="s">
        <v>147</v>
      </c>
      <c r="D95" s="230">
        <f t="shared" si="12"/>
        <v>0.22303401019399449</v>
      </c>
      <c r="E95" s="145">
        <v>12.558719506743754</v>
      </c>
      <c r="F95" s="145">
        <v>12.252051900281257</v>
      </c>
      <c r="G95" s="145">
        <v>12.252051900281257</v>
      </c>
      <c r="H95" s="145">
        <v>12.558719506743754</v>
      </c>
      <c r="I95" s="145">
        <v>13.246831020785566</v>
      </c>
      <c r="J95" s="146"/>
      <c r="L95" s="230">
        <f t="shared" si="13"/>
        <v>0.22303401019399449</v>
      </c>
      <c r="M95" s="147">
        <v>6.8057291372602977</v>
      </c>
      <c r="N95" s="147">
        <v>6.622033922790389</v>
      </c>
      <c r="O95" s="147">
        <v>6.622033922790389</v>
      </c>
      <c r="P95" s="147">
        <v>6.8057291372602977</v>
      </c>
      <c r="Q95" s="147">
        <v>7.2179108919921342</v>
      </c>
    </row>
    <row r="96" spans="2:17" ht="15" customHeight="1" x14ac:dyDescent="0.25">
      <c r="B96" s="149" t="s">
        <v>148</v>
      </c>
      <c r="E96" s="150"/>
      <c r="F96" s="150"/>
      <c r="G96" s="150"/>
      <c r="H96" s="150"/>
      <c r="I96" s="150"/>
      <c r="J96" s="150"/>
    </row>
    <row r="97" spans="2:17" ht="17.25" customHeight="1" x14ac:dyDescent="0.4">
      <c r="B97" s="137"/>
      <c r="D97" s="138" t="s">
        <v>137</v>
      </c>
      <c r="E97" s="81"/>
      <c r="F97" s="81"/>
      <c r="G97" s="81"/>
      <c r="H97" s="81"/>
      <c r="I97" s="81"/>
      <c r="J97" s="139"/>
      <c r="L97" s="138" t="s">
        <v>144</v>
      </c>
      <c r="M97" s="81"/>
      <c r="N97" s="81"/>
      <c r="O97" s="81"/>
      <c r="P97" s="81"/>
      <c r="Q97" s="81"/>
    </row>
    <row r="98" spans="2:17" ht="15" customHeight="1" x14ac:dyDescent="0.25">
      <c r="B98" s="137"/>
      <c r="E98" s="140" t="s">
        <v>149</v>
      </c>
      <c r="F98" s="140"/>
      <c r="G98" s="140"/>
      <c r="H98" s="140"/>
      <c r="I98" s="140"/>
      <c r="J98" s="141"/>
      <c r="M98" s="140" t="s">
        <v>149</v>
      </c>
      <c r="N98" s="140"/>
      <c r="O98" s="140"/>
      <c r="P98" s="140"/>
      <c r="Q98" s="140"/>
    </row>
    <row r="99" spans="2:17" ht="15" customHeight="1" x14ac:dyDescent="0.25">
      <c r="B99" s="137"/>
      <c r="D99" s="190">
        <f ca="1">D73</f>
        <v>22.654164842021988</v>
      </c>
      <c r="E99" s="191">
        <f>+F99-0.5</f>
        <v>9</v>
      </c>
      <c r="F99" s="191">
        <f>+G99-0.5</f>
        <v>9.5</v>
      </c>
      <c r="G99" s="151">
        <f>$I$43</f>
        <v>10</v>
      </c>
      <c r="H99" s="191">
        <f>+G99+0.5</f>
        <v>10.5</v>
      </c>
      <c r="I99" s="191">
        <f>+H99+0.5</f>
        <v>11</v>
      </c>
      <c r="J99" s="152"/>
      <c r="L99" s="144">
        <f ca="1">D78</f>
        <v>12.85294428797418</v>
      </c>
      <c r="M99" s="191">
        <f>+N99-0.5</f>
        <v>9</v>
      </c>
      <c r="N99" s="191">
        <f>+O99-0.5</f>
        <v>9.5</v>
      </c>
      <c r="O99" s="151">
        <f>$I$43</f>
        <v>10</v>
      </c>
      <c r="P99" s="191">
        <f>+O99+0.5</f>
        <v>10.5</v>
      </c>
      <c r="Q99" s="191">
        <f>+P99+0.5</f>
        <v>11</v>
      </c>
    </row>
    <row r="100" spans="2:17" ht="15" customHeight="1" x14ac:dyDescent="0.25">
      <c r="B100" s="137"/>
      <c r="D100" s="229">
        <f>D101+0.01</f>
        <v>0.26303401019399453</v>
      </c>
      <c r="E100" s="145">
        <f t="dataTable" ref="E100:I104" dt2D="1" dtr="1" r1="I43" r2="H4" ca="1"/>
        <v>19.577261110126411</v>
      </c>
      <c r="F100" s="145">
        <v>18.749394077493594</v>
      </c>
      <c r="G100" s="145">
        <v>18.749394077493594</v>
      </c>
      <c r="H100" s="145">
        <v>19.577261110126411</v>
      </c>
      <c r="I100" s="145">
        <v>21.232995175392055</v>
      </c>
      <c r="J100" s="146"/>
      <c r="L100" s="229">
        <f>L101+0.01</f>
        <v>0.26303401019399453</v>
      </c>
      <c r="M100" s="147">
        <f t="dataTable" ref="M100:Q104" dt2D="1" dtr="1" r1="I43" r2="H4" ca="1"/>
        <v>11.009865726616768</v>
      </c>
      <c r="N100" s="147">
        <v>10.513969815515214</v>
      </c>
      <c r="O100" s="147">
        <v>10.513969815515214</v>
      </c>
      <c r="P100" s="147">
        <v>11.009865726616768</v>
      </c>
      <c r="Q100" s="147">
        <v>12.001657548819876</v>
      </c>
    </row>
    <row r="101" spans="2:17" ht="15" customHeight="1" x14ac:dyDescent="0.25">
      <c r="B101" s="137"/>
      <c r="D101" s="229">
        <f>D102+0.01</f>
        <v>0.25303401019399452</v>
      </c>
      <c r="E101" s="145">
        <v>20.210853707592435</v>
      </c>
      <c r="F101" s="145">
        <v>19.352230124086844</v>
      </c>
      <c r="G101" s="145">
        <v>19.352230124086844</v>
      </c>
      <c r="H101" s="145">
        <v>20.210853707592435</v>
      </c>
      <c r="I101" s="145">
        <v>21.928100874603619</v>
      </c>
      <c r="J101" s="146"/>
      <c r="L101" s="229">
        <f>L102+0.01</f>
        <v>0.25303401019399452</v>
      </c>
      <c r="M101" s="147">
        <v>11.389390415972247</v>
      </c>
      <c r="N101" s="147">
        <v>10.875071198692057</v>
      </c>
      <c r="O101" s="147">
        <v>10.875071198692057</v>
      </c>
      <c r="P101" s="147">
        <v>11.389390415972247</v>
      </c>
      <c r="Q101" s="147">
        <v>12.418028850532629</v>
      </c>
    </row>
    <row r="102" spans="2:17" ht="15" customHeight="1" x14ac:dyDescent="0.25">
      <c r="B102" s="137"/>
      <c r="C102" s="142" t="s">
        <v>146</v>
      </c>
      <c r="D102" s="148">
        <f>WACC!$E$21</f>
        <v>0.24303401019399451</v>
      </c>
      <c r="E102" s="145">
        <v>20.872598612412975</v>
      </c>
      <c r="F102" s="145">
        <v>19.981815497608466</v>
      </c>
      <c r="G102" s="145">
        <v>19.981815497608466</v>
      </c>
      <c r="H102" s="145">
        <v>20.872598612412975</v>
      </c>
      <c r="I102" s="145">
        <v>22.654164842021988</v>
      </c>
      <c r="J102" s="146"/>
      <c r="K102" s="142" t="s">
        <v>146</v>
      </c>
      <c r="L102" s="148">
        <f>WACC!$E$21</f>
        <v>0.24303401019399451</v>
      </c>
      <c r="M102" s="147">
        <v>11.785778458444689</v>
      </c>
      <c r="N102" s="147">
        <v>11.252195543679942</v>
      </c>
      <c r="O102" s="147">
        <v>11.252195543679942</v>
      </c>
      <c r="P102" s="147">
        <v>11.785778458444689</v>
      </c>
      <c r="Q102" s="147">
        <v>12.85294428797418</v>
      </c>
    </row>
    <row r="103" spans="2:17" ht="15" customHeight="1" x14ac:dyDescent="0.25">
      <c r="B103" s="137"/>
      <c r="D103" s="229">
        <f t="shared" ref="D103:D104" si="14">D102-0.01</f>
        <v>0.2330340101939945</v>
      </c>
      <c r="E103" s="145">
        <v>21.564001406529407</v>
      </c>
      <c r="F103" s="145">
        <v>20.63957971220837</v>
      </c>
      <c r="G103" s="145">
        <v>20.63957971220837</v>
      </c>
      <c r="H103" s="145">
        <v>21.564001406529407</v>
      </c>
      <c r="I103" s="145">
        <v>23.412844795171491</v>
      </c>
      <c r="J103" s="146"/>
      <c r="L103" s="229">
        <f t="shared" ref="L103:L104" si="15">L102-0.01</f>
        <v>0.2330340101939945</v>
      </c>
      <c r="M103" s="147">
        <v>12.199931704088664</v>
      </c>
      <c r="N103" s="147">
        <v>11.64619913559938</v>
      </c>
      <c r="O103" s="147">
        <v>11.64619913559938</v>
      </c>
      <c r="P103" s="147">
        <v>12.199931704088664</v>
      </c>
      <c r="Q103" s="147">
        <v>13.307396841067238</v>
      </c>
    </row>
    <row r="104" spans="2:17" ht="15" customHeight="1" x14ac:dyDescent="0.25">
      <c r="B104" s="137"/>
      <c r="D104" s="230">
        <f t="shared" si="14"/>
        <v>0.22303401019399449</v>
      </c>
      <c r="E104" s="145">
        <v>22.286661672663772</v>
      </c>
      <c r="F104" s="145">
        <v>21.327041493272951</v>
      </c>
      <c r="G104" s="145">
        <v>21.327041493272951</v>
      </c>
      <c r="H104" s="145">
        <v>22.286661672663772</v>
      </c>
      <c r="I104" s="145">
        <v>24.205902031445422</v>
      </c>
      <c r="J104" s="146"/>
      <c r="L104" s="230">
        <f t="shared" si="15"/>
        <v>0.22303401019399449</v>
      </c>
      <c r="M104" s="147">
        <v>12.632808309830418</v>
      </c>
      <c r="N104" s="147">
        <v>12.057991697485003</v>
      </c>
      <c r="O104" s="147">
        <v>12.057991697485003</v>
      </c>
      <c r="P104" s="147">
        <v>12.632808309830418</v>
      </c>
      <c r="Q104" s="147">
        <v>13.782441534521251</v>
      </c>
    </row>
    <row r="105" spans="2:17" x14ac:dyDescent="0.25">
      <c r="J105" s="153"/>
    </row>
    <row r="106" spans="2:17" x14ac:dyDescent="0.25">
      <c r="B106" s="154" t="s">
        <v>150</v>
      </c>
      <c r="C106" s="154"/>
      <c r="D106" s="154"/>
      <c r="E106" s="154"/>
      <c r="G106" s="154" t="s">
        <v>151</v>
      </c>
      <c r="H106" s="154"/>
      <c r="I106" s="154"/>
      <c r="J106" s="155"/>
      <c r="K106" s="154"/>
      <c r="L106" s="154"/>
      <c r="M106" s="154"/>
      <c r="N106" s="154"/>
      <c r="O106" s="154"/>
      <c r="P106" s="154"/>
    </row>
    <row r="107" spans="2:17" x14ac:dyDescent="0.25">
      <c r="J107" s="153"/>
    </row>
    <row r="108" spans="2:17" x14ac:dyDescent="0.25">
      <c r="J108" s="153"/>
    </row>
    <row r="109" spans="2:17" x14ac:dyDescent="0.25">
      <c r="J109" s="153"/>
    </row>
    <row r="110" spans="2:17" x14ac:dyDescent="0.25">
      <c r="J110" s="153"/>
    </row>
    <row r="111" spans="2:17" x14ac:dyDescent="0.25">
      <c r="J111" s="153"/>
    </row>
    <row r="112" spans="2:17" x14ac:dyDescent="0.25">
      <c r="J112" s="153"/>
    </row>
    <row r="113" spans="2:17" x14ac:dyDescent="0.25">
      <c r="J113" s="153"/>
    </row>
    <row r="114" spans="2:17" x14ac:dyDescent="0.25">
      <c r="J114" s="153"/>
    </row>
    <row r="115" spans="2:17" x14ac:dyDescent="0.25">
      <c r="J115" s="153"/>
    </row>
    <row r="116" spans="2:17" x14ac:dyDescent="0.25">
      <c r="J116" s="153"/>
    </row>
    <row r="117" spans="2:17" x14ac:dyDescent="0.25">
      <c r="J117" s="153"/>
    </row>
    <row r="118" spans="2:17" x14ac:dyDescent="0.25">
      <c r="J118" s="153"/>
    </row>
    <row r="119" spans="2:17" x14ac:dyDescent="0.25">
      <c r="J119" s="153"/>
    </row>
    <row r="120" spans="2:17" x14ac:dyDescent="0.25">
      <c r="J120" s="153"/>
      <c r="M120" s="156"/>
    </row>
    <row r="121" spans="2:17" x14ac:dyDescent="0.25">
      <c r="J121" s="153"/>
    </row>
    <row r="122" spans="2:17" x14ac:dyDescent="0.25">
      <c r="J122" s="153"/>
    </row>
    <row r="123" spans="2:17" x14ac:dyDescent="0.25">
      <c r="J123" s="153"/>
    </row>
    <row r="124" spans="2:17" x14ac:dyDescent="0.25">
      <c r="J124" s="153"/>
    </row>
    <row r="125" spans="2:17" x14ac:dyDescent="0.25">
      <c r="J125" s="153"/>
    </row>
    <row r="126" spans="2:17" x14ac:dyDescent="0.25">
      <c r="J126" s="153"/>
    </row>
    <row r="127" spans="2:17" x14ac:dyDescent="0.25">
      <c r="B127" s="157"/>
      <c r="C127" s="158" t="s">
        <v>152</v>
      </c>
      <c r="D127" s="158" t="s">
        <v>153</v>
      </c>
      <c r="E127" s="159" t="s">
        <v>154</v>
      </c>
      <c r="G127" s="157"/>
      <c r="H127" s="160"/>
      <c r="I127" s="160"/>
      <c r="J127" s="161"/>
      <c r="K127" s="160"/>
      <c r="L127" s="160"/>
      <c r="M127" s="160"/>
      <c r="N127" s="160"/>
      <c r="O127" s="158" t="s">
        <v>152</v>
      </c>
      <c r="P127" s="158" t="s">
        <v>153</v>
      </c>
      <c r="Q127" s="159" t="s">
        <v>154</v>
      </c>
    </row>
    <row r="128" spans="2:17" x14ac:dyDescent="0.25">
      <c r="B128" s="192" t="str">
        <f>"DCF Value at "&amp;TEXT(E99,"0.0x")&amp;"-"&amp;TEXT(I99,"0.0x")&amp;" Exit EBITDA Range at "&amp;TEXT(D102,"0.0%")&amp;" WACC"</f>
        <v>DCF Value at 9.0x-11.0x Exit EBITDA Range at 24.3% WACC</v>
      </c>
      <c r="C128" s="193">
        <f>E102</f>
        <v>20.872598612412975</v>
      </c>
      <c r="D128" s="193">
        <f>E128-C128</f>
        <v>1.7815662296090125</v>
      </c>
      <c r="E128" s="194">
        <f>I102</f>
        <v>22.654164842021988</v>
      </c>
      <c r="G128" s="192" t="str">
        <f>"LTM EBITDA Purchase Multiple at "&amp;TEXT(M90,"0.0%")&amp;"-"&amp;TEXT(Q90,"0.0%")&amp;" Perpetuity Growth at "&amp;TEXT(L93,"0.0%")&amp;" WACC"</f>
        <v>LTM EBITDA Purchase Multiple at 9.0%-11.0% Perpetuity Growth at 24.3% WACC</v>
      </c>
      <c r="H128"/>
      <c r="I128"/>
      <c r="J128" s="200"/>
      <c r="K128"/>
      <c r="L128"/>
      <c r="M128"/>
      <c r="N128"/>
      <c r="O128" s="201">
        <f>M93</f>
        <v>5.828399126430698</v>
      </c>
      <c r="P128" s="201">
        <f>Q128-O128</f>
        <v>0.2907812732263686</v>
      </c>
      <c r="Q128" s="202">
        <f>Q93</f>
        <v>6.1191803996570666</v>
      </c>
    </row>
    <row r="129" spans="2:17" x14ac:dyDescent="0.25">
      <c r="B129" s="195" t="str">
        <f>"DCF Value at "&amp;TEXT(E90,"0.0%")&amp;"-"&amp;TEXT(I90,"0.0%")&amp;" Perpetuity Range at "&amp;TEXT(D102,"0.0%")&amp;" WACC"</f>
        <v>DCF Value at 9.0%-11.0% Perpetuity Range at 24.3% WACC</v>
      </c>
      <c r="C129" s="193">
        <f>E93</f>
        <v>10.927128525944545</v>
      </c>
      <c r="D129" s="193">
        <f>E129-C129</f>
        <v>0.48544104603800164</v>
      </c>
      <c r="E129" s="194">
        <f>I93</f>
        <v>11.412569571982546</v>
      </c>
      <c r="G129" s="195" t="str">
        <f>"LTM EBITDA Purchase Multiple at "&amp;TEXT(M102,"0.0x")&amp;"-"&amp;TEXT(Q102,"0.0x")&amp;" Exit EBITDA Multiple at "&amp;TEXT(L102,"0.0%")&amp;" WACC"</f>
        <v>LTM EBITDA Purchase Multiple at 11.8x-12.9x Exit EBITDA Multiple at 24.3% WACC</v>
      </c>
      <c r="H129"/>
      <c r="I129"/>
      <c r="J129" s="200"/>
      <c r="K129"/>
      <c r="L129"/>
      <c r="M129"/>
      <c r="N129"/>
      <c r="O129" s="201">
        <f>M102</f>
        <v>11.785778458444689</v>
      </c>
      <c r="P129" s="201">
        <f>Q129-O129</f>
        <v>1.0671658295294915</v>
      </c>
      <c r="Q129" s="202">
        <f>Q102</f>
        <v>12.85294428797418</v>
      </c>
    </row>
    <row r="130" spans="2:17" x14ac:dyDescent="0.25">
      <c r="B130" s="196" t="s">
        <v>155</v>
      </c>
      <c r="C130" s="197">
        <v>10.02</v>
      </c>
      <c r="D130" s="198">
        <f>E130-C130</f>
        <v>11.64</v>
      </c>
      <c r="E130" s="199">
        <v>21.66</v>
      </c>
      <c r="G130" s="196" t="str">
        <f>"LTM EBITDA Purchase Multiple at "&amp;TEXT(L104,"0.0%")&amp;"-"&amp;TEXT(L100,"0.0%")&amp;" WACC at "&amp;TEXT(O99,"0.0x")&amp;" Exit EBITDA"</f>
        <v>LTM EBITDA Purchase Multiple at 22.3%-26.3% WACC at 10.0x Exit EBITDA</v>
      </c>
      <c r="H130" s="55"/>
      <c r="I130" s="55"/>
      <c r="J130" s="203"/>
      <c r="K130" s="55"/>
      <c r="L130" s="55"/>
      <c r="M130" s="55"/>
      <c r="N130" s="55"/>
      <c r="O130" s="198">
        <f>O100</f>
        <v>10.513969815515214</v>
      </c>
      <c r="P130" s="198">
        <f>Q130-O130</f>
        <v>1.5440218819697886</v>
      </c>
      <c r="Q130" s="204">
        <f>O104</f>
        <v>12.057991697485003</v>
      </c>
    </row>
    <row r="131" spans="2:17" x14ac:dyDescent="0.25">
      <c r="J131" s="153"/>
    </row>
    <row r="132" spans="2:17" x14ac:dyDescent="0.25">
      <c r="J132" s="153"/>
    </row>
  </sheetData>
  <conditionalFormatting sqref="E91:J95 E100:J104">
    <cfRule type="cellIs" dxfId="1" priority="2" operator="lessThan">
      <formula>#REF!</formula>
    </cfRule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F4E94-4BEA-4BEC-A3D4-AE92824096F5}">
  <dimension ref="B1:I24"/>
  <sheetViews>
    <sheetView zoomScaleNormal="100" workbookViewId="0">
      <selection activeCell="C12" sqref="C12"/>
    </sheetView>
  </sheetViews>
  <sheetFormatPr defaultColWidth="9.140625" defaultRowHeight="15" x14ac:dyDescent="0.25"/>
  <cols>
    <col min="1" max="1" width="1.42578125" style="67" customWidth="1"/>
    <col min="2" max="2" width="50.28515625" style="67" customWidth="1"/>
    <col min="3" max="3" width="14.5703125" style="67" bestFit="1" customWidth="1"/>
    <col min="4" max="9" width="12.7109375" style="67" customWidth="1"/>
    <col min="10" max="10" width="1.7109375" style="67" customWidth="1"/>
    <col min="11" max="11" width="11" style="67" bestFit="1" customWidth="1"/>
    <col min="12" max="16" width="9.42578125" style="67" customWidth="1"/>
    <col min="17" max="16384" width="9.140625" style="67"/>
  </cols>
  <sheetData>
    <row r="1" spans="2:9" ht="15.75" thickBot="1" x14ac:dyDescent="0.3"/>
    <row r="2" spans="2:9" ht="15.75" thickBot="1" x14ac:dyDescent="0.3">
      <c r="B2" s="68" t="s">
        <v>156</v>
      </c>
      <c r="C2" s="69"/>
      <c r="D2" s="69"/>
      <c r="E2" s="69"/>
      <c r="F2" s="69"/>
      <c r="G2" s="69"/>
      <c r="H2" s="69"/>
      <c r="I2" s="69"/>
    </row>
    <row r="3" spans="2:9" x14ac:dyDescent="0.25">
      <c r="B3" s="70" t="str">
        <f>DCF!B3</f>
        <v>All amounts are shown in Egyptian pounds, except per-share data, ratios, and shares outstanding</v>
      </c>
    </row>
    <row r="4" spans="2:9" ht="15" customHeight="1" x14ac:dyDescent="0.25">
      <c r="B4" s="163" t="s">
        <v>157</v>
      </c>
      <c r="C4" s="164"/>
      <c r="D4" s="164"/>
      <c r="E4" s="165"/>
      <c r="F4" s="166"/>
    </row>
    <row r="5" spans="2:9" x14ac:dyDescent="0.25">
      <c r="E5" s="113"/>
    </row>
    <row r="6" spans="2:9" ht="15" customHeight="1" x14ac:dyDescent="0.25">
      <c r="B6" s="67" t="s">
        <v>158</v>
      </c>
      <c r="C6" s="169">
        <f>+C10+1.5%</f>
        <v>0.21200000000000002</v>
      </c>
    </row>
    <row r="7" spans="2:9" ht="15" customHeight="1" x14ac:dyDescent="0.25">
      <c r="B7" s="67" t="s">
        <v>38</v>
      </c>
      <c r="C7" s="170">
        <f>FSM!G53</f>
        <v>0.23499999999999999</v>
      </c>
    </row>
    <row r="8" spans="2:9" ht="15" customHeight="1" x14ac:dyDescent="0.25">
      <c r="B8" s="67" t="s">
        <v>159</v>
      </c>
      <c r="C8" s="171">
        <f>C6*(1-C7)</f>
        <v>0.16218000000000002</v>
      </c>
    </row>
    <row r="10" spans="2:9" x14ac:dyDescent="0.25">
      <c r="B10" s="67" t="s">
        <v>160</v>
      </c>
      <c r="C10" s="169">
        <v>0.19700000000000001</v>
      </c>
    </row>
    <row r="11" spans="2:9" x14ac:dyDescent="0.25">
      <c r="B11" s="67" t="s">
        <v>161</v>
      </c>
      <c r="C11" s="185">
        <f>(2/3*1.19)+1/3</f>
        <v>1.1266666666666665</v>
      </c>
    </row>
    <row r="12" spans="2:9" ht="15" customHeight="1" x14ac:dyDescent="0.25">
      <c r="B12" s="67" t="s">
        <v>162</v>
      </c>
      <c r="C12" s="172">
        <v>4.4600000000000001E-2</v>
      </c>
    </row>
    <row r="13" spans="2:9" x14ac:dyDescent="0.25">
      <c r="B13" s="67" t="s">
        <v>163</v>
      </c>
      <c r="C13" s="173">
        <f>C10+C11*C12</f>
        <v>0.24724933333333332</v>
      </c>
    </row>
    <row r="14" spans="2:9" x14ac:dyDescent="0.25">
      <c r="C14" s="174"/>
    </row>
    <row r="15" spans="2:9" x14ac:dyDescent="0.25">
      <c r="B15" s="167" t="s">
        <v>164</v>
      </c>
      <c r="C15" s="175"/>
      <c r="D15" s="175"/>
      <c r="E15" s="175"/>
    </row>
    <row r="16" spans="2:9" x14ac:dyDescent="0.25">
      <c r="B16" s="91"/>
      <c r="C16" s="142"/>
      <c r="D16" s="142" t="s">
        <v>165</v>
      </c>
    </row>
    <row r="17" spans="2:5" ht="17.25" x14ac:dyDescent="0.4">
      <c r="C17" s="176" t="s">
        <v>166</v>
      </c>
      <c r="D17" s="176" t="s">
        <v>167</v>
      </c>
      <c r="E17" s="176" t="s">
        <v>168</v>
      </c>
    </row>
    <row r="18" spans="2:5" x14ac:dyDescent="0.25">
      <c r="B18" s="67" t="s">
        <v>18</v>
      </c>
      <c r="C18" s="89">
        <f>DCF!H5*DCF!I61</f>
        <v>69663400339.800003</v>
      </c>
      <c r="D18" s="177"/>
      <c r="E18" s="178">
        <f>+C18/(C18+C19)</f>
        <v>0.95044838164157686</v>
      </c>
    </row>
    <row r="19" spans="2:5" x14ac:dyDescent="0.25">
      <c r="B19" s="67" t="s">
        <v>122</v>
      </c>
      <c r="C19" s="89">
        <f>DCF!C57</f>
        <v>3631900789</v>
      </c>
      <c r="D19" s="179"/>
      <c r="E19" s="178">
        <f>+C19/(C19+C18)</f>
        <v>4.9551618358423158E-2</v>
      </c>
    </row>
    <row r="21" spans="2:5" x14ac:dyDescent="0.25">
      <c r="B21" s="168" t="s">
        <v>169</v>
      </c>
      <c r="C21" s="180"/>
      <c r="D21" s="160"/>
      <c r="E21" s="181">
        <f>+C8*E19+C13*E18</f>
        <v>0.24303401019399451</v>
      </c>
    </row>
    <row r="22" spans="2:5" x14ac:dyDescent="0.25">
      <c r="B22" s="90"/>
      <c r="C22" s="119"/>
    </row>
    <row r="23" spans="2:5" x14ac:dyDescent="0.25">
      <c r="B23" s="90"/>
      <c r="C23" s="119"/>
    </row>
    <row r="24" spans="2:5" x14ac:dyDescent="0.25">
      <c r="B24" s="90"/>
      <c r="C24" s="119"/>
    </row>
  </sheetData>
  <conditionalFormatting sqref="B22:C24">
    <cfRule type="expression" dxfId="0" priority="1">
      <formula>#REF!="Industry"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FSM</vt:lpstr>
      <vt:lpstr>DCF</vt:lpstr>
      <vt:lpstr>WACC</vt:lpstr>
      <vt:lpstr>Company_Name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Ahmed WAEL</dc:creator>
  <dc:description/>
  <cp:lastModifiedBy>Ahmed Wael</cp:lastModifiedBy>
  <cp:revision>0</cp:revision>
  <dcterms:created xsi:type="dcterms:W3CDTF">2015-06-05T18:17:20Z</dcterms:created>
  <dcterms:modified xsi:type="dcterms:W3CDTF">2026-05-31T15:17:31Z</dcterms:modified>
  <dc:language>en-US</dc:language>
</cp:coreProperties>
</file>