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78E130E-6522-47B0-8850-DE22C9D5774E}" xr6:coauthVersionLast="47" xr6:coauthVersionMax="47" xr10:uidLastSave="{00000000-0000-0000-0000-000000000000}"/>
  <bookViews>
    <workbookView xWindow="-120" yWindow="-120" windowWidth="29040" windowHeight="15840" tabRatio="646" xr2:uid="{00000000-000D-0000-FFFF-FFFF00000000}"/>
  </bookViews>
  <sheets>
    <sheet name="FSM" sheetId="1" r:id="rId1"/>
    <sheet name="DCF" sheetId="2" r:id="rId2"/>
    <sheet name="WACC" sheetId="3" r:id="rId3"/>
    <sheet name="Trading Comps" sheetId="5" r:id="rId4"/>
  </sheets>
  <definedNames>
    <definedName name="CIQWBGuid" localSheetId="1" hidden="1">"DCF_complete.xlsx"</definedName>
    <definedName name="CIQWBGuid" localSheetId="2" hidden="1">"DCF_complete.xlsx"</definedName>
    <definedName name="CIQWBGuid" hidden="1">"a611639b-bab1-425e-aaa5-008c326fdfdb"</definedName>
    <definedName name="Company_Name" localSheetId="0">FSM!$D$5</definedName>
    <definedName name="Company_Name">#REF!</definedName>
    <definedName name="Hist_Yr" localSheetId="0">FSM!#REF!</definedName>
    <definedName name="Hist_Yr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localSheetId="1" hidden="1">43549.6880671296</definedName>
    <definedName name="IQ_NAMES_REVISION_DATE_" localSheetId="2" hidden="1">43549.6880671296</definedName>
    <definedName name="IQ_NAMES_REVISION_DATE_" hidden="1">43588.5561574074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MLNK841c85bef3244d5c8fb6b3f84988d79e" localSheetId="1" hidden="1">#REF!</definedName>
    <definedName name="MLNK841c85bef3244d5c8fb6b3f84988d79e" localSheetId="2" hidden="1">#REF!</definedName>
    <definedName name="MLNK841c85bef3244d5c8fb6b3f84988d79e" hidden="1">#REF!</definedName>
    <definedName name="MLNKa7775792bf444a4785f8ed5c82461a24" localSheetId="1" hidden="1">#REF!</definedName>
    <definedName name="MLNKa7775792bf444a4785f8ed5c82461a24" localSheetId="2" hidden="1">#REF!</definedName>
    <definedName name="MLNKa7775792bf444a4785f8ed5c82461a24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5" l="1"/>
  <c r="G27" i="5"/>
  <c r="G26" i="5"/>
  <c r="C70" i="3"/>
  <c r="C65" i="3"/>
  <c r="D65" i="3" s="1"/>
  <c r="E65" i="3" s="1"/>
  <c r="F65" i="3" s="1"/>
  <c r="G65" i="3" s="1"/>
  <c r="H65" i="3" s="1"/>
  <c r="C64" i="3"/>
  <c r="C56" i="3"/>
  <c r="F18" i="1"/>
  <c r="F39" i="1" s="1"/>
  <c r="D193" i="1"/>
  <c r="E193" i="1"/>
  <c r="F193" i="1"/>
  <c r="D194" i="1"/>
  <c r="E194" i="1"/>
  <c r="F194" i="1"/>
  <c r="D200" i="1"/>
  <c r="E200" i="1"/>
  <c r="F200" i="1"/>
  <c r="D201" i="1"/>
  <c r="E201" i="1"/>
  <c r="F201" i="1"/>
  <c r="D199" i="1"/>
  <c r="E199" i="1"/>
  <c r="F199" i="1"/>
  <c r="C67" i="5"/>
  <c r="C60" i="5"/>
  <c r="C51" i="5"/>
  <c r="F47" i="5"/>
  <c r="E47" i="5"/>
  <c r="D47" i="5"/>
  <c r="C47" i="5"/>
  <c r="F46" i="5"/>
  <c r="E46" i="5"/>
  <c r="D46" i="5"/>
  <c r="C46" i="5"/>
  <c r="F45" i="5"/>
  <c r="E45" i="5"/>
  <c r="D45" i="5"/>
  <c r="C45" i="5"/>
  <c r="F44" i="5"/>
  <c r="E44" i="5"/>
  <c r="D44" i="5"/>
  <c r="C44" i="5"/>
  <c r="F40" i="5"/>
  <c r="E40" i="5"/>
  <c r="D40" i="5"/>
  <c r="C40" i="5"/>
  <c r="F39" i="5"/>
  <c r="E39" i="5"/>
  <c r="D39" i="5"/>
  <c r="C39" i="5"/>
  <c r="F38" i="5"/>
  <c r="E38" i="5"/>
  <c r="D38" i="5"/>
  <c r="C38" i="5"/>
  <c r="F37" i="5"/>
  <c r="E37" i="5"/>
  <c r="D37" i="5"/>
  <c r="C37" i="5"/>
  <c r="G30" i="5"/>
  <c r="G15" i="5"/>
  <c r="G17" i="5" s="1"/>
  <c r="E27" i="5"/>
  <c r="D27" i="5"/>
  <c r="C27" i="5"/>
  <c r="F26" i="5"/>
  <c r="E26" i="5"/>
  <c r="D26" i="5"/>
  <c r="C26" i="5"/>
  <c r="F23" i="5"/>
  <c r="E23" i="5"/>
  <c r="D23" i="5"/>
  <c r="C23" i="5"/>
  <c r="F17" i="5"/>
  <c r="E17" i="5"/>
  <c r="D17" i="5"/>
  <c r="C17" i="5"/>
  <c r="F44" i="3"/>
  <c r="F43" i="3"/>
  <c r="I43" i="3" s="1"/>
  <c r="F42" i="3"/>
  <c r="I42" i="3" s="1"/>
  <c r="F41" i="3"/>
  <c r="I41" i="3" s="1"/>
  <c r="F40" i="3"/>
  <c r="I40" i="3" s="1"/>
  <c r="C46" i="3" s="1"/>
  <c r="C8" i="3"/>
  <c r="I60" i="2"/>
  <c r="C63" i="2"/>
  <c r="C61" i="2"/>
  <c r="C59" i="2"/>
  <c r="G21" i="5" s="1"/>
  <c r="C56" i="2"/>
  <c r="E22" i="2"/>
  <c r="D14" i="2"/>
  <c r="K136" i="1"/>
  <c r="J136" i="1"/>
  <c r="I136" i="1"/>
  <c r="H136" i="1"/>
  <c r="G101" i="1"/>
  <c r="H101" i="1" s="1"/>
  <c r="G103" i="1"/>
  <c r="H103" i="1" s="1"/>
  <c r="G136" i="1"/>
  <c r="G146" i="1"/>
  <c r="H253" i="1"/>
  <c r="F249" i="1"/>
  <c r="E249" i="1"/>
  <c r="D249" i="1"/>
  <c r="F251" i="1"/>
  <c r="G248" i="1" s="1"/>
  <c r="E251" i="1"/>
  <c r="F248" i="1" s="1"/>
  <c r="D251" i="1"/>
  <c r="E248" i="1" s="1"/>
  <c r="F245" i="1"/>
  <c r="G242" i="1" s="1"/>
  <c r="E245" i="1"/>
  <c r="F242" i="1" s="1"/>
  <c r="D245" i="1"/>
  <c r="E242" i="1" s="1"/>
  <c r="F165" i="1"/>
  <c r="E165" i="1"/>
  <c r="D165" i="1"/>
  <c r="G68" i="1"/>
  <c r="H68" i="1" s="1"/>
  <c r="K22" i="1"/>
  <c r="J22" i="1"/>
  <c r="I22" i="1"/>
  <c r="H22" i="1"/>
  <c r="G22" i="1"/>
  <c r="F293" i="1"/>
  <c r="G293" i="1" s="1"/>
  <c r="H293" i="1" s="1"/>
  <c r="E293" i="1"/>
  <c r="F292" i="1"/>
  <c r="G292" i="1" s="1"/>
  <c r="E292" i="1"/>
  <c r="D293" i="1"/>
  <c r="D292" i="1"/>
  <c r="F280" i="1"/>
  <c r="G280" i="1" s="1"/>
  <c r="E280" i="1"/>
  <c r="D280" i="1"/>
  <c r="F281" i="1"/>
  <c r="G281" i="1" s="1"/>
  <c r="E281" i="1"/>
  <c r="D281" i="1"/>
  <c r="F290" i="1"/>
  <c r="G287" i="1" s="1"/>
  <c r="E290" i="1"/>
  <c r="F287" i="1" s="1"/>
  <c r="D290" i="1"/>
  <c r="E287" i="1" s="1"/>
  <c r="G82" i="1"/>
  <c r="H82" i="1" s="1"/>
  <c r="I82" i="1" s="1"/>
  <c r="J82" i="1" s="1"/>
  <c r="K82" i="1" s="1"/>
  <c r="F278" i="1"/>
  <c r="G275" i="1" s="1"/>
  <c r="E278" i="1"/>
  <c r="F275" i="1" s="1"/>
  <c r="D278" i="1"/>
  <c r="E275" i="1" s="1"/>
  <c r="F269" i="1"/>
  <c r="G269" i="1" s="1"/>
  <c r="E269" i="1"/>
  <c r="D269" i="1"/>
  <c r="F268" i="1"/>
  <c r="G268" i="1" s="1"/>
  <c r="E268" i="1"/>
  <c r="D268" i="1"/>
  <c r="F267" i="1"/>
  <c r="G267" i="1" s="1"/>
  <c r="E267" i="1"/>
  <c r="D267" i="1"/>
  <c r="F265" i="1"/>
  <c r="G265" i="1" s="1"/>
  <c r="H265" i="1" s="1"/>
  <c r="I265" i="1" s="1"/>
  <c r="J265" i="1" s="1"/>
  <c r="K265" i="1" s="1"/>
  <c r="E265" i="1"/>
  <c r="D265" i="1"/>
  <c r="F264" i="1"/>
  <c r="G260" i="1" s="1"/>
  <c r="E264" i="1"/>
  <c r="F260" i="1" s="1"/>
  <c r="D264" i="1"/>
  <c r="E260" i="1" s="1"/>
  <c r="G80" i="1"/>
  <c r="H80" i="1" s="1"/>
  <c r="I80" i="1" s="1"/>
  <c r="J80" i="1" s="1"/>
  <c r="K80" i="1" s="1"/>
  <c r="G92" i="1"/>
  <c r="G90" i="1"/>
  <c r="H90" i="1" s="1"/>
  <c r="H226" i="1"/>
  <c r="F234" i="1"/>
  <c r="E234" i="1"/>
  <c r="F233" i="1"/>
  <c r="E233" i="1"/>
  <c r="D234" i="1"/>
  <c r="D233" i="1"/>
  <c r="D235" i="1" s="1"/>
  <c r="F224" i="1"/>
  <c r="G223" i="1" s="1"/>
  <c r="E224" i="1"/>
  <c r="F223" i="1" s="1"/>
  <c r="D224" i="1"/>
  <c r="E223" i="1" s="1"/>
  <c r="F229" i="1"/>
  <c r="D229" i="1"/>
  <c r="E229" i="1"/>
  <c r="D161" i="1"/>
  <c r="F160" i="1"/>
  <c r="E160" i="1"/>
  <c r="D160" i="1"/>
  <c r="F158" i="1"/>
  <c r="G155" i="1" s="1"/>
  <c r="E158" i="1"/>
  <c r="F155" i="1" s="1"/>
  <c r="F161" i="1" s="1"/>
  <c r="G161" i="1" s="1"/>
  <c r="D158" i="1"/>
  <c r="E155" i="1" s="1"/>
  <c r="E161" i="1" s="1"/>
  <c r="F198" i="1"/>
  <c r="E198" i="1"/>
  <c r="F192" i="1"/>
  <c r="F215" i="1" s="1"/>
  <c r="G215" i="1" s="1"/>
  <c r="E192" i="1"/>
  <c r="F191" i="1"/>
  <c r="E191" i="1"/>
  <c r="D198" i="1"/>
  <c r="D192" i="1"/>
  <c r="D191" i="1"/>
  <c r="D214" i="1" s="1"/>
  <c r="G112" i="1"/>
  <c r="H112" i="1" s="1"/>
  <c r="I112" i="1" s="1"/>
  <c r="J112" i="1" s="1"/>
  <c r="K112" i="1" s="1"/>
  <c r="G110" i="1"/>
  <c r="H110" i="1" s="1"/>
  <c r="I110" i="1" s="1"/>
  <c r="J110" i="1" s="1"/>
  <c r="K110" i="1" s="1"/>
  <c r="G109" i="1"/>
  <c r="H109" i="1" s="1"/>
  <c r="G81" i="1"/>
  <c r="H81" i="1" s="1"/>
  <c r="I81" i="1" s="1"/>
  <c r="J81" i="1" s="1"/>
  <c r="K81" i="1" s="1"/>
  <c r="F98" i="1"/>
  <c r="E98" i="1"/>
  <c r="D98" i="1"/>
  <c r="F104" i="1"/>
  <c r="E104" i="1"/>
  <c r="D104" i="1"/>
  <c r="F113" i="1"/>
  <c r="E113" i="1"/>
  <c r="D113" i="1"/>
  <c r="F74" i="1"/>
  <c r="E74" i="1"/>
  <c r="D74" i="1"/>
  <c r="F83" i="1"/>
  <c r="E83" i="1"/>
  <c r="D83" i="1"/>
  <c r="H30" i="1"/>
  <c r="I30" i="1" s="1"/>
  <c r="J30" i="1" s="1"/>
  <c r="G177" i="1"/>
  <c r="H177" i="1" s="1"/>
  <c r="I177" i="1" s="1"/>
  <c r="G174" i="1"/>
  <c r="H174" i="1" s="1"/>
  <c r="I174" i="1" s="1"/>
  <c r="J174" i="1" s="1"/>
  <c r="K174" i="1" s="1"/>
  <c r="G173" i="1"/>
  <c r="H173" i="1" s="1"/>
  <c r="F184" i="1"/>
  <c r="F183" i="1"/>
  <c r="F182" i="1"/>
  <c r="E182" i="1"/>
  <c r="C184" i="1"/>
  <c r="C183" i="1"/>
  <c r="C182" i="1"/>
  <c r="F175" i="1"/>
  <c r="F178" i="1" s="1"/>
  <c r="E175" i="1"/>
  <c r="E178" i="1" s="1"/>
  <c r="D175" i="1"/>
  <c r="D178" i="1" s="1"/>
  <c r="H55" i="1"/>
  <c r="I55" i="1" s="1"/>
  <c r="J55" i="1" s="1"/>
  <c r="K55" i="1" s="1"/>
  <c r="G53" i="1"/>
  <c r="H53" i="1" s="1"/>
  <c r="I53" i="1" s="1"/>
  <c r="J53" i="1" s="1"/>
  <c r="K53" i="1" s="1"/>
  <c r="H52" i="1"/>
  <c r="I52" i="1" s="1"/>
  <c r="J52" i="1" s="1"/>
  <c r="K52" i="1" s="1"/>
  <c r="H51" i="1"/>
  <c r="I51" i="1" s="1"/>
  <c r="J51" i="1" s="1"/>
  <c r="K51" i="1" s="1"/>
  <c r="H50" i="1"/>
  <c r="I50" i="1" s="1"/>
  <c r="J50" i="1" s="1"/>
  <c r="K50" i="1" s="1"/>
  <c r="G49" i="1"/>
  <c r="H49" i="1" s="1"/>
  <c r="I49" i="1" s="1"/>
  <c r="J49" i="1" s="1"/>
  <c r="K49" i="1" s="1"/>
  <c r="H48" i="1"/>
  <c r="I48" i="1" s="1"/>
  <c r="C60" i="1"/>
  <c r="C59" i="1"/>
  <c r="C58" i="1"/>
  <c r="F60" i="1"/>
  <c r="E60" i="1"/>
  <c r="D60" i="1"/>
  <c r="F59" i="1"/>
  <c r="E59" i="1"/>
  <c r="D59" i="1"/>
  <c r="F58" i="1"/>
  <c r="E58" i="1"/>
  <c r="D58" i="1"/>
  <c r="H40" i="1"/>
  <c r="D38" i="1"/>
  <c r="F38" i="1"/>
  <c r="E38" i="1"/>
  <c r="F56" i="1"/>
  <c r="F19" i="1" s="1"/>
  <c r="E56" i="1"/>
  <c r="E19" i="1" s="1"/>
  <c r="D56" i="1"/>
  <c r="D19" i="1" s="1"/>
  <c r="F24" i="1"/>
  <c r="E24" i="1"/>
  <c r="D24" i="1"/>
  <c r="E18" i="1"/>
  <c r="E39" i="1" s="1"/>
  <c r="D18" i="1"/>
  <c r="D39" i="1" s="1"/>
  <c r="B47" i="3"/>
  <c r="F34" i="5"/>
  <c r="E34" i="5"/>
  <c r="D34" i="5"/>
  <c r="C34" i="5"/>
  <c r="G39" i="1" l="1"/>
  <c r="H39" i="1" s="1"/>
  <c r="I39" i="1" s="1"/>
  <c r="J39" i="1" s="1"/>
  <c r="K39" i="1" s="1"/>
  <c r="D20" i="1"/>
  <c r="G58" i="1"/>
  <c r="F230" i="1"/>
  <c r="F20" i="1"/>
  <c r="C56" i="5"/>
  <c r="C63" i="5" s="1"/>
  <c r="C72" i="5" s="1"/>
  <c r="H142" i="1"/>
  <c r="I103" i="1"/>
  <c r="G224" i="1"/>
  <c r="H92" i="1"/>
  <c r="I40" i="1"/>
  <c r="F22" i="2"/>
  <c r="G22" i="5"/>
  <c r="C71" i="3"/>
  <c r="D70" i="3"/>
  <c r="D64" i="3"/>
  <c r="D71" i="2"/>
  <c r="C71" i="2"/>
  <c r="C18" i="3"/>
  <c r="G20" i="5"/>
  <c r="C19" i="3"/>
  <c r="E19" i="3" s="1"/>
  <c r="C64" i="2"/>
  <c r="F202" i="1"/>
  <c r="E202" i="1"/>
  <c r="D202" i="1"/>
  <c r="I109" i="1"/>
  <c r="I101" i="1"/>
  <c r="I90" i="1"/>
  <c r="I68" i="1"/>
  <c r="F214" i="1"/>
  <c r="F195" i="1"/>
  <c r="E214" i="1"/>
  <c r="E195" i="1"/>
  <c r="G142" i="1"/>
  <c r="E225" i="1"/>
  <c r="E226" i="1" s="1"/>
  <c r="E230" i="1"/>
  <c r="E231" i="1" s="1"/>
  <c r="I253" i="1"/>
  <c r="F167" i="1"/>
  <c r="F166" i="1"/>
  <c r="E167" i="1"/>
  <c r="E166" i="1"/>
  <c r="D167" i="1"/>
  <c r="D166" i="1"/>
  <c r="I293" i="1"/>
  <c r="H292" i="1"/>
  <c r="G60" i="1"/>
  <c r="H60" i="1" s="1"/>
  <c r="F225" i="1"/>
  <c r="H281" i="1"/>
  <c r="H280" i="1"/>
  <c r="H269" i="1"/>
  <c r="H268" i="1"/>
  <c r="H267" i="1"/>
  <c r="D211" i="1"/>
  <c r="E211" i="1"/>
  <c r="I226" i="1"/>
  <c r="F235" i="1"/>
  <c r="E235" i="1"/>
  <c r="G157" i="1"/>
  <c r="H161" i="1"/>
  <c r="I161" i="1" s="1"/>
  <c r="J161" i="1" s="1"/>
  <c r="K161" i="1" s="1"/>
  <c r="F216" i="1"/>
  <c r="E216" i="1"/>
  <c r="H215" i="1"/>
  <c r="H192" i="1" s="1"/>
  <c r="H70" i="1" s="1"/>
  <c r="E210" i="1"/>
  <c r="E215" i="1"/>
  <c r="D216" i="1"/>
  <c r="D210" i="1"/>
  <c r="D215" i="1"/>
  <c r="E209" i="1"/>
  <c r="D195" i="1"/>
  <c r="D209" i="1"/>
  <c r="G59" i="1"/>
  <c r="H59" i="1" s="1"/>
  <c r="G175" i="1"/>
  <c r="G178" i="1" s="1"/>
  <c r="G16" i="1" s="1"/>
  <c r="H175" i="1"/>
  <c r="H178" i="1" s="1"/>
  <c r="H16" i="1" s="1"/>
  <c r="H156" i="1" s="1"/>
  <c r="I173" i="1"/>
  <c r="K30" i="1"/>
  <c r="J177" i="1"/>
  <c r="H58" i="1"/>
  <c r="J48" i="1"/>
  <c r="E20" i="1"/>
  <c r="E25" i="1" s="1"/>
  <c r="D25" i="1"/>
  <c r="F115" i="1"/>
  <c r="E115" i="1"/>
  <c r="G214" i="1" l="1"/>
  <c r="G23" i="5"/>
  <c r="F204" i="1"/>
  <c r="D32" i="2" s="1"/>
  <c r="D33" i="2" s="1"/>
  <c r="E204" i="1"/>
  <c r="E205" i="1" s="1"/>
  <c r="G216" i="1"/>
  <c r="J103" i="1"/>
  <c r="I142" i="1"/>
  <c r="H223" i="1"/>
  <c r="G225" i="1"/>
  <c r="H224" i="1"/>
  <c r="I92" i="1"/>
  <c r="G22" i="2"/>
  <c r="J40" i="1"/>
  <c r="F27" i="2"/>
  <c r="H135" i="1"/>
  <c r="H137" i="1" s="1"/>
  <c r="G193" i="1"/>
  <c r="G71" i="1" s="1"/>
  <c r="G194" i="1"/>
  <c r="G72" i="1" s="1"/>
  <c r="G201" i="1"/>
  <c r="G96" i="1" s="1"/>
  <c r="G199" i="1"/>
  <c r="G97" i="1" s="1"/>
  <c r="E14" i="2"/>
  <c r="E15" i="2" s="1"/>
  <c r="G156" i="1"/>
  <c r="G158" i="1" s="1"/>
  <c r="G192" i="1"/>
  <c r="H193" i="1"/>
  <c r="H71" i="1" s="1"/>
  <c r="H194" i="1"/>
  <c r="H72" i="1" s="1"/>
  <c r="H201" i="1"/>
  <c r="H96" i="1" s="1"/>
  <c r="H199" i="1"/>
  <c r="H97" i="1" s="1"/>
  <c r="F14" i="2"/>
  <c r="E28" i="1"/>
  <c r="E31" i="1" s="1"/>
  <c r="E254" i="1" s="1"/>
  <c r="D28" i="1"/>
  <c r="D31" i="1" s="1"/>
  <c r="D32" i="1" s="1"/>
  <c r="D243" i="1" s="1"/>
  <c r="C57" i="3"/>
  <c r="C54" i="5"/>
  <c r="C70" i="5" s="1"/>
  <c r="G37" i="5"/>
  <c r="E70" i="3"/>
  <c r="D71" i="3"/>
  <c r="E64" i="3"/>
  <c r="G44" i="3"/>
  <c r="C47" i="3" s="1"/>
  <c r="C69" i="2"/>
  <c r="D69" i="2"/>
  <c r="E18" i="3"/>
  <c r="F25" i="1"/>
  <c r="G31" i="5"/>
  <c r="D16" i="2"/>
  <c r="D17" i="2" s="1"/>
  <c r="D204" i="1"/>
  <c r="G38" i="5"/>
  <c r="J109" i="1"/>
  <c r="K103" i="1"/>
  <c r="K142" i="1" s="1"/>
  <c r="J142" i="1"/>
  <c r="J101" i="1"/>
  <c r="J90" i="1"/>
  <c r="J68" i="1"/>
  <c r="J253" i="1"/>
  <c r="H214" i="1"/>
  <c r="G21" i="1"/>
  <c r="H262" i="1"/>
  <c r="H261" i="1"/>
  <c r="J293" i="1"/>
  <c r="I292" i="1"/>
  <c r="H277" i="1"/>
  <c r="H276" i="1"/>
  <c r="H263" i="1"/>
  <c r="H141" i="1" s="1"/>
  <c r="G290" i="1"/>
  <c r="G277" i="1"/>
  <c r="G263" i="1"/>
  <c r="G141" i="1" s="1"/>
  <c r="G276" i="1"/>
  <c r="G262" i="1"/>
  <c r="G261" i="1"/>
  <c r="F226" i="1"/>
  <c r="I281" i="1"/>
  <c r="I280" i="1"/>
  <c r="I269" i="1"/>
  <c r="I268" i="1"/>
  <c r="I267" i="1"/>
  <c r="F210" i="1"/>
  <c r="G70" i="1"/>
  <c r="J226" i="1"/>
  <c r="I160" i="1"/>
  <c r="I215" i="1"/>
  <c r="H216" i="1"/>
  <c r="F206" i="1"/>
  <c r="J173" i="1"/>
  <c r="I175" i="1"/>
  <c r="I178" i="1" s="1"/>
  <c r="I16" i="1" s="1"/>
  <c r="H38" i="1"/>
  <c r="H17" i="1"/>
  <c r="G46" i="1"/>
  <c r="G47" i="1"/>
  <c r="G54" i="1"/>
  <c r="G38" i="1"/>
  <c r="G17" i="1"/>
  <c r="K177" i="1"/>
  <c r="H54" i="1"/>
  <c r="I60" i="1"/>
  <c r="H47" i="1"/>
  <c r="I59" i="1"/>
  <c r="I58" i="1"/>
  <c r="H46" i="1"/>
  <c r="K48" i="1"/>
  <c r="E40" i="1"/>
  <c r="E85" i="1"/>
  <c r="E106" i="1"/>
  <c r="E117" i="1" s="1"/>
  <c r="F85" i="1"/>
  <c r="F106" i="1"/>
  <c r="F117" i="1" s="1"/>
  <c r="G264" i="1" l="1"/>
  <c r="F205" i="1"/>
  <c r="F15" i="2"/>
  <c r="E32" i="1"/>
  <c r="E243" i="1" s="1"/>
  <c r="G278" i="1"/>
  <c r="D254" i="1"/>
  <c r="I156" i="1"/>
  <c r="I192" i="1"/>
  <c r="I70" i="1" s="1"/>
  <c r="I223" i="1"/>
  <c r="H225" i="1"/>
  <c r="I224" i="1"/>
  <c r="J223" i="1" s="1"/>
  <c r="J92" i="1"/>
  <c r="H22" i="2"/>
  <c r="K40" i="1"/>
  <c r="I22" i="2" s="1"/>
  <c r="G135" i="1"/>
  <c r="G137" i="1" s="1"/>
  <c r="E27" i="2"/>
  <c r="E28" i="2" s="1"/>
  <c r="C76" i="3"/>
  <c r="C58" i="3"/>
  <c r="C75" i="3"/>
  <c r="F28" i="2"/>
  <c r="H127" i="1"/>
  <c r="H233" i="1"/>
  <c r="H26" i="1" s="1"/>
  <c r="G127" i="1"/>
  <c r="G233" i="1"/>
  <c r="G26" i="1" s="1"/>
  <c r="G27" i="2"/>
  <c r="I135" i="1"/>
  <c r="I137" i="1" s="1"/>
  <c r="I193" i="1"/>
  <c r="I71" i="1" s="1"/>
  <c r="I194" i="1"/>
  <c r="I72" i="1" s="1"/>
  <c r="I201" i="1"/>
  <c r="I96" i="1" s="1"/>
  <c r="I199" i="1"/>
  <c r="I97" i="1" s="1"/>
  <c r="G14" i="2"/>
  <c r="G15" i="2" s="1"/>
  <c r="E71" i="3"/>
  <c r="F70" i="3"/>
  <c r="F64" i="3"/>
  <c r="H55" i="3"/>
  <c r="G55" i="3"/>
  <c r="F55" i="3"/>
  <c r="E55" i="3"/>
  <c r="D55" i="3"/>
  <c r="C55" i="3"/>
  <c r="D18" i="2"/>
  <c r="G32" i="5"/>
  <c r="G39" i="5" s="1"/>
  <c r="F28" i="1"/>
  <c r="F31" i="1" s="1"/>
  <c r="F32" i="1" s="1"/>
  <c r="F243" i="1" s="1"/>
  <c r="C52" i="5"/>
  <c r="G34" i="5"/>
  <c r="H198" i="1"/>
  <c r="H95" i="1" s="1"/>
  <c r="H191" i="1"/>
  <c r="G198" i="1"/>
  <c r="G95" i="1" s="1"/>
  <c r="G191" i="1"/>
  <c r="D205" i="1"/>
  <c r="E206" i="1"/>
  <c r="K109" i="1"/>
  <c r="K101" i="1"/>
  <c r="K90" i="1"/>
  <c r="K68" i="1"/>
  <c r="I214" i="1"/>
  <c r="K253" i="1"/>
  <c r="H165" i="1"/>
  <c r="H166" i="1" s="1"/>
  <c r="H23" i="1"/>
  <c r="H287" i="1"/>
  <c r="G78" i="1"/>
  <c r="G165" i="1"/>
  <c r="G23" i="1"/>
  <c r="G24" i="1" s="1"/>
  <c r="G126" i="1" s="1"/>
  <c r="I262" i="1"/>
  <c r="I127" i="1" s="1"/>
  <c r="I261" i="1"/>
  <c r="K293" i="1"/>
  <c r="J292" i="1"/>
  <c r="H290" i="1"/>
  <c r="I277" i="1"/>
  <c r="I276" i="1"/>
  <c r="I263" i="1"/>
  <c r="I141" i="1" s="1"/>
  <c r="G102" i="1"/>
  <c r="G104" i="1" s="1"/>
  <c r="G93" i="1"/>
  <c r="H260" i="1"/>
  <c r="H264" i="1" s="1"/>
  <c r="J281" i="1"/>
  <c r="J280" i="1"/>
  <c r="G77" i="1"/>
  <c r="H155" i="1"/>
  <c r="J269" i="1"/>
  <c r="J268" i="1"/>
  <c r="J267" i="1"/>
  <c r="K226" i="1"/>
  <c r="J160" i="1"/>
  <c r="G210" i="1"/>
  <c r="H18" i="1"/>
  <c r="G18" i="1"/>
  <c r="H210" i="1"/>
  <c r="J215" i="1"/>
  <c r="I216" i="1"/>
  <c r="I38" i="1"/>
  <c r="I17" i="1"/>
  <c r="J175" i="1"/>
  <c r="J178" i="1" s="1"/>
  <c r="J16" i="1" s="1"/>
  <c r="K173" i="1"/>
  <c r="K175" i="1" s="1"/>
  <c r="K178" i="1" s="1"/>
  <c r="K16" i="1" s="1"/>
  <c r="G56" i="1"/>
  <c r="G19" i="1" s="1"/>
  <c r="I54" i="1"/>
  <c r="J60" i="1"/>
  <c r="I47" i="1"/>
  <c r="J59" i="1"/>
  <c r="I46" i="1"/>
  <c r="J58" i="1"/>
  <c r="H56" i="1"/>
  <c r="H19" i="1" s="1"/>
  <c r="E119" i="1"/>
  <c r="F119" i="1"/>
  <c r="F211" i="1" l="1"/>
  <c r="I233" i="1"/>
  <c r="I26" i="1" s="1"/>
  <c r="G28" i="2"/>
  <c r="G79" i="1"/>
  <c r="G83" i="1" s="1"/>
  <c r="H275" i="1"/>
  <c r="H278" i="1" s="1"/>
  <c r="J156" i="1"/>
  <c r="J192" i="1"/>
  <c r="J70" i="1" s="1"/>
  <c r="K92" i="1"/>
  <c r="K224" i="1" s="1"/>
  <c r="J224" i="1"/>
  <c r="C60" i="3"/>
  <c r="C66" i="3" s="1"/>
  <c r="I225" i="1"/>
  <c r="H69" i="1"/>
  <c r="H195" i="1"/>
  <c r="G195" i="1"/>
  <c r="F209" i="1"/>
  <c r="G69" i="1"/>
  <c r="I287" i="1"/>
  <c r="H78" i="1"/>
  <c r="D56" i="3"/>
  <c r="I260" i="1"/>
  <c r="I264" i="1" s="1"/>
  <c r="J260" i="1" s="1"/>
  <c r="H102" i="1"/>
  <c r="H104" i="1" s="1"/>
  <c r="H93" i="1"/>
  <c r="I275" i="1"/>
  <c r="I278" i="1" s="1"/>
  <c r="H79" i="1"/>
  <c r="H27" i="2"/>
  <c r="J135" i="1"/>
  <c r="J137" i="1" s="1"/>
  <c r="J193" i="1"/>
  <c r="J71" i="1" s="1"/>
  <c r="J194" i="1"/>
  <c r="J72" i="1" s="1"/>
  <c r="J201" i="1"/>
  <c r="J96" i="1" s="1"/>
  <c r="J199" i="1"/>
  <c r="J97" i="1" s="1"/>
  <c r="H14" i="2"/>
  <c r="H15" i="2" s="1"/>
  <c r="K193" i="1"/>
  <c r="K71" i="1" s="1"/>
  <c r="K194" i="1"/>
  <c r="K72" i="1" s="1"/>
  <c r="K201" i="1"/>
  <c r="K96" i="1" s="1"/>
  <c r="K199" i="1"/>
  <c r="K97" i="1" s="1"/>
  <c r="I14" i="2"/>
  <c r="F71" i="3"/>
  <c r="G70" i="3"/>
  <c r="G64" i="3"/>
  <c r="F253" i="1"/>
  <c r="G244" i="1"/>
  <c r="G140" i="1" s="1"/>
  <c r="G143" i="1" s="1"/>
  <c r="D19" i="2"/>
  <c r="F40" i="1"/>
  <c r="G33" i="5"/>
  <c r="F254" i="1"/>
  <c r="G254" i="1" s="1"/>
  <c r="H254" i="1" s="1"/>
  <c r="C53" i="5"/>
  <c r="C55" i="5" s="1"/>
  <c r="C57" i="5" s="1"/>
  <c r="C68" i="5"/>
  <c r="C69" i="5" s="1"/>
  <c r="C71" i="5" s="1"/>
  <c r="C73" i="5" s="1"/>
  <c r="I198" i="1"/>
  <c r="I191" i="1"/>
  <c r="I69" i="1" s="1"/>
  <c r="J214" i="1"/>
  <c r="G209" i="1"/>
  <c r="G167" i="1"/>
  <c r="E25" i="2" s="1"/>
  <c r="G166" i="1"/>
  <c r="J277" i="1"/>
  <c r="J276" i="1"/>
  <c r="I165" i="1"/>
  <c r="I166" i="1" s="1"/>
  <c r="I23" i="1"/>
  <c r="J262" i="1"/>
  <c r="J127" i="1" s="1"/>
  <c r="J261" i="1"/>
  <c r="K292" i="1"/>
  <c r="J263" i="1"/>
  <c r="J141" i="1" s="1"/>
  <c r="I290" i="1"/>
  <c r="K281" i="1"/>
  <c r="K277" i="1" s="1"/>
  <c r="K280" i="1"/>
  <c r="K276" i="1" s="1"/>
  <c r="H157" i="1"/>
  <c r="H158" i="1" s="1"/>
  <c r="K269" i="1"/>
  <c r="K263" i="1" s="1"/>
  <c r="K141" i="1" s="1"/>
  <c r="K268" i="1"/>
  <c r="K262" i="1" s="1"/>
  <c r="K127" i="1" s="1"/>
  <c r="K267" i="1"/>
  <c r="K261" i="1" s="1"/>
  <c r="K160" i="1"/>
  <c r="K156" i="1" s="1"/>
  <c r="I18" i="1"/>
  <c r="G20" i="1"/>
  <c r="G211" i="1"/>
  <c r="H20" i="1"/>
  <c r="F16" i="2" s="1"/>
  <c r="F17" i="2" s="1"/>
  <c r="K215" i="1"/>
  <c r="K192" i="1" s="1"/>
  <c r="J216" i="1"/>
  <c r="J17" i="1"/>
  <c r="J38" i="1"/>
  <c r="K38" i="1"/>
  <c r="K17" i="1"/>
  <c r="J54" i="1"/>
  <c r="K60" i="1"/>
  <c r="K54" i="1" s="1"/>
  <c r="J47" i="1"/>
  <c r="K59" i="1"/>
  <c r="K47" i="1" s="1"/>
  <c r="J46" i="1"/>
  <c r="K58" i="1"/>
  <c r="K46" i="1" s="1"/>
  <c r="I56" i="1"/>
  <c r="I19" i="1" s="1"/>
  <c r="C2" i="1"/>
  <c r="D115" i="1"/>
  <c r="I195" i="1" l="1"/>
  <c r="I15" i="2"/>
  <c r="J264" i="1"/>
  <c r="J233" i="1"/>
  <c r="J26" i="1" s="1"/>
  <c r="J225" i="1"/>
  <c r="K233" i="1" s="1"/>
  <c r="K26" i="1" s="1"/>
  <c r="K223" i="1"/>
  <c r="K225" i="1" s="1"/>
  <c r="I93" i="1"/>
  <c r="I102" i="1"/>
  <c r="I104" i="1" s="1"/>
  <c r="E56" i="3"/>
  <c r="I79" i="1"/>
  <c r="J275" i="1"/>
  <c r="J278" i="1" s="1"/>
  <c r="H28" i="2"/>
  <c r="D22" i="2"/>
  <c r="J287" i="1"/>
  <c r="J290" i="1" s="1"/>
  <c r="I78" i="1"/>
  <c r="J102" i="1"/>
  <c r="J104" i="1" s="1"/>
  <c r="J93" i="1"/>
  <c r="I27" i="2"/>
  <c r="I28" i="2" s="1"/>
  <c r="K135" i="1"/>
  <c r="K137" i="1" s="1"/>
  <c r="K210" i="1"/>
  <c r="K70" i="1"/>
  <c r="G71" i="3"/>
  <c r="H70" i="3"/>
  <c r="H71" i="3" s="1"/>
  <c r="H64" i="3"/>
  <c r="G40" i="5"/>
  <c r="C61" i="5"/>
  <c r="C62" i="5" s="1"/>
  <c r="C64" i="5" s="1"/>
  <c r="I95" i="1"/>
  <c r="H211" i="1"/>
  <c r="G25" i="1"/>
  <c r="E16" i="2"/>
  <c r="J198" i="1"/>
  <c r="J95" i="1" s="1"/>
  <c r="J191" i="1"/>
  <c r="J69" i="1" s="1"/>
  <c r="I155" i="1"/>
  <c r="H77" i="1"/>
  <c r="H209" i="1"/>
  <c r="J195" i="1"/>
  <c r="K214" i="1"/>
  <c r="K191" i="1" s="1"/>
  <c r="I254" i="1"/>
  <c r="J23" i="1"/>
  <c r="J165" i="1"/>
  <c r="J166" i="1" s="1"/>
  <c r="K165" i="1"/>
  <c r="K166" i="1" s="1"/>
  <c r="K23" i="1"/>
  <c r="H21" i="1"/>
  <c r="H24" i="1" s="1"/>
  <c r="H167" i="1"/>
  <c r="F25" i="2" s="1"/>
  <c r="K260" i="1"/>
  <c r="K264" i="1" s="1"/>
  <c r="I157" i="1"/>
  <c r="I167" i="1" s="1"/>
  <c r="G25" i="2" s="1"/>
  <c r="I210" i="1"/>
  <c r="J210" i="1"/>
  <c r="J18" i="1"/>
  <c r="K18" i="1"/>
  <c r="I20" i="1"/>
  <c r="G16" i="2" s="1"/>
  <c r="G17" i="2" s="1"/>
  <c r="I211" i="1"/>
  <c r="K216" i="1"/>
  <c r="K198" i="1" s="1"/>
  <c r="K95" i="1" s="1"/>
  <c r="K56" i="1"/>
  <c r="K19" i="1" s="1"/>
  <c r="J56" i="1"/>
  <c r="J19" i="1" s="1"/>
  <c r="C27" i="3"/>
  <c r="C26" i="3" s="1"/>
  <c r="F14" i="1"/>
  <c r="C51" i="3" s="1"/>
  <c r="F13" i="1"/>
  <c r="C50" i="3" s="1"/>
  <c r="Q129" i="2"/>
  <c r="O129" i="2"/>
  <c r="D129" i="2"/>
  <c r="Q128" i="2"/>
  <c r="O128" i="2"/>
  <c r="E128" i="2"/>
  <c r="C128" i="2"/>
  <c r="Q127" i="2"/>
  <c r="O127" i="2"/>
  <c r="E127" i="2"/>
  <c r="C127" i="2"/>
  <c r="P98" i="2"/>
  <c r="Q98" i="2" s="1"/>
  <c r="H98" i="2"/>
  <c r="I98" i="2" s="1"/>
  <c r="P89" i="2"/>
  <c r="Q89" i="2" s="1"/>
  <c r="H89" i="2"/>
  <c r="I89" i="2" s="1"/>
  <c r="D37" i="2"/>
  <c r="B35" i="2"/>
  <c r="D12" i="2"/>
  <c r="E12" i="2" s="1"/>
  <c r="C12" i="2"/>
  <c r="D5" i="2"/>
  <c r="D8" i="2" s="1"/>
  <c r="B3" i="2"/>
  <c r="B3" i="3" s="1"/>
  <c r="H83" i="1" l="1"/>
  <c r="J79" i="1"/>
  <c r="K275" i="1"/>
  <c r="K278" i="1" s="1"/>
  <c r="K79" i="1" s="1"/>
  <c r="D21" i="2"/>
  <c r="D23" i="2"/>
  <c r="F56" i="3"/>
  <c r="G56" i="3"/>
  <c r="E18" i="2"/>
  <c r="K195" i="1"/>
  <c r="K69" i="1"/>
  <c r="K287" i="1"/>
  <c r="K290" i="1" s="1"/>
  <c r="K78" i="1" s="1"/>
  <c r="J78" i="1"/>
  <c r="K102" i="1"/>
  <c r="K104" i="1" s="1"/>
  <c r="K93" i="1"/>
  <c r="C38" i="2"/>
  <c r="C14" i="2"/>
  <c r="C16" i="2"/>
  <c r="E17" i="2"/>
  <c r="H25" i="1"/>
  <c r="H126" i="1"/>
  <c r="I209" i="1"/>
  <c r="J209" i="1"/>
  <c r="K209" i="1"/>
  <c r="J254" i="1"/>
  <c r="I21" i="1"/>
  <c r="I24" i="1" s="1"/>
  <c r="I158" i="1"/>
  <c r="F44" i="1"/>
  <c r="F273" i="1"/>
  <c r="F43" i="1"/>
  <c r="F272" i="1"/>
  <c r="K20" i="1"/>
  <c r="I16" i="2" s="1"/>
  <c r="I41" i="2" s="1"/>
  <c r="I43" i="2" s="1"/>
  <c r="K211" i="1"/>
  <c r="J20" i="1"/>
  <c r="H16" i="2" s="1"/>
  <c r="H17" i="2" s="1"/>
  <c r="J211" i="1"/>
  <c r="F170" i="1"/>
  <c r="F188" i="1"/>
  <c r="D85" i="1"/>
  <c r="E13" i="1"/>
  <c r="F63" i="1"/>
  <c r="D106" i="1"/>
  <c r="D117" i="1" s="1"/>
  <c r="F153" i="1"/>
  <c r="G14" i="1"/>
  <c r="F171" i="1"/>
  <c r="G13" i="1"/>
  <c r="F187" i="1"/>
  <c r="E14" i="1"/>
  <c r="F64" i="1"/>
  <c r="F89" i="2"/>
  <c r="E89" i="2" s="1"/>
  <c r="D127" i="2"/>
  <c r="D128" i="2"/>
  <c r="N98" i="2"/>
  <c r="M98" i="2" s="1"/>
  <c r="F98" i="2"/>
  <c r="E98" i="2" s="1"/>
  <c r="P129" i="2"/>
  <c r="P128" i="2"/>
  <c r="N89" i="2"/>
  <c r="M89" i="2" s="1"/>
  <c r="E37" i="2"/>
  <c r="F12" i="2"/>
  <c r="P127" i="2"/>
  <c r="F219" i="1"/>
  <c r="F284" i="1"/>
  <c r="F257" i="1"/>
  <c r="F238" i="1"/>
  <c r="F285" i="1"/>
  <c r="F220" i="1"/>
  <c r="F258" i="1"/>
  <c r="F239" i="1"/>
  <c r="F152" i="1"/>
  <c r="C29" i="3"/>
  <c r="C30" i="3" s="1"/>
  <c r="C18" i="2" l="1"/>
  <c r="E19" i="2"/>
  <c r="E21" i="2"/>
  <c r="E23" i="2"/>
  <c r="H56" i="3"/>
  <c r="F18" i="2"/>
  <c r="F19" i="2" s="1"/>
  <c r="G273" i="1"/>
  <c r="D51" i="3"/>
  <c r="G272" i="1"/>
  <c r="D50" i="3"/>
  <c r="I17" i="2"/>
  <c r="I25" i="1"/>
  <c r="I126" i="1"/>
  <c r="J155" i="1"/>
  <c r="J157" i="1" s="1"/>
  <c r="J167" i="1" s="1"/>
  <c r="H25" i="2" s="1"/>
  <c r="I77" i="1"/>
  <c r="K254" i="1"/>
  <c r="E43" i="1"/>
  <c r="E272" i="1"/>
  <c r="E44" i="1"/>
  <c r="E273" i="1"/>
  <c r="G43" i="1"/>
  <c r="G44" i="1"/>
  <c r="E188" i="1"/>
  <c r="E63" i="1"/>
  <c r="D119" i="1"/>
  <c r="E170" i="1"/>
  <c r="E238" i="1"/>
  <c r="E257" i="1"/>
  <c r="G284" i="1"/>
  <c r="D13" i="1"/>
  <c r="E219" i="1"/>
  <c r="E152" i="1"/>
  <c r="H13" i="1"/>
  <c r="G122" i="1"/>
  <c r="E187" i="1"/>
  <c r="G152" i="1"/>
  <c r="E284" i="1"/>
  <c r="G187" i="1"/>
  <c r="E285" i="1"/>
  <c r="G220" i="1"/>
  <c r="G171" i="1"/>
  <c r="E239" i="1"/>
  <c r="G153" i="1"/>
  <c r="G239" i="1"/>
  <c r="E258" i="1"/>
  <c r="E220" i="1"/>
  <c r="E153" i="1"/>
  <c r="G188" i="1"/>
  <c r="G258" i="1"/>
  <c r="G63" i="1"/>
  <c r="G238" i="1"/>
  <c r="G170" i="1"/>
  <c r="G219" i="1"/>
  <c r="G257" i="1"/>
  <c r="D14" i="1"/>
  <c r="D273" i="1" s="1"/>
  <c r="E171" i="1"/>
  <c r="E64" i="1"/>
  <c r="G64" i="1"/>
  <c r="G285" i="1"/>
  <c r="G123" i="1"/>
  <c r="H14" i="1"/>
  <c r="F37" i="2"/>
  <c r="G12" i="2"/>
  <c r="F21" i="2" l="1"/>
  <c r="F23" i="2"/>
  <c r="I83" i="1"/>
  <c r="G18" i="2"/>
  <c r="G19" i="2" s="1"/>
  <c r="H272" i="1"/>
  <c r="E50" i="3"/>
  <c r="H273" i="1"/>
  <c r="E51" i="3"/>
  <c r="J21" i="1"/>
  <c r="J24" i="1" s="1"/>
  <c r="J158" i="1"/>
  <c r="D43" i="1"/>
  <c r="D272" i="1"/>
  <c r="H43" i="1"/>
  <c r="H257" i="1"/>
  <c r="D44" i="1"/>
  <c r="H44" i="1"/>
  <c r="H238" i="1"/>
  <c r="D152" i="1"/>
  <c r="D187" i="1"/>
  <c r="D63" i="1"/>
  <c r="D257" i="1"/>
  <c r="D170" i="1"/>
  <c r="D238" i="1"/>
  <c r="D219" i="1"/>
  <c r="D284" i="1"/>
  <c r="H152" i="1"/>
  <c r="I13" i="1"/>
  <c r="F50" i="3" s="1"/>
  <c r="H219" i="1"/>
  <c r="H170" i="1"/>
  <c r="H63" i="1"/>
  <c r="H187" i="1"/>
  <c r="H122" i="1"/>
  <c r="H284" i="1"/>
  <c r="H258" i="1"/>
  <c r="H188" i="1"/>
  <c r="H64" i="1"/>
  <c r="H239" i="1"/>
  <c r="H220" i="1"/>
  <c r="H285" i="1"/>
  <c r="H123" i="1"/>
  <c r="H171" i="1"/>
  <c r="H153" i="1"/>
  <c r="I14" i="1"/>
  <c r="D64" i="1"/>
  <c r="D239" i="1"/>
  <c r="D153" i="1"/>
  <c r="D220" i="1"/>
  <c r="D285" i="1"/>
  <c r="D171" i="1"/>
  <c r="D258" i="1"/>
  <c r="D188" i="1"/>
  <c r="C35" i="3"/>
  <c r="C11" i="3" s="1"/>
  <c r="C13" i="3" s="1"/>
  <c r="G37" i="2"/>
  <c r="H12" i="2"/>
  <c r="G23" i="2" l="1"/>
  <c r="G21" i="2"/>
  <c r="I273" i="1"/>
  <c r="F51" i="3"/>
  <c r="E21" i="3"/>
  <c r="C78" i="3"/>
  <c r="J25" i="1"/>
  <c r="J126" i="1"/>
  <c r="K155" i="1"/>
  <c r="J77" i="1"/>
  <c r="I43" i="1"/>
  <c r="I272" i="1"/>
  <c r="I44" i="1"/>
  <c r="I170" i="1"/>
  <c r="I284" i="1"/>
  <c r="I152" i="1"/>
  <c r="I187" i="1"/>
  <c r="I219" i="1"/>
  <c r="I257" i="1"/>
  <c r="I238" i="1"/>
  <c r="J13" i="1"/>
  <c r="G50" i="3" s="1"/>
  <c r="I63" i="1"/>
  <c r="I122" i="1"/>
  <c r="I171" i="1"/>
  <c r="I239" i="1"/>
  <c r="J14" i="1"/>
  <c r="I64" i="1"/>
  <c r="I258" i="1"/>
  <c r="I220" i="1"/>
  <c r="I153" i="1"/>
  <c r="I285" i="1"/>
  <c r="I188" i="1"/>
  <c r="I123" i="1"/>
  <c r="H37" i="2"/>
  <c r="I12" i="2"/>
  <c r="J83" i="1" l="1"/>
  <c r="H18" i="2"/>
  <c r="H23" i="2" s="1"/>
  <c r="K157" i="1"/>
  <c r="K158" i="1" s="1"/>
  <c r="K77" i="1" s="1"/>
  <c r="J273" i="1"/>
  <c r="G51" i="3"/>
  <c r="J43" i="1"/>
  <c r="J272" i="1"/>
  <c r="J44" i="1"/>
  <c r="J170" i="1"/>
  <c r="J122" i="1"/>
  <c r="K13" i="1"/>
  <c r="J187" i="1"/>
  <c r="J238" i="1"/>
  <c r="J219" i="1"/>
  <c r="J284" i="1"/>
  <c r="J152" i="1"/>
  <c r="J63" i="1"/>
  <c r="J257" i="1"/>
  <c r="J258" i="1"/>
  <c r="J153" i="1"/>
  <c r="J239" i="1"/>
  <c r="J171" i="1"/>
  <c r="J285" i="1"/>
  <c r="J188" i="1"/>
  <c r="J123" i="1"/>
  <c r="J220" i="1"/>
  <c r="K14" i="1"/>
  <c r="J64" i="1"/>
  <c r="E43" i="2"/>
  <c r="B42" i="2"/>
  <c r="B43" i="2"/>
  <c r="I37" i="2"/>
  <c r="H21" i="2" l="1"/>
  <c r="H19" i="2"/>
  <c r="K83" i="1"/>
  <c r="K21" i="1"/>
  <c r="K24" i="1" s="1"/>
  <c r="K167" i="1"/>
  <c r="I25" i="2" s="1"/>
  <c r="K272" i="1"/>
  <c r="H50" i="3"/>
  <c r="K273" i="1"/>
  <c r="H51" i="3"/>
  <c r="K43" i="1"/>
  <c r="K44" i="1"/>
  <c r="K170" i="1"/>
  <c r="K63" i="1"/>
  <c r="K238" i="1"/>
  <c r="K257" i="1"/>
  <c r="K219" i="1"/>
  <c r="K284" i="1"/>
  <c r="K152" i="1"/>
  <c r="K122" i="1"/>
  <c r="K187" i="1"/>
  <c r="K285" i="1"/>
  <c r="K64" i="1"/>
  <c r="K220" i="1"/>
  <c r="K171" i="1"/>
  <c r="K188" i="1"/>
  <c r="K258" i="1"/>
  <c r="K123" i="1"/>
  <c r="K153" i="1"/>
  <c r="K239" i="1"/>
  <c r="K126" i="1" l="1"/>
  <c r="K25" i="1"/>
  <c r="C25" i="3"/>
  <c r="F25" i="3"/>
  <c r="I18" i="2" l="1"/>
  <c r="L101" i="2"/>
  <c r="G128" i="2" s="1"/>
  <c r="D25" i="3"/>
  <c r="H4" i="2"/>
  <c r="L92" i="2"/>
  <c r="I23" i="2" l="1"/>
  <c r="I21" i="2"/>
  <c r="I19" i="2"/>
  <c r="L100" i="2"/>
  <c r="L99" i="2" s="1"/>
  <c r="L102" i="2"/>
  <c r="L103" i="2" s="1"/>
  <c r="B128" i="2"/>
  <c r="D102" i="2"/>
  <c r="D103" i="2" s="1"/>
  <c r="B127" i="2"/>
  <c r="D100" i="2"/>
  <c r="D99" i="2" s="1"/>
  <c r="D91" i="2"/>
  <c r="D90" i="2" s="1"/>
  <c r="D93" i="2"/>
  <c r="D94" i="2" s="1"/>
  <c r="L91" i="2"/>
  <c r="L90" i="2" s="1"/>
  <c r="L93" i="2"/>
  <c r="L94" i="2" s="1"/>
  <c r="G127" i="2"/>
  <c r="G129" i="2" l="1"/>
  <c r="F231" i="1" l="1"/>
  <c r="G234" i="1" l="1"/>
  <c r="G27" i="1" l="1"/>
  <c r="G28" i="1" s="1"/>
  <c r="G235" i="1"/>
  <c r="G29" i="1" l="1"/>
  <c r="G200" i="1" s="1"/>
  <c r="K231" i="1"/>
  <c r="G31" i="1" l="1"/>
  <c r="G202" i="1" l="1"/>
  <c r="G204" i="1" s="1"/>
  <c r="G91" i="1"/>
  <c r="G98" i="1" s="1"/>
  <c r="G106" i="1" s="1"/>
  <c r="G249" i="1"/>
  <c r="G125" i="1"/>
  <c r="G128" i="1" s="1"/>
  <c r="E32" i="2" l="1"/>
  <c r="E33" i="2" s="1"/>
  <c r="E26" i="2"/>
  <c r="E30" i="2" s="1"/>
  <c r="E38" i="2" s="1"/>
  <c r="G206" i="1"/>
  <c r="G131" i="1" s="1"/>
  <c r="G132" i="1" s="1"/>
  <c r="G205" i="1"/>
  <c r="G145" i="1" l="1"/>
  <c r="G147" i="1" s="1"/>
  <c r="G149" i="1" l="1"/>
  <c r="G73" i="1"/>
  <c r="G74" i="1" l="1"/>
  <c r="G85" i="1" s="1"/>
  <c r="H146" i="1"/>
  <c r="G229" i="1"/>
  <c r="G230" i="1" l="1"/>
  <c r="H234" i="1"/>
  <c r="H235" i="1" l="1"/>
  <c r="H27" i="1"/>
  <c r="H28" i="1" s="1"/>
  <c r="H29" i="1" s="1"/>
  <c r="H200" i="1" s="1"/>
  <c r="H31" i="1" l="1"/>
  <c r="H202" i="1" l="1"/>
  <c r="H204" i="1" s="1"/>
  <c r="H91" i="1"/>
  <c r="H98" i="1" s="1"/>
  <c r="H106" i="1" s="1"/>
  <c r="H249" i="1"/>
  <c r="H33" i="1" s="1"/>
  <c r="H32" i="1" s="1"/>
  <c r="H243" i="1" s="1"/>
  <c r="I244" i="1" s="1"/>
  <c r="I140" i="1" s="1"/>
  <c r="I143" i="1" s="1"/>
  <c r="H125" i="1"/>
  <c r="H128" i="1" s="1"/>
  <c r="F32" i="2" l="1"/>
  <c r="H206" i="1"/>
  <c r="H131" i="1" s="1"/>
  <c r="H132" i="1" s="1"/>
  <c r="H205" i="1"/>
  <c r="F26" i="2" l="1"/>
  <c r="F30" i="2" s="1"/>
  <c r="F38" i="2" s="1"/>
  <c r="F33" i="2"/>
  <c r="G33" i="1"/>
  <c r="G32" i="1" s="1"/>
  <c r="G243" i="1" s="1"/>
  <c r="G251" i="1"/>
  <c r="H244" i="1" l="1"/>
  <c r="H140" i="1" s="1"/>
  <c r="H143" i="1" s="1"/>
  <c r="H145" i="1" s="1"/>
  <c r="H147" i="1" s="1"/>
  <c r="G245" i="1"/>
  <c r="H248" i="1"/>
  <c r="H251" i="1" s="1"/>
  <c r="G114" i="1"/>
  <c r="H73" i="1" l="1"/>
  <c r="H149" i="1" s="1"/>
  <c r="H74" i="1"/>
  <c r="H85" i="1" s="1"/>
  <c r="I146" i="1"/>
  <c r="H229" i="1"/>
  <c r="I248" i="1"/>
  <c r="H114" i="1"/>
  <c r="G111" i="1"/>
  <c r="G113" i="1" s="1"/>
  <c r="G115" i="1" s="1"/>
  <c r="H242" i="1"/>
  <c r="H245" i="1" s="1"/>
  <c r="G117" i="1" l="1"/>
  <c r="G119" i="1" s="1"/>
  <c r="D57" i="3"/>
  <c r="I234" i="1"/>
  <c r="H230" i="1"/>
  <c r="I242" i="1"/>
  <c r="H111" i="1"/>
  <c r="H113" i="1" s="1"/>
  <c r="H115" i="1" s="1"/>
  <c r="D76" i="3" l="1"/>
  <c r="D58" i="3"/>
  <c r="D60" i="3" s="1"/>
  <c r="D66" i="3" s="1"/>
  <c r="D75" i="3"/>
  <c r="H117" i="1"/>
  <c r="H119" i="1" s="1"/>
  <c r="E57" i="3"/>
  <c r="I235" i="1"/>
  <c r="I27" i="1"/>
  <c r="I28" i="1" s="1"/>
  <c r="E76" i="3" l="1"/>
  <c r="E58" i="3"/>
  <c r="E60" i="3" s="1"/>
  <c r="E66" i="3" s="1"/>
  <c r="E75" i="3"/>
  <c r="D78" i="3"/>
  <c r="E39" i="2" s="1"/>
  <c r="I29" i="1"/>
  <c r="I200" i="1" s="1"/>
  <c r="E78" i="3" l="1"/>
  <c r="F39" i="2" s="1"/>
  <c r="I31" i="1"/>
  <c r="I202" i="1" l="1"/>
  <c r="I204" i="1" s="1"/>
  <c r="I91" i="1"/>
  <c r="I98" i="1" s="1"/>
  <c r="I106" i="1" s="1"/>
  <c r="I249" i="1"/>
  <c r="I125" i="1"/>
  <c r="I128" i="1" s="1"/>
  <c r="G32" i="2" l="1"/>
  <c r="I205" i="1"/>
  <c r="I206" i="1"/>
  <c r="I131" i="1" s="1"/>
  <c r="I132" i="1" s="1"/>
  <c r="I145" i="1" s="1"/>
  <c r="I147" i="1" s="1"/>
  <c r="I33" i="1"/>
  <c r="I32" i="1" s="1"/>
  <c r="I243" i="1" s="1"/>
  <c r="I251" i="1"/>
  <c r="I73" i="1" l="1"/>
  <c r="I149" i="1" s="1"/>
  <c r="G33" i="2"/>
  <c r="G26" i="2"/>
  <c r="G30" i="2" s="1"/>
  <c r="G38" i="2" s="1"/>
  <c r="J146" i="1"/>
  <c r="I74" i="1"/>
  <c r="I85" i="1" s="1"/>
  <c r="I229" i="1"/>
  <c r="J244" i="1"/>
  <c r="J140" i="1" s="1"/>
  <c r="J143" i="1" s="1"/>
  <c r="I245" i="1"/>
  <c r="J248" i="1"/>
  <c r="I114" i="1"/>
  <c r="J234" i="1" l="1"/>
  <c r="I230" i="1"/>
  <c r="J242" i="1"/>
  <c r="I111" i="1"/>
  <c r="I113" i="1" s="1"/>
  <c r="I115" i="1" s="1"/>
  <c r="I117" i="1" l="1"/>
  <c r="I119" i="1" s="1"/>
  <c r="F57" i="3"/>
  <c r="J235" i="1"/>
  <c r="J27" i="1"/>
  <c r="J28" i="1" s="1"/>
  <c r="F76" i="3" l="1"/>
  <c r="F58" i="3"/>
  <c r="F60" i="3" s="1"/>
  <c r="F66" i="3" s="1"/>
  <c r="F75" i="3"/>
  <c r="J29" i="1"/>
  <c r="J200" i="1" s="1"/>
  <c r="F78" i="3" l="1"/>
  <c r="G39" i="2" s="1"/>
  <c r="J31" i="1"/>
  <c r="J202" i="1" l="1"/>
  <c r="J204" i="1" s="1"/>
  <c r="J91" i="1"/>
  <c r="J98" i="1" s="1"/>
  <c r="J106" i="1" s="1"/>
  <c r="J249" i="1"/>
  <c r="J125" i="1"/>
  <c r="J128" i="1" s="1"/>
  <c r="H32" i="2" l="1"/>
  <c r="J205" i="1"/>
  <c r="J206" i="1"/>
  <c r="J131" i="1" s="1"/>
  <c r="J132" i="1" s="1"/>
  <c r="J145" i="1" s="1"/>
  <c r="J147" i="1" s="1"/>
  <c r="J33" i="1"/>
  <c r="J32" i="1" s="1"/>
  <c r="J243" i="1" s="1"/>
  <c r="J251" i="1"/>
  <c r="J73" i="1" l="1"/>
  <c r="J149" i="1" s="1"/>
  <c r="H33" i="2"/>
  <c r="H26" i="2"/>
  <c r="H30" i="2" s="1"/>
  <c r="H38" i="2" s="1"/>
  <c r="K146" i="1"/>
  <c r="J74" i="1"/>
  <c r="J85" i="1" s="1"/>
  <c r="J229" i="1"/>
  <c r="K244" i="1"/>
  <c r="K140" i="1" s="1"/>
  <c r="K143" i="1" s="1"/>
  <c r="J245" i="1"/>
  <c r="J114" i="1"/>
  <c r="K248" i="1"/>
  <c r="J230" i="1" l="1"/>
  <c r="K234" i="1"/>
  <c r="J111" i="1"/>
  <c r="J113" i="1" s="1"/>
  <c r="J115" i="1" s="1"/>
  <c r="K242" i="1"/>
  <c r="J117" i="1" l="1"/>
  <c r="J119" i="1" s="1"/>
  <c r="G57" i="3"/>
  <c r="K27" i="1"/>
  <c r="K28" i="1" s="1"/>
  <c r="K235" i="1"/>
  <c r="G76" i="3" l="1"/>
  <c r="G58" i="3"/>
  <c r="G60" i="3" s="1"/>
  <c r="G66" i="3" s="1"/>
  <c r="G75" i="3"/>
  <c r="K29" i="1"/>
  <c r="K200" i="1" s="1"/>
  <c r="G78" i="3" l="1"/>
  <c r="H39" i="2" s="1"/>
  <c r="K31" i="1"/>
  <c r="K202" i="1" l="1"/>
  <c r="K204" i="1" s="1"/>
  <c r="K91" i="1"/>
  <c r="K98" i="1" s="1"/>
  <c r="K106" i="1" s="1"/>
  <c r="K249" i="1"/>
  <c r="K125" i="1"/>
  <c r="K128" i="1" s="1"/>
  <c r="I32" i="2" l="1"/>
  <c r="K205" i="1"/>
  <c r="K206" i="1"/>
  <c r="K131" i="1" s="1"/>
  <c r="K132" i="1" s="1"/>
  <c r="K145" i="1" s="1"/>
  <c r="K147" i="1" s="1"/>
  <c r="K33" i="1"/>
  <c r="K32" i="1" s="1"/>
  <c r="K243" i="1" s="1"/>
  <c r="K245" i="1" s="1"/>
  <c r="K111" i="1" s="1"/>
  <c r="K113" i="1" s="1"/>
  <c r="K251" i="1"/>
  <c r="K114" i="1" s="1"/>
  <c r="K73" i="1" l="1"/>
  <c r="K149" i="1" s="1"/>
  <c r="I33" i="2"/>
  <c r="I26" i="2"/>
  <c r="I30" i="2" s="1"/>
  <c r="I38" i="2" s="1"/>
  <c r="K229" i="1"/>
  <c r="K230" i="1" s="1"/>
  <c r="K115" i="1"/>
  <c r="K74" i="1" l="1"/>
  <c r="K85" i="1" s="1"/>
  <c r="I50" i="2"/>
  <c r="C42" i="2"/>
  <c r="K117" i="1"/>
  <c r="H57" i="3"/>
  <c r="K119" i="1" l="1"/>
  <c r="H76" i="3"/>
  <c r="H58" i="3"/>
  <c r="H60" i="3" s="1"/>
  <c r="H66" i="3" s="1"/>
  <c r="H75" i="3"/>
  <c r="H78" i="3" l="1"/>
  <c r="I44" i="2" l="1"/>
  <c r="I39" i="2"/>
  <c r="C45" i="2" s="1"/>
  <c r="I45" i="2" s="1"/>
  <c r="C43" i="2"/>
  <c r="I46" i="2" l="1"/>
  <c r="C50" i="2"/>
  <c r="C44" i="2"/>
  <c r="D68" i="2" l="1"/>
  <c r="I48" i="2"/>
  <c r="I49" i="2" s="1"/>
  <c r="C46" i="2"/>
  <c r="D77" i="2" l="1"/>
  <c r="L98" i="2" s="1"/>
  <c r="D70" i="2"/>
  <c r="D72" i="2" s="1"/>
  <c r="D98" i="2" s="1"/>
  <c r="D82" i="2"/>
  <c r="D81" i="2"/>
  <c r="D83" i="2"/>
  <c r="D78" i="2"/>
  <c r="D76" i="2"/>
  <c r="C68" i="2"/>
  <c r="C48" i="2"/>
  <c r="C49" i="2" s="1"/>
  <c r="C83" i="2" l="1"/>
  <c r="C82" i="2"/>
  <c r="C81" i="2"/>
  <c r="C70" i="2"/>
  <c r="C72" i="2" s="1"/>
  <c r="C78" i="2"/>
  <c r="C77" i="2"/>
  <c r="L89" i="2" s="1"/>
  <c r="C76" i="2"/>
  <c r="D89" i="2" l="1"/>
  <c r="H7" i="2"/>
  <c r="H8" i="2" s="1"/>
  <c r="I8" i="2" s="1" a="1"/>
  <c r="I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Wall Street Prep</author>
  </authors>
  <commentList>
    <comment ref="I50" authorId="0" shapeId="0" xr:uid="{ECFA8BD1-6983-45E2-AE64-F8894818BB2B}">
      <text>
        <r>
          <rPr>
            <sz val="11"/>
            <color theme="1"/>
            <rFont val="Calibri"/>
            <family val="2"/>
            <charset val="1"/>
          </rPr>
          <t>Wall Street Prep:
Implied g = [r -FCF(t)/TV]/(1+FCF(t)/TV)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Ahmed Wael</author>
  </authors>
  <commentList>
    <comment ref="I39" authorId="0" shapeId="0" xr:uid="{00000000-0006-0000-0200-000004000000}">
      <text>
        <r>
          <rPr>
            <sz val="11"/>
            <color theme="1"/>
            <rFont val="Calibri"/>
            <family val="2"/>
            <charset val="1"/>
          </rPr>
          <t>Ahmed Wael:
Unlevered Beta</t>
        </r>
      </text>
    </comment>
    <comment ref="C47" authorId="0" shapeId="0" xr:uid="{00000000-0006-0000-0200-000005000000}">
      <text>
        <r>
          <rPr>
            <sz val="11"/>
            <color theme="1"/>
            <rFont val="Calibri"/>
            <family val="2"/>
            <charset val="1"/>
          </rPr>
          <t>Ahmed Wael:
Re-levered Beta</t>
        </r>
      </text>
    </comment>
  </commentList>
</comments>
</file>

<file path=xl/sharedStrings.xml><?xml version="1.0" encoding="utf-8"?>
<sst xmlns="http://schemas.openxmlformats.org/spreadsheetml/2006/main" count="499" uniqueCount="392">
  <si>
    <t>Discounted Cash Flow Valuation</t>
  </si>
  <si>
    <t>Most recent fiscal year end</t>
  </si>
  <si>
    <t>Discount rate (WACC)</t>
  </si>
  <si>
    <t>Link from WACC</t>
  </si>
  <si>
    <t>End of first fiscal year</t>
  </si>
  <si>
    <t>Share price (Public Co)</t>
  </si>
  <si>
    <t>Most recent quarter end date</t>
  </si>
  <si>
    <t>Share price date</t>
  </si>
  <si>
    <t xml:space="preserve">Valuation date </t>
  </si>
  <si>
    <t>Implied Share Price</t>
  </si>
  <si>
    <t>Portion of First Year Cash Flows</t>
  </si>
  <si>
    <t>Upside / (Downside)</t>
  </si>
  <si>
    <t>Midyear adjustment?</t>
  </si>
  <si>
    <t>Unlevered Free Cash Flows</t>
  </si>
  <si>
    <t>LTM</t>
  </si>
  <si>
    <t>Actual</t>
  </si>
  <si>
    <t>Forecasts</t>
  </si>
  <si>
    <t>Fiscal year ended</t>
  </si>
  <si>
    <t>Revenue</t>
  </si>
  <si>
    <t>% growth</t>
  </si>
  <si>
    <t>EBITDA</t>
  </si>
  <si>
    <t>% margin</t>
  </si>
  <si>
    <t>EBIT</t>
  </si>
  <si>
    <t>Tax on EBIT</t>
  </si>
  <si>
    <t>Tax rate</t>
  </si>
  <si>
    <t>NOPAT (aka EBIAT)</t>
  </si>
  <si>
    <t>Depreciation &amp; amortization</t>
  </si>
  <si>
    <t>Changes in net working capital</t>
  </si>
  <si>
    <t>Capital expenditures</t>
  </si>
  <si>
    <t>as % of revenue</t>
  </si>
  <si>
    <t>Unlevered free cash flows (UFCF)</t>
  </si>
  <si>
    <t>Net working capital (WC Assets - WC liabilities)</t>
  </si>
  <si>
    <t>Val date</t>
  </si>
  <si>
    <t xml:space="preserve">Yr 1 - Stub </t>
  </si>
  <si>
    <t>Year 2</t>
  </si>
  <si>
    <t>Year 3</t>
  </si>
  <si>
    <t>Year 4</t>
  </si>
  <si>
    <t>Year 5</t>
  </si>
  <si>
    <t>Date for discounting cash flows</t>
  </si>
  <si>
    <t>Unlevered free cash flows (UFCF) stub adjusted</t>
  </si>
  <si>
    <t>Present value of of unlevered free cash flows</t>
  </si>
  <si>
    <t>Terminal value - growth in perpetuity approach</t>
  </si>
  <si>
    <t>Terminal value - EBITDA multiple approach</t>
  </si>
  <si>
    <t>Long term growth rate</t>
  </si>
  <si>
    <t>Terminal year EBITDA</t>
  </si>
  <si>
    <t>EBITDA multiple</t>
  </si>
  <si>
    <t>Present value of terminal value</t>
  </si>
  <si>
    <t>Present value of stage 1 cash flows</t>
  </si>
  <si>
    <t>Total enterprise value (TEV)</t>
  </si>
  <si>
    <t>Enterprise value (stage 1 + 2)</t>
  </si>
  <si>
    <t>Terminal value as % of TEV</t>
  </si>
  <si>
    <t>Stage 1 cash flows as % of TEV</t>
  </si>
  <si>
    <t>Cash flows as % of TEV</t>
  </si>
  <si>
    <t>Implied TV exit EBITDA multiple</t>
  </si>
  <si>
    <t>Implied terminal growth rate</t>
  </si>
  <si>
    <t>Net debt</t>
  </si>
  <si>
    <t>Shares outstanding</t>
  </si>
  <si>
    <t>Source doc</t>
  </si>
  <si>
    <t>Consolidated FS 2025</t>
  </si>
  <si>
    <t>Source date</t>
  </si>
  <si>
    <t>12/31/2025</t>
  </si>
  <si>
    <t>Date</t>
  </si>
  <si>
    <t>Shares</t>
  </si>
  <si>
    <t>Gross debt and equivalents</t>
  </si>
  <si>
    <t>Basic shares</t>
  </si>
  <si>
    <t>Debt</t>
  </si>
  <si>
    <t>Restricted stock / RSUs</t>
  </si>
  <si>
    <t>Convertible debt</t>
  </si>
  <si>
    <t>Options / warrants</t>
  </si>
  <si>
    <t>Preferred stock</t>
  </si>
  <si>
    <t>Noncontrolling (minority) interests</t>
  </si>
  <si>
    <t>Convertible preferred stock</t>
  </si>
  <si>
    <t>Nonoperating assets</t>
  </si>
  <si>
    <t>Net diluted shares outstanding</t>
  </si>
  <si>
    <t xml:space="preserve">Cash </t>
  </si>
  <si>
    <t xml:space="preserve">Equity investments </t>
  </si>
  <si>
    <t>Debt securities (optional cash asset)</t>
  </si>
  <si>
    <t>Valuation</t>
  </si>
  <si>
    <t>Perpetuity</t>
  </si>
  <si>
    <t>Enterprise value</t>
  </si>
  <si>
    <t xml:space="preserve">Equity value </t>
  </si>
  <si>
    <t>Equity value per share</t>
  </si>
  <si>
    <t>Last twelve months (LTM)</t>
  </si>
  <si>
    <t>EV / Revenue</t>
  </si>
  <si>
    <t xml:space="preserve">EV / EBITDA </t>
  </si>
  <si>
    <t>EV / EBIT</t>
  </si>
  <si>
    <t>Year 1</t>
  </si>
  <si>
    <t>Outputs</t>
  </si>
  <si>
    <t>LTM EBITDA multiple</t>
  </si>
  <si>
    <t>Long term growth rate (g):</t>
  </si>
  <si>
    <t>WACC:</t>
  </si>
  <si>
    <t xml:space="preserve">Data </t>
  </si>
  <si>
    <t>Tables</t>
  </si>
  <si>
    <t>Exit EBITDA Multiple</t>
  </si>
  <si>
    <t>Equity value range</t>
  </si>
  <si>
    <t>Football field</t>
  </si>
  <si>
    <t>Low</t>
  </si>
  <si>
    <t>Diff.</t>
  </si>
  <si>
    <t>High</t>
  </si>
  <si>
    <t>52 Week Market High/Low</t>
  </si>
  <si>
    <t>All amounts are shown in EGP, except per-share data, ratios, and shares outstanding</t>
  </si>
  <si>
    <t>Company Name</t>
  </si>
  <si>
    <t>Ticker</t>
  </si>
  <si>
    <t>Latest Closing Share Price</t>
  </si>
  <si>
    <t>Latest Closing Share Price Date</t>
  </si>
  <si>
    <t>Last Historical Year</t>
  </si>
  <si>
    <t>INCOME STATEMENT</t>
  </si>
  <si>
    <t xml:space="preserve">Fiscal year  </t>
  </si>
  <si>
    <t>Fiscal year end date</t>
  </si>
  <si>
    <t>Finance income</t>
  </si>
  <si>
    <t>EBITDA margin %</t>
  </si>
  <si>
    <t>Growth Rates &amp; Margins</t>
  </si>
  <si>
    <t>Revenue growth</t>
  </si>
  <si>
    <t>Gross Margin % of Revenue</t>
  </si>
  <si>
    <t>BALANCE SHEET</t>
  </si>
  <si>
    <t>ASSETS</t>
  </si>
  <si>
    <t>Current Assets</t>
  </si>
  <si>
    <t>Total Current Assets</t>
  </si>
  <si>
    <t>Non-Current Assets</t>
  </si>
  <si>
    <t>Total Non-Current Assets</t>
  </si>
  <si>
    <t>Total Assets</t>
  </si>
  <si>
    <t>LIABILITIES AND EQUITY</t>
  </si>
  <si>
    <t>Current Liabilities</t>
  </si>
  <si>
    <t>Total Current Liabilities</t>
  </si>
  <si>
    <t>Non-Current Liabilities</t>
  </si>
  <si>
    <t>Total Non-Current Liabilities</t>
  </si>
  <si>
    <t>Total Liabilities</t>
  </si>
  <si>
    <t>Equity</t>
  </si>
  <si>
    <t>Total Equity</t>
  </si>
  <si>
    <t>Total Liabilites &amp; Equity</t>
  </si>
  <si>
    <t>Balance Check</t>
  </si>
  <si>
    <t>CASH FLOW STATEMENT</t>
  </si>
  <si>
    <t>Net income</t>
  </si>
  <si>
    <t>Operating cash flow before working capital</t>
  </si>
  <si>
    <t>Changes in Working Capital</t>
  </si>
  <si>
    <t>Net change in working capital</t>
  </si>
  <si>
    <t>Net cash flows from operating activities</t>
  </si>
  <si>
    <t>CASH FLOWS FROM INVESTING ACTIVITIES</t>
  </si>
  <si>
    <t>Paid to purchase property, plant and equipment</t>
  </si>
  <si>
    <t>Net cash flows used in investing activities</t>
  </si>
  <si>
    <t>CASH FLOWS FROM FINANCING ACTIVITIES</t>
  </si>
  <si>
    <t>Paid dividends</t>
  </si>
  <si>
    <t>Net cash flow from financing activities</t>
  </si>
  <si>
    <t>Net change in cash and cash equivalents</t>
  </si>
  <si>
    <t>Cash and cash equivalents at 1 January</t>
  </si>
  <si>
    <t>Cash and cash equivalents at 31 December</t>
  </si>
  <si>
    <t>Reconciliation Check vs BS Cash</t>
  </si>
  <si>
    <t>PROPERTY, PLANT &amp; EQUIPMENT</t>
  </si>
  <si>
    <t>Beginning of period</t>
  </si>
  <si>
    <t>Plus: Capital expenditures</t>
  </si>
  <si>
    <t>Less: Depreciation</t>
  </si>
  <si>
    <t>End of period</t>
  </si>
  <si>
    <t>CapEx % of revenue</t>
  </si>
  <si>
    <t>Depreciation % of beginning PP&amp;E</t>
  </si>
  <si>
    <t>IMPUTING TOTAL DEPRECIATION &amp; AMORTIZATION</t>
  </si>
  <si>
    <t>D&amp;A not related to PP&amp;E</t>
  </si>
  <si>
    <t xml:space="preserve">Depreciation &amp; Amortization - Total </t>
  </si>
  <si>
    <t>REVENUE BUILD BY SEGMENT (EGP)</t>
  </si>
  <si>
    <t>Check vs IS (row 16)</t>
  </si>
  <si>
    <t>WORKING CAPITAL SCHEDULE</t>
  </si>
  <si>
    <t>Operating Working Capital Assets</t>
  </si>
  <si>
    <t>Total Operating WC Assets</t>
  </si>
  <si>
    <t>Operating Working Capital Liabilities</t>
  </si>
  <si>
    <t>Total Operating WC Liabilities</t>
  </si>
  <si>
    <t>Net Working Capital</t>
  </si>
  <si>
    <t>NWC as % of revenue</t>
  </si>
  <si>
    <t>Change in NWC (− = cash used)</t>
  </si>
  <si>
    <t>DIO (days, off COGS)</t>
  </si>
  <si>
    <t>DSO (days, off revenue)</t>
  </si>
  <si>
    <t>DPO (days, off COGS)</t>
  </si>
  <si>
    <t>DEBT &amp; INTEREST SCHEDULE</t>
  </si>
  <si>
    <t>Total Debt</t>
  </si>
  <si>
    <t>Average debt</t>
  </si>
  <si>
    <t>Effective interest rate</t>
  </si>
  <si>
    <t>Interest income</t>
  </si>
  <si>
    <t>Interest-earning assets</t>
  </si>
  <si>
    <t>Average earning assets</t>
  </si>
  <si>
    <t>Effective yield</t>
  </si>
  <si>
    <t>Net finance costs</t>
  </si>
  <si>
    <t>EQUITY &amp; NCI ROLL-FORWARD</t>
  </si>
  <si>
    <t>Retained Earnings</t>
  </si>
  <si>
    <t>Less: Dividends &amp; distributions</t>
  </si>
  <si>
    <t>End of period (= BS)</t>
  </si>
  <si>
    <t>Additions % revenue</t>
  </si>
  <si>
    <t>LEASE SCHEDULE</t>
  </si>
  <si>
    <t>Lease liab — Beginning</t>
  </si>
  <si>
    <t>Additons</t>
  </si>
  <si>
    <t>Plus: Lease Interest Accrued</t>
  </si>
  <si>
    <t>Lease liab — End</t>
  </si>
  <si>
    <t>ST share of liability</t>
  </si>
  <si>
    <t>Additons leases % revenue</t>
  </si>
  <si>
    <t>Lease Interest Accrued % revenue</t>
  </si>
  <si>
    <t>Amortization % revenue</t>
  </si>
  <si>
    <t>WACC Buildup</t>
  </si>
  <si>
    <t>Cost of capital assumptions</t>
  </si>
  <si>
    <t>Cost of debt</t>
  </si>
  <si>
    <t>Cost of debt (after tax)</t>
  </si>
  <si>
    <t xml:space="preserve">Risk free rate </t>
  </si>
  <si>
    <t xml:space="preserve">Beta </t>
  </si>
  <si>
    <t>Market risk premium</t>
  </si>
  <si>
    <t>Cost of equity</t>
  </si>
  <si>
    <t>Capital weights (capital structure)</t>
  </si>
  <si>
    <t xml:space="preserve">Target </t>
  </si>
  <si>
    <t xml:space="preserve">Current </t>
  </si>
  <si>
    <t>(override)</t>
  </si>
  <si>
    <t>% of total</t>
  </si>
  <si>
    <t>Cost of capital (WACC)</t>
  </si>
  <si>
    <t>WACC sensitivity to MRP and Beta</t>
  </si>
  <si>
    <t>Beta</t>
  </si>
  <si>
    <t>Market</t>
  </si>
  <si>
    <t>Risk</t>
  </si>
  <si>
    <t>Premium</t>
  </si>
  <si>
    <t>Select Beta for model</t>
  </si>
  <si>
    <t>Observed</t>
  </si>
  <si>
    <t>Industry beta</t>
  </si>
  <si>
    <t>Observed b</t>
  </si>
  <si>
    <t>Share price</t>
  </si>
  <si>
    <t>Dil. shares</t>
  </si>
  <si>
    <t>Market cap</t>
  </si>
  <si>
    <t>Net Debt</t>
  </si>
  <si>
    <t>Delev. b</t>
  </si>
  <si>
    <t>Industry average delevered beta</t>
  </si>
  <si>
    <t>Intangible assets</t>
  </si>
  <si>
    <t>Gross Profit</t>
  </si>
  <si>
    <t>Finance expense</t>
  </si>
  <si>
    <t>Additions</t>
  </si>
  <si>
    <t>Less: Amortization year</t>
  </si>
  <si>
    <t>Plus: Net income (Parent Share)</t>
  </si>
  <si>
    <t>Dividend payout ratio % of Net Income of Parent</t>
  </si>
  <si>
    <t>Non-controlling Interests</t>
  </si>
  <si>
    <t>Plus: NCI share of net income</t>
  </si>
  <si>
    <t>Less: Dividends Paid to NCI</t>
  </si>
  <si>
    <t>NCI share % of net income</t>
  </si>
  <si>
    <t>Lease payments</t>
  </si>
  <si>
    <t>Paid for intangible asset additions</t>
  </si>
  <si>
    <t>Comparable Companies Analysis (Trading Comps)</t>
  </si>
  <si>
    <t>Refresh date:</t>
  </si>
  <si>
    <t>GENERAL INFORMATION</t>
  </si>
  <si>
    <t>Company</t>
  </si>
  <si>
    <t>Exchange / Currency</t>
  </si>
  <si>
    <t>Fiscal year end</t>
  </si>
  <si>
    <t>Last closing price</t>
  </si>
  <si>
    <t>Price as of</t>
  </si>
  <si>
    <t>FULLY DILUTED SHARES</t>
  </si>
  <si>
    <t>Basic shares outstanding</t>
  </si>
  <si>
    <t>Options / RSUs / other dilution</t>
  </si>
  <si>
    <t>Fully diluted shares</t>
  </si>
  <si>
    <t>BALANCE SHEET DATA (latest reported)</t>
  </si>
  <si>
    <t>Total debt (incl. leases)</t>
  </si>
  <si>
    <t>Minority interest</t>
  </si>
  <si>
    <t>Cash + liquid investments</t>
  </si>
  <si>
    <t>Net debt / (net cash)</t>
  </si>
  <si>
    <t>MARKET VALUATION</t>
  </si>
  <si>
    <t>Market capitalization</t>
  </si>
  <si>
    <t>Enterprise value (EV)</t>
  </si>
  <si>
    <t>EBITDA margin</t>
  </si>
  <si>
    <t>TRADING MULTIPLES</t>
  </si>
  <si>
    <t>EV / Revenue (LTM)</t>
  </si>
  <si>
    <t>EV / EBITDA (LTM)</t>
  </si>
  <si>
    <t>EV / EBIT (LTM)</t>
  </si>
  <si>
    <t>P / E (LTM)</t>
  </si>
  <si>
    <t>EV/Revenue</t>
  </si>
  <si>
    <t>EV/EBITDA</t>
  </si>
  <si>
    <t>EV/EBIT</t>
  </si>
  <si>
    <t>P/E</t>
  </si>
  <si>
    <t>Mean</t>
  </si>
  <si>
    <t>Median</t>
  </si>
  <si>
    <t>IMPLIED VALUATION (from peer MEDIAN multiples)</t>
  </si>
  <si>
    <t>Via EV/EBITDA:</t>
  </si>
  <si>
    <t>Peer median EV/EBITDA</t>
  </si>
  <si>
    <t>x LTM EBITDA</t>
  </si>
  <si>
    <t>Implied Enterprise Value</t>
  </si>
  <si>
    <t>Less: net debt / plus net cash</t>
  </si>
  <si>
    <t>Implied equity value</t>
  </si>
  <si>
    <t>Implied value per share (EGP)</t>
  </si>
  <si>
    <t>Via P/E:</t>
  </si>
  <si>
    <t>Peer median P/E</t>
  </si>
  <si>
    <t>x LTM net income</t>
  </si>
  <si>
    <t>Via (closest Egyptian peer):</t>
  </si>
  <si>
    <t>Industry</t>
  </si>
  <si>
    <t>PEER STATISTICS</t>
  </si>
  <si>
    <t>LTM FINANCIALS</t>
  </si>
  <si>
    <t>Gourmet Egypt</t>
  </si>
  <si>
    <t>GOUR.CA</t>
  </si>
  <si>
    <t>Selling and Marketing Expenses</t>
  </si>
  <si>
    <t>General and Administrative Expenses</t>
  </si>
  <si>
    <t>Provisions Formed (other than depreciation)</t>
  </si>
  <si>
    <t>Provisions No Longer Required</t>
  </si>
  <si>
    <t>Inventory Write-down (ECL / Slow Moving)</t>
  </si>
  <si>
    <t>Reversal of Inventory Write-down</t>
  </si>
  <si>
    <t>Impairment of Assets Held for Sale</t>
  </si>
  <si>
    <t>Amortization of Intangible Assets</t>
  </si>
  <si>
    <t>Board Remuneration and Allowances</t>
  </si>
  <si>
    <t>Amortization of Right-of-Use Assets</t>
  </si>
  <si>
    <t>Expected Credit Loss (Trade &amp; Other Debtors)</t>
  </si>
  <si>
    <t>Net Foreign Exchange Gains / (Losses)</t>
  </si>
  <si>
    <t>Other Income / (Expenses) &amp; Capital Gains</t>
  </si>
  <si>
    <t>Income Tax Expense (Current)</t>
  </si>
  <si>
    <t>Deferred Tax (Expense) / Benefit</t>
  </si>
  <si>
    <t>Equity Holders of the Parent Company</t>
  </si>
  <si>
    <t>Non-Controlling Interest (NCI)</t>
  </si>
  <si>
    <t>Gross Revenue</t>
  </si>
  <si>
    <t>Cost of Goods Sold (COGS)</t>
  </si>
  <si>
    <t>Total Cash Operating Expenses (OpEx)</t>
  </si>
  <si>
    <t>OpEx Schedule</t>
  </si>
  <si>
    <t>Depreciation of Fixed Assets (PPE)</t>
  </si>
  <si>
    <t>Total D&amp;A</t>
  </si>
  <si>
    <t>Operating Profit (EBIT)</t>
  </si>
  <si>
    <t>Profit / (Loss) Before Tax (EBT)</t>
  </si>
  <si>
    <t>Net Profit / (Loss) for the Year</t>
  </si>
  <si>
    <t>Gross Product Sales</t>
  </si>
  <si>
    <t>Delivery Service Revenue</t>
  </si>
  <si>
    <t>Total Gross Revenue</t>
  </si>
  <si>
    <t>(Less) Customer Loyalty Points</t>
  </si>
  <si>
    <t>Net Revenue</t>
  </si>
  <si>
    <t>Property, Plant and Equipment (Net)</t>
  </si>
  <si>
    <t>Intangible Assets (Net)</t>
  </si>
  <si>
    <t>Right-of-Use Assets (Net)</t>
  </si>
  <si>
    <t>Deferred Tax Assets</t>
  </si>
  <si>
    <t>Projects Under Construction (CWIP)</t>
  </si>
  <si>
    <t>Goodwill</t>
  </si>
  <si>
    <t>Financial Assets at Amortized Cost (T-Bills)</t>
  </si>
  <si>
    <t>Inventories (Net)</t>
  </si>
  <si>
    <t>Trade and Notes Receivable (Net)</t>
  </si>
  <si>
    <t>Debtors and Other Debit Balances (Net)</t>
  </si>
  <si>
    <t>Due from Related Parties</t>
  </si>
  <si>
    <t>Cash and Cash Equivalents</t>
  </si>
  <si>
    <t>Paid-in Share Capital</t>
  </si>
  <si>
    <t>Legal Reserve</t>
  </si>
  <si>
    <t>Retained Earnings / (Accumulated Losses)</t>
  </si>
  <si>
    <t>Equity Attributable to Equity Holders of Parent</t>
  </si>
  <si>
    <t>Long-Term Loans (Non-Current Portion)</t>
  </si>
  <si>
    <t>Lease Liabilities (Non-Current Portion)</t>
  </si>
  <si>
    <t>Fixed Assets Purchase Creditors (Non-Current)</t>
  </si>
  <si>
    <t>Provisions</t>
  </si>
  <si>
    <t>Current Income Tax Liability</t>
  </si>
  <si>
    <t>Long-Term Loans (Current Portion)</t>
  </si>
  <si>
    <t>Lease Liabilities (Current Portion)</t>
  </si>
  <si>
    <t>Short-Term Borrowings &amp; Credit Facilities</t>
  </si>
  <si>
    <t>Trade and Notes Payable</t>
  </si>
  <si>
    <t>Due to Related Parties</t>
  </si>
  <si>
    <t>Creditors and Other Credit Balances</t>
  </si>
  <si>
    <t>Trade &amp; Notes Receivable (Net)</t>
  </si>
  <si>
    <t>Debtors &amp; Other Debit Balances</t>
  </si>
  <si>
    <t>Trade &amp; Notes Payable</t>
  </si>
  <si>
    <t>Creditors &amp; Other Credit Balances</t>
  </si>
  <si>
    <t>Turnover</t>
  </si>
  <si>
    <t>WC DRIVERS (DAYS) without using turnover method</t>
  </si>
  <si>
    <t>ROU</t>
  </si>
  <si>
    <t>Plus: Additions</t>
  </si>
  <si>
    <t>Less: ROU Amortization</t>
  </si>
  <si>
    <t>ROU Amortization % revenue</t>
  </si>
  <si>
    <t>ROU - End</t>
  </si>
  <si>
    <t>ROU - Beginning</t>
  </si>
  <si>
    <t>(Less) Total Lease Payments Made</t>
  </si>
  <si>
    <t>Depreciation and amortization</t>
  </si>
  <si>
    <t>Repayment of Fixed Asset Purchase Creditors</t>
  </si>
  <si>
    <t>Add back: non-cash lease interest</t>
  </si>
  <si>
    <t>Juhayna (JUFO.CA)</t>
  </si>
  <si>
    <t>Edita (EFID.CA)</t>
  </si>
  <si>
    <t>Spinneys (SPINNEYS.AE)</t>
  </si>
  <si>
    <t>BinDawood (4161.SR)</t>
  </si>
  <si>
    <t>JUFO.CA</t>
  </si>
  <si>
    <t>EFID.CA</t>
  </si>
  <si>
    <t>SPINNEYS.AE</t>
  </si>
  <si>
    <t>4161.SR</t>
  </si>
  <si>
    <t>Juhayna Food Industries</t>
  </si>
  <si>
    <t>Edita Food Industries</t>
  </si>
  <si>
    <t>Spinneys 1961 Holding</t>
  </si>
  <si>
    <t>BinDawood Holding</t>
  </si>
  <si>
    <t>EGX / EGP</t>
  </si>
  <si>
    <t>DFM / AED</t>
  </si>
  <si>
    <t>Tadawul / SAR</t>
  </si>
  <si>
    <t>Gourmet Egypt.com for Food S.A.E.</t>
  </si>
  <si>
    <t>Opening total debt (prior year-end)</t>
  </si>
  <si>
    <t>Opening book equity (prior year-end)</t>
  </si>
  <si>
    <t>Opening D/E</t>
  </si>
  <si>
    <t>Unlevered beta (selected on Build-Up tab - held constant)</t>
  </si>
  <si>
    <t>Relevered beta = βu × [1 + (1 - t) × D/E]</t>
  </si>
  <si>
    <t>RELEVERED BETA (D/E changes every year)</t>
  </si>
  <si>
    <t>Risk-free rate (EGP 10Y, held flat)</t>
  </si>
  <si>
    <t>Mature-market ERP (held flat)</t>
  </si>
  <si>
    <t>WEIGHTS AND WACC BY YEAR</t>
  </si>
  <si>
    <t>COST OF DEBT BY YEAR (each year's realised rate from the debt schedule)</t>
  </si>
  <si>
    <t>After-tax Kd(t)</t>
  </si>
  <si>
    <t>Pre-tax Kd(t) = interest expense(t) / average debt(t)</t>
  </si>
  <si>
    <t>Equity weight (opening book balances)</t>
  </si>
  <si>
    <t>Debt weight (opening book balances)</t>
  </si>
  <si>
    <t>WACC(t) = E-weight × Ke(t) + D-weight × Kd(t) × (1 - tax)</t>
  </si>
  <si>
    <t>Year-by-Year Cost of Equity and WACC</t>
  </si>
  <si>
    <t>CAPM</t>
  </si>
  <si>
    <t>Cost of equity 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</si>
</sst>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9">
    <numFmt numFmtId="7" formatCode="&quot;$&quot;#,##0.00_);\(&quot;$&quot;#,##0.00\)"/>
    <numFmt numFmtId="41" formatCode="_(* #,##0_);_(* \(#,##0\);_(* &quot;-&quot;_);_(@_)"/>
    <numFmt numFmtId="164" formatCode="_-* #,##0_-;\-* #,##0_-;_-* &quot;-&quot;_-;_-@_-"/>
    <numFmt numFmtId="165" formatCode="_-* #,##0.00_-;\-* #,##0.00_-;_-* &quot;-&quot;??_-;_-@_-"/>
    <numFmt numFmtId="166" formatCode="0.0%"/>
    <numFmt numFmtId="167" formatCode="_(* #,##0_);_(* \(#,##0\);_(* \-_);_(@_)"/>
    <numFmt numFmtId="168" formatCode="_(* #,##0_);_(* \(#,##0\);_(* \-??_);_(@_)"/>
    <numFmt numFmtId="169" formatCode="&quot;FY&quot;yy"/>
    <numFmt numFmtId="170" formatCode="0\A;[Red]0\A"/>
    <numFmt numFmtId="171" formatCode="0\P_);\(0\P\)"/>
    <numFmt numFmtId="172" formatCode="m/d/yy;@"/>
    <numFmt numFmtId="173" formatCode="0.0%_);\(0.0%\);@_)"/>
    <numFmt numFmtId="174" formatCode="_(#,##0.0%_);\(#,##0.0%\);_(&quot;–&quot;_)_%;_(@_)_%"/>
    <numFmt numFmtId="175" formatCode="#,##0_);\(#,##0\);@_)"/>
    <numFmt numFmtId="176" formatCode="0000\P"/>
    <numFmt numFmtId="177" formatCode="0.0\x_);\(0.0\x\);@_)"/>
    <numFmt numFmtId="178" formatCode="0.000%_);\(0.000%\);@_)"/>
    <numFmt numFmtId="179" formatCode="#,##0.000_);\(#,##0.000\);@_)"/>
    <numFmt numFmtId="180" formatCode="#,##0.000_);\(#,##0.000\)"/>
    <numFmt numFmtId="181" formatCode="_([$$]#,##0_)_%;\([$$]#,##0\)_%;_(&quot;–&quot;_)_%;_(@_)_%"/>
    <numFmt numFmtId="182" formatCode="_(0.0_)_'_x;_(\(0.0\)_';_(&quot;–&quot;_)_%;_(@_)_%"/>
    <numFmt numFmtId="183" formatCode="#,##0.00_);\(#,##0.00\);\-_);@_)"/>
    <numFmt numFmtId="184" formatCode="#,##0.0_);\(#,##0.0\);\-_);@_)"/>
    <numFmt numFmtId="185" formatCode="_(#,##0.00%_);\(#,##0.00%\);_(&quot;–&quot;_)_%;_(@_)_%"/>
    <numFmt numFmtId="186" formatCode="&quot;$&quot;#,##0.00_);\(&quot;$&quot;#,##0.00\);@_)"/>
    <numFmt numFmtId="187" formatCode="0000\A"/>
    <numFmt numFmtId="188" formatCode="_(* #,##0.0_);_(* \(#,##0.0\);_(* \-??_);_(@_)"/>
    <numFmt numFmtId="189" formatCode="_(* #,##0_);_(* \(#,##0\);_(* &quot;-&quot;??_);_(@_)"/>
    <numFmt numFmtId="190" formatCode="d/m/yy;@"/>
    <numFmt numFmtId="191" formatCode="_(0.0\x_)_';_(\(0.0\x\)_';_(&quot;–&quot;_)_%;_(@_)_%"/>
    <numFmt numFmtId="192" formatCode="_(* #,##0.00_);_(* \(#,##0.00\);_(* \-??_);_(@_)"/>
    <numFmt numFmtId="193" formatCode="0.000"/>
    <numFmt numFmtId="194" formatCode="_-[$EGP]\ * #,##0.00_-;\-[$EGP]\ * #,##0.00_-;_-[$EGP]\ * &quot;-&quot;??_-;_-@_-"/>
    <numFmt numFmtId="195" formatCode="[$-409]mmmmm/yy;@"/>
    <numFmt numFmtId="196" formatCode="#,##0;\(#,##0\)"/>
    <numFmt numFmtId="197" formatCode="0.0&quot;x&quot;"/>
    <numFmt numFmtId="198" formatCode="0.0000%"/>
    <numFmt numFmtId="199" formatCode="0\x"/>
    <numFmt numFmtId="200" formatCode="0.0%;\(0.0%\);\-"/>
  </numFmts>
  <fonts count="49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color theme="0"/>
      <name val="Calibri"/>
      <family val="2"/>
    </font>
    <font>
      <i/>
      <sz val="11"/>
      <color theme="1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10"/>
      <name val="Times New Roman"/>
      <family val="1"/>
    </font>
    <font>
      <sz val="11"/>
      <color rgb="FF008000"/>
      <name val="Calibri"/>
      <family val="2"/>
      <scheme val="minor"/>
    </font>
    <font>
      <u/>
      <sz val="11"/>
      <color theme="10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 val="singleAccounting"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0000"/>
      <name val="Calibri"/>
      <family val="2"/>
    </font>
    <font>
      <sz val="11"/>
      <color theme="4" tint="-0.249977111117893"/>
      <name val="Calibri"/>
      <family val="2"/>
      <charset val="1"/>
    </font>
    <font>
      <sz val="10"/>
      <name val="Arial"/>
      <family val="2"/>
    </font>
    <font>
      <b/>
      <sz val="11"/>
      <color rgb="FF0070C0"/>
      <name val="Calibri"/>
      <family val="2"/>
      <scheme val="minor"/>
    </font>
    <font>
      <sz val="11"/>
      <color rgb="FF0000FF"/>
      <name val="Calibri"/>
      <family val="2"/>
    </font>
    <font>
      <b/>
      <i/>
      <sz val="11"/>
      <color theme="1"/>
      <name val="Calibri"/>
      <family val="2"/>
    </font>
    <font>
      <i/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i/>
      <sz val="11"/>
      <name val="Calibri"/>
      <family val="2"/>
    </font>
    <font>
      <i/>
      <sz val="11"/>
      <color rgb="FF808080"/>
      <name val="Calibri"/>
      <family val="2"/>
    </font>
    <font>
      <sz val="11"/>
      <color rgb="FF008000"/>
      <name val="Calibri"/>
      <family val="2"/>
    </font>
    <font>
      <sz val="11"/>
      <name val="Calibri"/>
      <family val="2"/>
      <charset val="1"/>
    </font>
    <font>
      <i/>
      <sz val="11"/>
      <color theme="4" tint="-0.249977111117893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2F2FF"/>
        <bgColor rgb="FF000000"/>
      </patternFill>
    </fill>
    <fill>
      <patternFill patternType="solid">
        <fgColor rgb="FFCC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9DAF8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double">
        <color auto="1"/>
      </top>
      <bottom/>
      <diagonal/>
    </border>
  </borders>
  <cellStyleXfs count="8">
    <xf numFmtId="0" fontId="0" fillId="0" borderId="0"/>
    <xf numFmtId="192" fontId="9" fillId="0" borderId="0"/>
    <xf numFmtId="9" fontId="9" fillId="0" borderId="0"/>
    <xf numFmtId="0" fontId="8" fillId="0" borderId="0"/>
    <xf numFmtId="37" fontId="24" fillId="0" borderId="0"/>
    <xf numFmtId="0" fontId="26" fillId="0" borderId="0"/>
    <xf numFmtId="195" fontId="36" fillId="0" borderId="0"/>
    <xf numFmtId="0" fontId="3" fillId="0" borderId="0"/>
  </cellStyleXfs>
  <cellXfs count="360">
    <xf numFmtId="0" fontId="0" fillId="0" borderId="0" xfId="0"/>
    <xf numFmtId="166" fontId="9" fillId="0" borderId="0" xfId="2" applyNumberFormat="1"/>
    <xf numFmtId="0" fontId="10" fillId="0" borderId="4" xfId="0" applyFont="1" applyBorder="1"/>
    <xf numFmtId="0" fontId="11" fillId="0" borderId="0" xfId="0" applyFont="1"/>
    <xf numFmtId="0" fontId="12" fillId="0" borderId="0" xfId="0" applyFont="1" applyAlignment="1">
      <alignment horizontal="center"/>
    </xf>
    <xf numFmtId="14" fontId="12" fillId="0" borderId="0" xfId="0" applyNumberFormat="1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13" fillId="0" borderId="4" xfId="0" applyFont="1" applyBorder="1"/>
    <xf numFmtId="0" fontId="13" fillId="0" borderId="5" xfId="0" applyFont="1" applyBorder="1"/>
    <xf numFmtId="167" fontId="17" fillId="0" borderId="0" xfId="1" applyNumberFormat="1" applyFont="1"/>
    <xf numFmtId="0" fontId="18" fillId="0" borderId="1" xfId="0" applyFont="1" applyBorder="1"/>
    <xf numFmtId="168" fontId="18" fillId="0" borderId="1" xfId="1" applyNumberFormat="1" applyFont="1" applyBorder="1"/>
    <xf numFmtId="0" fontId="18" fillId="0" borderId="0" xfId="0" applyFont="1"/>
    <xf numFmtId="168" fontId="18" fillId="0" borderId="0" xfId="1" applyNumberFormat="1" applyFont="1"/>
    <xf numFmtId="166" fontId="14" fillId="0" borderId="0" xfId="2" applyNumberFormat="1" applyFont="1"/>
    <xf numFmtId="0" fontId="18" fillId="0" borderId="3" xfId="0" applyFont="1" applyBorder="1"/>
    <xf numFmtId="0" fontId="13" fillId="0" borderId="0" xfId="0" applyFont="1" applyAlignment="1">
      <alignment horizontal="left" indent="1"/>
    </xf>
    <xf numFmtId="168" fontId="13" fillId="0" borderId="0" xfId="0" applyNumberFormat="1" applyFont="1"/>
    <xf numFmtId="168" fontId="13" fillId="0" borderId="0" xfId="1" applyNumberFormat="1" applyFont="1"/>
    <xf numFmtId="0" fontId="20" fillId="0" borderId="2" xfId="0" applyFont="1" applyBorder="1"/>
    <xf numFmtId="168" fontId="18" fillId="0" borderId="2" xfId="1" applyNumberFormat="1" applyFont="1" applyBorder="1"/>
    <xf numFmtId="166" fontId="13" fillId="0" borderId="0" xfId="2" applyNumberFormat="1" applyFont="1"/>
    <xf numFmtId="1" fontId="13" fillId="0" borderId="0" xfId="2" applyNumberFormat="1" applyFont="1"/>
    <xf numFmtId="0" fontId="16" fillId="0" borderId="0" xfId="0" applyFont="1" applyAlignment="1">
      <alignment horizontal="left" indent="1"/>
    </xf>
    <xf numFmtId="168" fontId="18" fillId="0" borderId="0" xfId="0" applyNumberFormat="1" applyFont="1"/>
    <xf numFmtId="0" fontId="18" fillId="0" borderId="1" xfId="0" applyFont="1" applyBorder="1" applyAlignment="1">
      <alignment horizontal="left"/>
    </xf>
    <xf numFmtId="167" fontId="13" fillId="0" borderId="0" xfId="0" applyNumberFormat="1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indent="2"/>
    </xf>
    <xf numFmtId="167" fontId="19" fillId="0" borderId="3" xfId="1" applyNumberFormat="1" applyFont="1" applyBorder="1"/>
    <xf numFmtId="0" fontId="21" fillId="0" borderId="0" xfId="0" applyFont="1"/>
    <xf numFmtId="0" fontId="15" fillId="0" borderId="0" xfId="0" applyFont="1"/>
    <xf numFmtId="0" fontId="21" fillId="0" borderId="0" xfId="0" applyFont="1" applyAlignment="1">
      <alignment horizontal="center" vertical="center"/>
    </xf>
    <xf numFmtId="169" fontId="15" fillId="0" borderId="0" xfId="0" applyNumberFormat="1" applyFont="1" applyAlignment="1">
      <alignment horizontal="center" vertical="center"/>
    </xf>
    <xf numFmtId="0" fontId="16" fillId="0" borderId="0" xfId="0" applyFont="1"/>
    <xf numFmtId="10" fontId="13" fillId="0" borderId="0" xfId="2" applyNumberFormat="1" applyFont="1"/>
    <xf numFmtId="0" fontId="18" fillId="0" borderId="3" xfId="0" applyFont="1" applyBorder="1" applyAlignment="1">
      <alignment horizontal="left"/>
    </xf>
    <xf numFmtId="0" fontId="10" fillId="0" borderId="6" xfId="0" applyFont="1" applyBorder="1"/>
    <xf numFmtId="0" fontId="0" fillId="0" borderId="6" xfId="0" applyBorder="1"/>
    <xf numFmtId="170" fontId="10" fillId="0" borderId="0" xfId="0" applyNumberFormat="1" applyFont="1"/>
    <xf numFmtId="171" fontId="10" fillId="0" borderId="0" xfId="0" applyNumberFormat="1" applyFont="1"/>
    <xf numFmtId="0" fontId="22" fillId="0" borderId="6" xfId="0" applyFont="1" applyBorder="1"/>
    <xf numFmtId="172" fontId="22" fillId="0" borderId="2" xfId="0" applyNumberFormat="1" applyFont="1" applyBorder="1"/>
    <xf numFmtId="0" fontId="19" fillId="0" borderId="0" xfId="0" applyFont="1"/>
    <xf numFmtId="172" fontId="22" fillId="0" borderId="6" xfId="0" applyNumberFormat="1" applyFont="1" applyBorder="1"/>
    <xf numFmtId="169" fontId="19" fillId="0" borderId="0" xfId="0" applyNumberFormat="1" applyFont="1" applyAlignment="1">
      <alignment horizontal="center" vertical="center"/>
    </xf>
    <xf numFmtId="0" fontId="0" fillId="0" borderId="3" xfId="0" applyBorder="1"/>
    <xf numFmtId="170" fontId="10" fillId="0" borderId="3" xfId="0" applyNumberFormat="1" applyFont="1" applyBorder="1"/>
    <xf numFmtId="171" fontId="10" fillId="0" borderId="3" xfId="0" applyNumberFormat="1" applyFont="1" applyBorder="1"/>
    <xf numFmtId="0" fontId="8" fillId="0" borderId="0" xfId="3"/>
    <xf numFmtId="0" fontId="10" fillId="0" borderId="4" xfId="3" applyFont="1" applyBorder="1"/>
    <xf numFmtId="0" fontId="8" fillId="0" borderId="4" xfId="3" applyBorder="1"/>
    <xf numFmtId="0" fontId="23" fillId="0" borderId="5" xfId="3" applyFont="1" applyBorder="1"/>
    <xf numFmtId="14" fontId="12" fillId="0" borderId="0" xfId="4" applyNumberFormat="1" applyFont="1" applyAlignment="1">
      <alignment horizontal="right"/>
    </xf>
    <xf numFmtId="173" fontId="25" fillId="0" borderId="0" xfId="3" applyNumberFormat="1" applyFont="1"/>
    <xf numFmtId="14" fontId="11" fillId="0" borderId="0" xfId="4" applyNumberFormat="1" applyFont="1" applyAlignment="1">
      <alignment horizontal="right"/>
    </xf>
    <xf numFmtId="14" fontId="12" fillId="0" borderId="0" xfId="3" applyNumberFormat="1" applyFont="1" applyAlignment="1">
      <alignment horizontal="right"/>
    </xf>
    <xf numFmtId="0" fontId="26" fillId="0" borderId="0" xfId="5"/>
    <xf numFmtId="174" fontId="11" fillId="0" borderId="0" xfId="3" applyNumberFormat="1" applyFont="1"/>
    <xf numFmtId="7" fontId="25" fillId="0" borderId="0" xfId="3" applyNumberFormat="1" applyFont="1" applyAlignment="1">
      <alignment horizontal="right"/>
    </xf>
    <xf numFmtId="0" fontId="10" fillId="0" borderId="7" xfId="3" applyFont="1" applyBorder="1"/>
    <xf numFmtId="0" fontId="8" fillId="0" borderId="7" xfId="3" applyBorder="1"/>
    <xf numFmtId="7" fontId="25" fillId="0" borderId="7" xfId="3" applyNumberFormat="1" applyFont="1" applyBorder="1" applyAlignment="1">
      <alignment horizontal="right"/>
    </xf>
    <xf numFmtId="0" fontId="27" fillId="0" borderId="0" xfId="3" applyFont="1" applyAlignment="1">
      <alignment horizontal="centerContinuous"/>
    </xf>
    <xf numFmtId="0" fontId="28" fillId="0" borderId="8" xfId="3" applyFont="1" applyBorder="1" applyAlignment="1">
      <alignment horizontal="centerContinuous"/>
    </xf>
    <xf numFmtId="0" fontId="22" fillId="0" borderId="0" xfId="3" applyFont="1"/>
    <xf numFmtId="14" fontId="8" fillId="0" borderId="0" xfId="3" applyNumberFormat="1" applyAlignment="1">
      <alignment horizontal="center"/>
    </xf>
    <xf numFmtId="175" fontId="11" fillId="0" borderId="0" xfId="3" applyNumberFormat="1" applyFont="1"/>
    <xf numFmtId="175" fontId="25" fillId="0" borderId="0" xfId="3" applyNumberFormat="1" applyFont="1"/>
    <xf numFmtId="0" fontId="8" fillId="0" borderId="0" xfId="3" applyAlignment="1">
      <alignment horizontal="left" indent="1"/>
    </xf>
    <xf numFmtId="0" fontId="10" fillId="0" borderId="0" xfId="3" applyFont="1"/>
    <xf numFmtId="175" fontId="29" fillId="0" borderId="0" xfId="3" applyNumberFormat="1" applyFont="1"/>
    <xf numFmtId="175" fontId="8" fillId="0" borderId="0" xfId="3" applyNumberFormat="1"/>
    <xf numFmtId="37" fontId="11" fillId="0" borderId="0" xfId="3" applyNumberFormat="1" applyFont="1"/>
    <xf numFmtId="175" fontId="25" fillId="0" borderId="7" xfId="3" applyNumberFormat="1" applyFont="1" applyBorder="1"/>
    <xf numFmtId="175" fontId="28" fillId="0" borderId="7" xfId="3" applyNumberFormat="1" applyFont="1" applyBorder="1" applyAlignment="1">
      <alignment horizontal="center"/>
    </xf>
    <xf numFmtId="175" fontId="28" fillId="0" borderId="0" xfId="3" applyNumberFormat="1" applyFont="1"/>
    <xf numFmtId="14" fontId="8" fillId="0" borderId="0" xfId="3" applyNumberFormat="1"/>
    <xf numFmtId="174" fontId="8" fillId="0" borderId="0" xfId="3" applyNumberFormat="1" applyAlignment="1">
      <alignment horizontal="center"/>
    </xf>
    <xf numFmtId="175" fontId="11" fillId="0" borderId="7" xfId="3" applyNumberFormat="1" applyFont="1" applyBorder="1"/>
    <xf numFmtId="0" fontId="29" fillId="0" borderId="0" xfId="3" applyFont="1"/>
    <xf numFmtId="174" fontId="12" fillId="0" borderId="0" xfId="3" applyNumberFormat="1" applyFont="1"/>
    <xf numFmtId="176" fontId="8" fillId="0" borderId="0" xfId="3" applyNumberFormat="1"/>
    <xf numFmtId="177" fontId="12" fillId="0" borderId="0" xfId="3" applyNumberFormat="1" applyFont="1"/>
    <xf numFmtId="175" fontId="10" fillId="0" borderId="0" xfId="3" applyNumberFormat="1" applyFont="1"/>
    <xf numFmtId="0" fontId="22" fillId="0" borderId="0" xfId="3" applyFont="1" applyAlignment="1">
      <alignment horizontal="left"/>
    </xf>
    <xf numFmtId="174" fontId="22" fillId="0" borderId="0" xfId="3" applyNumberFormat="1" applyFont="1"/>
    <xf numFmtId="178" fontId="22" fillId="0" borderId="0" xfId="3" applyNumberFormat="1" applyFont="1"/>
    <xf numFmtId="174" fontId="8" fillId="0" borderId="0" xfId="3" applyNumberFormat="1"/>
    <xf numFmtId="177" fontId="22" fillId="0" borderId="0" xfId="3" applyNumberFormat="1" applyFont="1"/>
    <xf numFmtId="173" fontId="8" fillId="0" borderId="0" xfId="3" quotePrefix="1" applyNumberFormat="1"/>
    <xf numFmtId="0" fontId="8" fillId="0" borderId="0" xfId="3" applyAlignment="1">
      <alignment horizontal="left"/>
    </xf>
    <xf numFmtId="0" fontId="30" fillId="0" borderId="0" xfId="3" applyFont="1"/>
    <xf numFmtId="0" fontId="30" fillId="0" borderId="0" xfId="3" applyFont="1" applyAlignment="1">
      <alignment horizontal="right"/>
    </xf>
    <xf numFmtId="0" fontId="30" fillId="0" borderId="0" xfId="3" applyFont="1" applyAlignment="1">
      <alignment horizontal="left" vertical="center"/>
    </xf>
    <xf numFmtId="14" fontId="11" fillId="0" borderId="0" xfId="3" applyNumberFormat="1" applyFont="1"/>
    <xf numFmtId="179" fontId="12" fillId="0" borderId="0" xfId="3" applyNumberFormat="1" applyFont="1"/>
    <xf numFmtId="180" fontId="12" fillId="0" borderId="0" xfId="3" applyNumberFormat="1" applyFont="1"/>
    <xf numFmtId="37" fontId="25" fillId="0" borderId="0" xfId="3" applyNumberFormat="1" applyFont="1"/>
    <xf numFmtId="0" fontId="11" fillId="0" borderId="0" xfId="3" applyFont="1" applyAlignment="1">
      <alignment horizontal="left" indent="1"/>
    </xf>
    <xf numFmtId="0" fontId="10" fillId="0" borderId="0" xfId="3" applyFont="1" applyAlignment="1">
      <alignment horizontal="left"/>
    </xf>
    <xf numFmtId="181" fontId="12" fillId="0" borderId="0" xfId="3" applyNumberFormat="1" applyFont="1"/>
    <xf numFmtId="0" fontId="8" fillId="0" borderId="0" xfId="3" applyAlignment="1">
      <alignment horizontal="left" vertical="center" indent="1"/>
    </xf>
    <xf numFmtId="180" fontId="8" fillId="0" borderId="0" xfId="3" applyNumberFormat="1"/>
    <xf numFmtId="179" fontId="31" fillId="0" borderId="0" xfId="3" applyNumberFormat="1" applyFont="1"/>
    <xf numFmtId="0" fontId="10" fillId="0" borderId="0" xfId="3" applyFont="1" applyAlignment="1">
      <alignment vertical="center"/>
    </xf>
    <xf numFmtId="0" fontId="27" fillId="0" borderId="0" xfId="3" applyFont="1" applyAlignment="1">
      <alignment horizontal="right"/>
    </xf>
    <xf numFmtId="175" fontId="8" fillId="0" borderId="0" xfId="3" applyNumberFormat="1" applyAlignment="1">
      <alignment horizontal="right"/>
    </xf>
    <xf numFmtId="37" fontId="22" fillId="0" borderId="7" xfId="3" applyNumberFormat="1" applyFont="1" applyBorder="1" applyAlignment="1">
      <alignment horizontal="right"/>
    </xf>
    <xf numFmtId="37" fontId="8" fillId="0" borderId="0" xfId="3" applyNumberFormat="1" applyAlignment="1">
      <alignment horizontal="right"/>
    </xf>
    <xf numFmtId="182" fontId="8" fillId="0" borderId="0" xfId="3" applyNumberFormat="1" applyAlignment="1">
      <alignment horizontal="right"/>
    </xf>
    <xf numFmtId="0" fontId="11" fillId="2" borderId="0" xfId="3" applyFont="1" applyFill="1"/>
    <xf numFmtId="0" fontId="32" fillId="0" borderId="0" xfId="3" applyFont="1" applyAlignment="1">
      <alignment horizontal="centerContinuous"/>
    </xf>
    <xf numFmtId="0" fontId="27" fillId="0" borderId="9" xfId="3" applyFont="1" applyBorder="1" applyAlignment="1">
      <alignment horizontal="centerContinuous"/>
    </xf>
    <xf numFmtId="0" fontId="8" fillId="0" borderId="0" xfId="3" applyAlignment="1">
      <alignment horizontal="centerContinuous"/>
    </xf>
    <xf numFmtId="0" fontId="8" fillId="0" borderId="9" xfId="3" applyBorder="1" applyAlignment="1">
      <alignment horizontal="centerContinuous"/>
    </xf>
    <xf numFmtId="0" fontId="8" fillId="0" borderId="0" xfId="3" applyAlignment="1">
      <alignment horizontal="right"/>
    </xf>
    <xf numFmtId="166" fontId="12" fillId="3" borderId="11" xfId="3" applyNumberFormat="1" applyFont="1" applyFill="1" applyBorder="1"/>
    <xf numFmtId="177" fontId="8" fillId="0" borderId="12" xfId="3" applyNumberFormat="1" applyBorder="1" applyAlignment="1">
      <alignment horizontal="right"/>
    </xf>
    <xf numFmtId="183" fontId="8" fillId="0" borderId="0" xfId="3" applyNumberFormat="1"/>
    <xf numFmtId="183" fontId="8" fillId="0" borderId="9" xfId="3" applyNumberFormat="1" applyBorder="1"/>
    <xf numFmtId="177" fontId="8" fillId="0" borderId="0" xfId="3" applyNumberFormat="1" applyAlignment="1">
      <alignment horizontal="right"/>
    </xf>
    <xf numFmtId="166" fontId="12" fillId="3" borderId="14" xfId="3" applyNumberFormat="1" applyFont="1" applyFill="1" applyBorder="1" applyAlignment="1">
      <alignment horizontal="right"/>
    </xf>
    <xf numFmtId="0" fontId="29" fillId="2" borderId="0" xfId="3" applyFont="1" applyFill="1" applyAlignment="1">
      <alignment horizontal="center"/>
    </xf>
    <xf numFmtId="184" fontId="8" fillId="0" borderId="0" xfId="3" applyNumberFormat="1"/>
    <xf numFmtId="177" fontId="12" fillId="3" borderId="11" xfId="3" applyNumberFormat="1" applyFont="1" applyFill="1" applyBorder="1"/>
    <xf numFmtId="0" fontId="8" fillId="0" borderId="9" xfId="3" applyBorder="1"/>
    <xf numFmtId="0" fontId="10" fillId="4" borderId="0" xfId="3" applyFont="1" applyFill="1"/>
    <xf numFmtId="0" fontId="10" fillId="4" borderId="9" xfId="3" applyFont="1" applyFill="1" applyBorder="1"/>
    <xf numFmtId="185" fontId="8" fillId="0" borderId="0" xfId="3" applyNumberFormat="1"/>
    <xf numFmtId="0" fontId="8" fillId="0" borderId="10" xfId="3" applyBorder="1"/>
    <xf numFmtId="0" fontId="8" fillId="0" borderId="11" xfId="3" applyBorder="1" applyAlignment="1">
      <alignment horizontal="right"/>
    </xf>
    <xf numFmtId="0" fontId="8" fillId="0" borderId="13" xfId="3" applyBorder="1" applyAlignment="1">
      <alignment horizontal="right"/>
    </xf>
    <xf numFmtId="0" fontId="8" fillId="0" borderId="11" xfId="3" applyBorder="1"/>
    <xf numFmtId="0" fontId="8" fillId="0" borderId="15" xfId="3" applyBorder="1"/>
    <xf numFmtId="174" fontId="11" fillId="0" borderId="0" xfId="0" applyNumberFormat="1" applyFont="1"/>
    <xf numFmtId="0" fontId="29" fillId="0" borderId="7" xfId="3" applyFont="1" applyBorder="1"/>
    <xf numFmtId="0" fontId="11" fillId="0" borderId="7" xfId="3" applyFont="1" applyBorder="1"/>
    <xf numFmtId="0" fontId="29" fillId="0" borderId="7" xfId="3" applyFont="1" applyBorder="1" applyAlignment="1">
      <alignment horizontal="right"/>
    </xf>
    <xf numFmtId="0" fontId="30" fillId="0" borderId="0" xfId="3" applyFont="1" applyAlignment="1">
      <alignment horizontal="left"/>
    </xf>
    <xf numFmtId="0" fontId="10" fillId="0" borderId="6" xfId="3" applyFont="1" applyBorder="1"/>
    <xf numFmtId="0" fontId="10" fillId="0" borderId="10" xfId="3" applyFont="1" applyBorder="1"/>
    <xf numFmtId="185" fontId="11" fillId="0" borderId="0" xfId="3" applyNumberFormat="1" applyFont="1"/>
    <xf numFmtId="10" fontId="12" fillId="0" borderId="7" xfId="3" applyNumberFormat="1" applyFont="1" applyBorder="1"/>
    <xf numFmtId="10" fontId="11" fillId="0" borderId="0" xfId="3" applyNumberFormat="1" applyFont="1"/>
    <xf numFmtId="166" fontId="11" fillId="0" borderId="0" xfId="3" applyNumberFormat="1" applyFont="1"/>
    <xf numFmtId="0" fontId="8" fillId="0" borderId="6" xfId="3" applyBorder="1"/>
    <xf numFmtId="166" fontId="28" fillId="0" borderId="0" xfId="3" applyNumberFormat="1" applyFont="1" applyAlignment="1">
      <alignment horizontal="right"/>
    </xf>
    <xf numFmtId="9" fontId="12" fillId="0" borderId="0" xfId="3" applyNumberFormat="1" applyFont="1"/>
    <xf numFmtId="173" fontId="8" fillId="0" borderId="0" xfId="3" applyNumberFormat="1"/>
    <xf numFmtId="9" fontId="11" fillId="0" borderId="0" xfId="3" applyNumberFormat="1" applyFont="1"/>
    <xf numFmtId="0" fontId="10" fillId="0" borderId="11" xfId="3" applyFont="1" applyBorder="1"/>
    <xf numFmtId="173" fontId="10" fillId="0" borderId="13" xfId="3" applyNumberFormat="1" applyFont="1" applyBorder="1"/>
    <xf numFmtId="175" fontId="11" fillId="0" borderId="0" xfId="0" applyNumberFormat="1" applyFont="1"/>
    <xf numFmtId="14" fontId="0" fillId="0" borderId="0" xfId="0" applyNumberFormat="1"/>
    <xf numFmtId="167" fontId="19" fillId="0" borderId="0" xfId="1" applyNumberFormat="1" applyFont="1"/>
    <xf numFmtId="167" fontId="18" fillId="0" borderId="0" xfId="0" applyNumberFormat="1" applyFont="1"/>
    <xf numFmtId="186" fontId="0" fillId="0" borderId="6" xfId="0" applyNumberFormat="1" applyBorder="1" applyAlignment="1">
      <alignment horizontal="right"/>
    </xf>
    <xf numFmtId="186" fontId="0" fillId="0" borderId="12" xfId="0" applyNumberFormat="1" applyBorder="1"/>
    <xf numFmtId="177" fontId="33" fillId="3" borderId="11" xfId="3" applyNumberFormat="1" applyFont="1" applyFill="1" applyBorder="1"/>
    <xf numFmtId="0" fontId="0" fillId="0" borderId="16" xfId="0" quotePrefix="1" applyBorder="1"/>
    <xf numFmtId="39" fontId="0" fillId="0" borderId="0" xfId="0" applyNumberFormat="1"/>
    <xf numFmtId="39" fontId="0" fillId="0" borderId="17" xfId="0" applyNumberFormat="1" applyBorder="1"/>
    <xf numFmtId="0" fontId="0" fillId="0" borderId="16" xfId="0" applyBorder="1"/>
    <xf numFmtId="0" fontId="0" fillId="0" borderId="18" xfId="0" applyBorder="1"/>
    <xf numFmtId="39" fontId="0" fillId="0" borderId="6" xfId="0" applyNumberFormat="1" applyBorder="1"/>
    <xf numFmtId="39" fontId="11" fillId="0" borderId="6" xfId="0" applyNumberFormat="1" applyFont="1" applyBorder="1"/>
    <xf numFmtId="39" fontId="0" fillId="0" borderId="12" xfId="0" applyNumberFormat="1" applyBorder="1"/>
    <xf numFmtId="0" fontId="0" fillId="0" borderId="9" xfId="0" applyBorder="1"/>
    <xf numFmtId="39" fontId="11" fillId="0" borderId="0" xfId="0" applyNumberFormat="1" applyFont="1"/>
    <xf numFmtId="39" fontId="11" fillId="0" borderId="17" xfId="0" applyNumberFormat="1" applyFont="1" applyBorder="1"/>
    <xf numFmtId="0" fontId="0" fillId="0" borderId="19" xfId="0" applyBorder="1"/>
    <xf numFmtId="39" fontId="11" fillId="0" borderId="12" xfId="0" applyNumberFormat="1" applyFont="1" applyBorder="1"/>
    <xf numFmtId="187" fontId="10" fillId="0" borderId="20" xfId="3" applyNumberFormat="1" applyFont="1" applyBorder="1"/>
    <xf numFmtId="175" fontId="25" fillId="0" borderId="21" xfId="3" applyNumberFormat="1" applyFont="1" applyBorder="1"/>
    <xf numFmtId="9" fontId="9" fillId="0" borderId="21" xfId="2" applyBorder="1"/>
    <xf numFmtId="175" fontId="11" fillId="0" borderId="21" xfId="3" applyNumberFormat="1" applyFont="1" applyBorder="1"/>
    <xf numFmtId="173" fontId="25" fillId="0" borderId="21" xfId="3" applyNumberFormat="1" applyFont="1" applyBorder="1"/>
    <xf numFmtId="175" fontId="29" fillId="0" borderId="22" xfId="3" applyNumberFormat="1" applyFont="1" applyBorder="1"/>
    <xf numFmtId="176" fontId="10" fillId="0" borderId="23" xfId="3" applyNumberFormat="1" applyFont="1" applyBorder="1"/>
    <xf numFmtId="176" fontId="10" fillId="0" borderId="20" xfId="3" applyNumberFormat="1" applyFont="1" applyBorder="1"/>
    <xf numFmtId="14" fontId="23" fillId="0" borderId="5" xfId="3" applyNumberFormat="1" applyFont="1" applyBorder="1"/>
    <xf numFmtId="168" fontId="9" fillId="0" borderId="0" xfId="1" applyNumberFormat="1"/>
    <xf numFmtId="167" fontId="0" fillId="0" borderId="0" xfId="0" applyNumberFormat="1"/>
    <xf numFmtId="168" fontId="35" fillId="0" borderId="0" xfId="1" applyNumberFormat="1" applyFont="1"/>
    <xf numFmtId="175" fontId="12" fillId="0" borderId="0" xfId="3" applyNumberFormat="1" applyFont="1"/>
    <xf numFmtId="3" fontId="10" fillId="0" borderId="0" xfId="3" applyNumberFormat="1" applyFont="1"/>
    <xf numFmtId="14" fontId="12" fillId="0" borderId="0" xfId="3" applyNumberFormat="1" applyFont="1" applyAlignment="1">
      <alignment horizontal="left" vertical="center"/>
    </xf>
    <xf numFmtId="0" fontId="12" fillId="0" borderId="0" xfId="3" applyFont="1" applyAlignment="1">
      <alignment horizontal="left" vertical="center"/>
    </xf>
    <xf numFmtId="166" fontId="11" fillId="3" borderId="14" xfId="0" applyNumberFormat="1" applyFont="1" applyFill="1" applyBorder="1" applyAlignment="1">
      <alignment horizontal="right"/>
    </xf>
    <xf numFmtId="166" fontId="11" fillId="3" borderId="24" xfId="0" applyNumberFormat="1" applyFont="1" applyFill="1" applyBorder="1" applyAlignment="1">
      <alignment horizontal="right"/>
    </xf>
    <xf numFmtId="166" fontId="11" fillId="3" borderId="10" xfId="0" applyNumberFormat="1" applyFont="1" applyFill="1" applyBorder="1"/>
    <xf numFmtId="166" fontId="11" fillId="3" borderId="11" xfId="0" applyNumberFormat="1" applyFont="1" applyFill="1" applyBorder="1"/>
    <xf numFmtId="188" fontId="9" fillId="0" borderId="0" xfId="1" applyNumberFormat="1"/>
    <xf numFmtId="0" fontId="18" fillId="0" borderId="0" xfId="0" applyFont="1" applyAlignment="1">
      <alignment horizontal="left"/>
    </xf>
    <xf numFmtId="189" fontId="17" fillId="0" borderId="0" xfId="0" applyNumberFormat="1" applyFont="1"/>
    <xf numFmtId="164" fontId="18" fillId="0" borderId="0" xfId="0" applyNumberFormat="1" applyFont="1" applyAlignment="1">
      <alignment horizontal="center" vertical="center"/>
    </xf>
    <xf numFmtId="164" fontId="16" fillId="0" borderId="0" xfId="1" applyNumberFormat="1" applyFont="1"/>
    <xf numFmtId="164" fontId="13" fillId="0" borderId="0" xfId="0" applyNumberFormat="1" applyFont="1" applyAlignment="1">
      <alignment horizontal="center" vertical="center"/>
    </xf>
    <xf numFmtId="164" fontId="13" fillId="0" borderId="0" xfId="0" applyNumberFormat="1" applyFont="1"/>
    <xf numFmtId="164" fontId="19" fillId="0" borderId="0" xfId="1" applyNumberFormat="1" applyFont="1"/>
    <xf numFmtId="164" fontId="18" fillId="0" borderId="0" xfId="1" applyNumberFormat="1" applyFont="1"/>
    <xf numFmtId="164" fontId="16" fillId="0" borderId="0" xfId="0" applyNumberFormat="1" applyFont="1"/>
    <xf numFmtId="164" fontId="19" fillId="0" borderId="0" xfId="0" applyNumberFormat="1" applyFont="1" applyAlignment="1">
      <alignment horizontal="center" vertical="center"/>
    </xf>
    <xf numFmtId="9" fontId="9" fillId="0" borderId="0" xfId="2"/>
    <xf numFmtId="9" fontId="35" fillId="0" borderId="0" xfId="2" applyFont="1"/>
    <xf numFmtId="166" fontId="16" fillId="0" borderId="3" xfId="2" applyNumberFormat="1" applyFont="1" applyBorder="1"/>
    <xf numFmtId="166" fontId="11" fillId="0" borderId="0" xfId="0" applyNumberFormat="1" applyFont="1"/>
    <xf numFmtId="166" fontId="35" fillId="0" borderId="0" xfId="2" applyNumberFormat="1" applyFont="1"/>
    <xf numFmtId="167" fontId="18" fillId="0" borderId="0" xfId="0" applyNumberFormat="1" applyFont="1" applyAlignment="1">
      <alignment horizontal="center" vertical="center"/>
    </xf>
    <xf numFmtId="0" fontId="7" fillId="0" borderId="0" xfId="3" applyFont="1"/>
    <xf numFmtId="37" fontId="7" fillId="0" borderId="0" xfId="3" applyNumberFormat="1" applyFont="1" applyAlignment="1">
      <alignment horizontal="right"/>
    </xf>
    <xf numFmtId="168" fontId="18" fillId="0" borderId="0" xfId="0" applyNumberFormat="1" applyFont="1" applyAlignment="1">
      <alignment horizontal="center" vertical="center"/>
    </xf>
    <xf numFmtId="168" fontId="19" fillId="0" borderId="0" xfId="0" applyNumberFormat="1" applyFont="1" applyAlignment="1">
      <alignment horizontal="center" vertical="center"/>
    </xf>
    <xf numFmtId="168" fontId="19" fillId="0" borderId="0" xfId="1" applyNumberFormat="1" applyFont="1"/>
    <xf numFmtId="173" fontId="0" fillId="0" borderId="0" xfId="0" quotePrefix="1" applyNumberFormat="1"/>
    <xf numFmtId="166" fontId="11" fillId="3" borderId="25" xfId="0" applyNumberFormat="1" applyFont="1" applyFill="1" applyBorder="1"/>
    <xf numFmtId="177" fontId="11" fillId="0" borderId="0" xfId="3" applyNumberFormat="1" applyFont="1"/>
    <xf numFmtId="177" fontId="33" fillId="3" borderId="25" xfId="3" applyNumberFormat="1" applyFont="1" applyFill="1" applyBorder="1"/>
    <xf numFmtId="0" fontId="10" fillId="0" borderId="0" xfId="0" applyFont="1"/>
    <xf numFmtId="164" fontId="22" fillId="0" borderId="0" xfId="0" applyNumberFormat="1" applyFont="1"/>
    <xf numFmtId="166" fontId="13" fillId="0" borderId="0" xfId="2" applyNumberFormat="1" applyFont="1" applyAlignment="1">
      <alignment horizontal="left"/>
    </xf>
    <xf numFmtId="0" fontId="13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190" fontId="22" fillId="0" borderId="2" xfId="0" applyNumberFormat="1" applyFont="1" applyBorder="1"/>
    <xf numFmtId="190" fontId="6" fillId="0" borderId="2" xfId="0" applyNumberFormat="1" applyFont="1" applyBorder="1" applyAlignment="1">
      <alignment horizontal="center"/>
    </xf>
    <xf numFmtId="167" fontId="18" fillId="0" borderId="3" xfId="0" applyNumberFormat="1" applyFont="1" applyBorder="1" applyAlignment="1">
      <alignment horizontal="center" vertical="center"/>
    </xf>
    <xf numFmtId="14" fontId="23" fillId="0" borderId="0" xfId="0" applyNumberFormat="1" applyFont="1" applyAlignment="1">
      <alignment horizontal="left"/>
    </xf>
    <xf numFmtId="167" fontId="17" fillId="0" borderId="0" xfId="0" applyNumberFormat="1" applyFont="1"/>
    <xf numFmtId="191" fontId="0" fillId="0" borderId="0" xfId="0" applyNumberFormat="1" applyAlignment="1">
      <alignment horizontal="right"/>
    </xf>
    <xf numFmtId="182" fontId="0" fillId="0" borderId="0" xfId="0" applyNumberFormat="1" applyAlignment="1">
      <alignment horizontal="right"/>
    </xf>
    <xf numFmtId="168" fontId="17" fillId="0" borderId="0" xfId="1" applyNumberFormat="1" applyFont="1"/>
    <xf numFmtId="1" fontId="13" fillId="0" borderId="0" xfId="0" applyNumberFormat="1" applyFont="1"/>
    <xf numFmtId="1" fontId="13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horizontal="right" vertical="center"/>
    </xf>
    <xf numFmtId="0" fontId="37" fillId="0" borderId="0" xfId="0" applyFont="1" applyAlignment="1">
      <alignment horizontal="center"/>
    </xf>
    <xf numFmtId="166" fontId="17" fillId="0" borderId="0" xfId="2" applyNumberFormat="1" applyFont="1"/>
    <xf numFmtId="168" fontId="38" fillId="0" borderId="0" xfId="1" applyNumberFormat="1" applyFont="1" applyAlignment="1">
      <alignment horizontal="center" vertical="center"/>
    </xf>
    <xf numFmtId="0" fontId="13" fillId="0" borderId="6" xfId="0" applyFont="1" applyBorder="1"/>
    <xf numFmtId="190" fontId="5" fillId="0" borderId="2" xfId="0" applyNumberFormat="1" applyFont="1" applyBorder="1"/>
    <xf numFmtId="172" fontId="5" fillId="0" borderId="6" xfId="0" applyNumberFormat="1" applyFont="1" applyBorder="1"/>
    <xf numFmtId="0" fontId="16" fillId="0" borderId="0" xfId="0" applyFont="1" applyAlignment="1">
      <alignment horizontal="center" vertical="center"/>
    </xf>
    <xf numFmtId="172" fontId="5" fillId="0" borderId="2" xfId="0" applyNumberFormat="1" applyFont="1" applyBorder="1"/>
    <xf numFmtId="164" fontId="5" fillId="0" borderId="0" xfId="0" applyNumberFormat="1" applyFont="1"/>
    <xf numFmtId="164" fontId="16" fillId="0" borderId="0" xfId="0" applyNumberFormat="1" applyFont="1" applyAlignment="1">
      <alignment horizontal="center" vertical="center"/>
    </xf>
    <xf numFmtId="9" fontId="13" fillId="0" borderId="0" xfId="2" applyFont="1"/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18" fillId="0" borderId="0" xfId="0" applyFont="1" applyAlignment="1">
      <alignment horizontal="left" indent="1"/>
    </xf>
    <xf numFmtId="165" fontId="16" fillId="0" borderId="0" xfId="0" applyNumberFormat="1" applyFont="1"/>
    <xf numFmtId="1" fontId="17" fillId="0" borderId="0" xfId="0" applyNumberFormat="1" applyFont="1" applyAlignment="1">
      <alignment horizontal="right" vertical="center"/>
    </xf>
    <xf numFmtId="10" fontId="9" fillId="0" borderId="0" xfId="2" applyNumberFormat="1"/>
    <xf numFmtId="10" fontId="35" fillId="0" borderId="0" xfId="2" applyNumberFormat="1" applyFont="1"/>
    <xf numFmtId="185" fontId="41" fillId="0" borderId="7" xfId="3" applyNumberFormat="1" applyFont="1" applyBorder="1"/>
    <xf numFmtId="9" fontId="8" fillId="0" borderId="0" xfId="3" applyNumberFormat="1"/>
    <xf numFmtId="168" fontId="13" fillId="0" borderId="0" xfId="0" applyNumberFormat="1" applyFont="1" applyAlignment="1">
      <alignment horizontal="center" vertical="center"/>
    </xf>
    <xf numFmtId="168" fontId="0" fillId="0" borderId="0" xfId="0" applyNumberFormat="1"/>
    <xf numFmtId="177" fontId="12" fillId="0" borderId="0" xfId="3" applyNumberFormat="1" applyFont="1" applyAlignment="1">
      <alignment vertical="center"/>
    </xf>
    <xf numFmtId="192" fontId="9" fillId="0" borderId="0" xfId="1"/>
    <xf numFmtId="190" fontId="4" fillId="0" borderId="2" xfId="0" applyNumberFormat="1" applyFont="1" applyBorder="1"/>
    <xf numFmtId="166" fontId="12" fillId="0" borderId="0" xfId="3" applyNumberFormat="1" applyFont="1" applyAlignment="1">
      <alignment vertical="center"/>
    </xf>
    <xf numFmtId="0" fontId="0" fillId="0" borderId="0" xfId="0" applyAlignment="1">
      <alignment horizontal="centerContinuous"/>
    </xf>
    <xf numFmtId="0" fontId="0" fillId="0" borderId="26" xfId="0" applyBorder="1" applyAlignment="1">
      <alignment horizontal="centerContinuous"/>
    </xf>
    <xf numFmtId="173" fontId="0" fillId="5" borderId="0" xfId="0" applyNumberFormat="1" applyFill="1"/>
    <xf numFmtId="193" fontId="11" fillId="0" borderId="27" xfId="0" applyNumberFormat="1" applyFont="1" applyBorder="1"/>
    <xf numFmtId="180" fontId="12" fillId="0" borderId="28" xfId="0" applyNumberFormat="1" applyFont="1" applyBorder="1"/>
    <xf numFmtId="193" fontId="11" fillId="0" borderId="28" xfId="0" applyNumberFormat="1" applyFont="1" applyBorder="1"/>
    <xf numFmtId="10" fontId="11" fillId="0" borderId="29" xfId="0" applyNumberFormat="1" applyFont="1" applyBorder="1"/>
    <xf numFmtId="174" fontId="0" fillId="0" borderId="26" xfId="0" applyNumberFormat="1" applyBorder="1"/>
    <xf numFmtId="174" fontId="0" fillId="0" borderId="0" xfId="0" applyNumberFormat="1"/>
    <xf numFmtId="0" fontId="0" fillId="0" borderId="0" xfId="0" applyAlignment="1">
      <alignment horizontal="right"/>
    </xf>
    <xf numFmtId="10" fontId="12" fillId="0" borderId="29" xfId="0" applyNumberFormat="1" applyFont="1" applyBorder="1"/>
    <xf numFmtId="10" fontId="11" fillId="0" borderId="9" xfId="0" applyNumberFormat="1" applyFont="1" applyBorder="1"/>
    <xf numFmtId="0" fontId="12" fillId="2" borderId="30" xfId="0" applyFont="1" applyFill="1" applyBorder="1" applyAlignment="1">
      <alignment horizontal="right"/>
    </xf>
    <xf numFmtId="0" fontId="0" fillId="0" borderId="0" xfId="0" applyAlignment="1">
      <alignment horizontal="left" indent="1"/>
    </xf>
    <xf numFmtId="180" fontId="0" fillId="0" borderId="0" xfId="0" applyNumberFormat="1"/>
    <xf numFmtId="0" fontId="0" fillId="0" borderId="0" xfId="0" applyAlignment="1">
      <alignment wrapText="1"/>
    </xf>
    <xf numFmtId="0" fontId="0" fillId="0" borderId="31" xfId="0" applyBorder="1"/>
    <xf numFmtId="0" fontId="0" fillId="0" borderId="31" xfId="0" applyBorder="1" applyAlignment="1">
      <alignment wrapText="1"/>
    </xf>
    <xf numFmtId="37" fontId="0" fillId="0" borderId="0" xfId="0" applyNumberFormat="1"/>
    <xf numFmtId="173" fontId="0" fillId="0" borderId="0" xfId="0" applyNumberFormat="1"/>
    <xf numFmtId="39" fontId="12" fillId="0" borderId="0" xfId="0" applyNumberFormat="1" applyFont="1"/>
    <xf numFmtId="39" fontId="41" fillId="0" borderId="0" xfId="0" applyNumberFormat="1" applyFont="1"/>
    <xf numFmtId="173" fontId="41" fillId="0" borderId="0" xfId="0" applyNumberFormat="1" applyFont="1"/>
    <xf numFmtId="39" fontId="10" fillId="0" borderId="0" xfId="0" applyNumberFormat="1" applyFont="1"/>
    <xf numFmtId="194" fontId="33" fillId="0" borderId="0" xfId="0" applyNumberFormat="1" applyFont="1" applyAlignment="1">
      <alignment horizontal="right" vertical="center"/>
    </xf>
    <xf numFmtId="194" fontId="12" fillId="0" borderId="0" xfId="0" applyNumberFormat="1" applyFont="1" applyAlignment="1">
      <alignment horizontal="right" vertical="center"/>
    </xf>
    <xf numFmtId="194" fontId="12" fillId="0" borderId="0" xfId="0" applyNumberFormat="1" applyFont="1" applyAlignment="1">
      <alignment horizontal="center"/>
    </xf>
    <xf numFmtId="167" fontId="17" fillId="0" borderId="0" xfId="0" applyNumberFormat="1" applyFont="1" applyAlignment="1">
      <alignment horizontal="center" vertical="center"/>
    </xf>
    <xf numFmtId="0" fontId="8" fillId="0" borderId="0" xfId="3" applyAlignment="1">
      <alignment horizontal="center" vertical="center"/>
    </xf>
    <xf numFmtId="2" fontId="0" fillId="0" borderId="0" xfId="0" applyNumberFormat="1"/>
    <xf numFmtId="0" fontId="0" fillId="0" borderId="0" xfId="0" applyAlignment="1">
      <alignment horizontal="left"/>
    </xf>
    <xf numFmtId="168" fontId="16" fillId="0" borderId="0" xfId="1" applyNumberFormat="1" applyFont="1"/>
    <xf numFmtId="166" fontId="19" fillId="0" borderId="0" xfId="2" applyNumberFormat="1" applyFont="1" applyAlignment="1">
      <alignment horizontal="left"/>
    </xf>
    <xf numFmtId="166" fontId="42" fillId="0" borderId="0" xfId="2" applyNumberFormat="1" applyFont="1"/>
    <xf numFmtId="0" fontId="19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37" fontId="13" fillId="0" borderId="0" xfId="0" applyNumberFormat="1" applyFont="1" applyAlignment="1">
      <alignment horizontal="right" vertical="center"/>
    </xf>
    <xf numFmtId="37" fontId="16" fillId="0" borderId="0" xfId="1" applyNumberFormat="1" applyFont="1" applyAlignment="1">
      <alignment horizontal="right" vertical="center"/>
    </xf>
    <xf numFmtId="37" fontId="18" fillId="0" borderId="0" xfId="0" applyNumberFormat="1" applyFont="1" applyAlignment="1">
      <alignment horizontal="right" vertical="center"/>
    </xf>
    <xf numFmtId="37" fontId="18" fillId="0" borderId="0" xfId="1" applyNumberFormat="1" applyFont="1" applyAlignment="1">
      <alignment horizontal="right" vertical="center"/>
    </xf>
    <xf numFmtId="37" fontId="19" fillId="0" borderId="0" xfId="1" applyNumberFormat="1" applyFont="1" applyAlignment="1">
      <alignment horizontal="right" vertical="center"/>
    </xf>
    <xf numFmtId="37" fontId="22" fillId="0" borderId="0" xfId="0" applyNumberFormat="1" applyFont="1" applyAlignment="1">
      <alignment horizontal="right" vertical="center"/>
    </xf>
    <xf numFmtId="37" fontId="19" fillId="0" borderId="0" xfId="0" applyNumberFormat="1" applyFont="1" applyAlignment="1">
      <alignment horizontal="right" vertical="center"/>
    </xf>
    <xf numFmtId="0" fontId="10" fillId="0" borderId="4" xfId="7" applyFont="1" applyBorder="1"/>
    <xf numFmtId="0" fontId="3" fillId="0" borderId="4" xfId="7" applyBorder="1"/>
    <xf numFmtId="0" fontId="3" fillId="0" borderId="0" xfId="7"/>
    <xf numFmtId="0" fontId="43" fillId="0" borderId="0" xfId="0" applyFont="1"/>
    <xf numFmtId="14" fontId="38" fillId="0" borderId="0" xfId="0" applyNumberFormat="1" applyFont="1"/>
    <xf numFmtId="0" fontId="19" fillId="0" borderId="2" xfId="0" applyFont="1" applyBorder="1"/>
    <xf numFmtId="0" fontId="16" fillId="0" borderId="2" xfId="0" applyFont="1" applyBorder="1"/>
    <xf numFmtId="14" fontId="43" fillId="0" borderId="0" xfId="0" applyNumberFormat="1" applyFont="1"/>
    <xf numFmtId="196" fontId="44" fillId="0" borderId="0" xfId="0" applyNumberFormat="1" applyFont="1"/>
    <xf numFmtId="196" fontId="19" fillId="0" borderId="0" xfId="0" applyNumberFormat="1" applyFont="1"/>
    <xf numFmtId="196" fontId="19" fillId="0" borderId="32" xfId="0" applyNumberFormat="1" applyFont="1" applyBorder="1"/>
    <xf numFmtId="166" fontId="43" fillId="0" borderId="0" xfId="0" applyNumberFormat="1" applyFont="1"/>
    <xf numFmtId="197" fontId="16" fillId="0" borderId="0" xfId="0" applyNumberFormat="1" applyFont="1"/>
    <xf numFmtId="197" fontId="19" fillId="0" borderId="0" xfId="0" applyNumberFormat="1" applyFont="1"/>
    <xf numFmtId="196" fontId="16" fillId="0" borderId="0" xfId="0" applyNumberFormat="1" applyFont="1"/>
    <xf numFmtId="4" fontId="19" fillId="0" borderId="32" xfId="0" applyNumberFormat="1" applyFont="1" applyBorder="1"/>
    <xf numFmtId="177" fontId="22" fillId="0" borderId="0" xfId="7" applyNumberFormat="1" applyFont="1"/>
    <xf numFmtId="0" fontId="33" fillId="0" borderId="0" xfId="0" applyFont="1"/>
    <xf numFmtId="189" fontId="35" fillId="0" borderId="0" xfId="1" applyNumberFormat="1" applyFont="1"/>
    <xf numFmtId="189" fontId="19" fillId="0" borderId="0" xfId="1" applyNumberFormat="1" applyFont="1"/>
    <xf numFmtId="189" fontId="16" fillId="0" borderId="0" xfId="1" applyNumberFormat="1" applyFont="1"/>
    <xf numFmtId="189" fontId="17" fillId="0" borderId="0" xfId="1" applyNumberFormat="1" applyFont="1"/>
    <xf numFmtId="166" fontId="18" fillId="0" borderId="0" xfId="2" applyNumberFormat="1" applyFont="1" applyAlignment="1">
      <alignment horizontal="left"/>
    </xf>
    <xf numFmtId="166" fontId="39" fillId="0" borderId="0" xfId="2" applyNumberFormat="1" applyFont="1"/>
    <xf numFmtId="189" fontId="45" fillId="0" borderId="0" xfId="1" applyNumberFormat="1" applyFont="1"/>
    <xf numFmtId="198" fontId="9" fillId="0" borderId="0" xfId="2" applyNumberFormat="1"/>
    <xf numFmtId="41" fontId="17" fillId="0" borderId="0" xfId="1" applyNumberFormat="1" applyFont="1"/>
    <xf numFmtId="41" fontId="16" fillId="0" borderId="0" xfId="1" applyNumberFormat="1" applyFont="1"/>
    <xf numFmtId="41" fontId="19" fillId="0" borderId="3" xfId="1" applyNumberFormat="1" applyFont="1" applyBorder="1"/>
    <xf numFmtId="41" fontId="19" fillId="0" borderId="0" xfId="1" applyNumberFormat="1" applyFont="1"/>
    <xf numFmtId="199" fontId="13" fillId="0" borderId="0" xfId="0" applyNumberFormat="1" applyFont="1" applyAlignment="1">
      <alignment horizontal="right" vertical="center"/>
    </xf>
    <xf numFmtId="9" fontId="17" fillId="0" borderId="0" xfId="2" applyFont="1"/>
    <xf numFmtId="190" fontId="2" fillId="0" borderId="2" xfId="0" applyNumberFormat="1" applyFont="1" applyBorder="1"/>
    <xf numFmtId="0" fontId="22" fillId="0" borderId="0" xfId="0" applyFont="1"/>
    <xf numFmtId="172" fontId="2" fillId="0" borderId="0" xfId="0" applyNumberFormat="1" applyFont="1"/>
    <xf numFmtId="172" fontId="22" fillId="0" borderId="0" xfId="0" applyNumberFormat="1" applyFont="1"/>
    <xf numFmtId="174" fontId="41" fillId="0" borderId="7" xfId="3" applyNumberFormat="1" applyFont="1" applyBorder="1" applyAlignment="1">
      <alignment vertical="center"/>
    </xf>
    <xf numFmtId="37" fontId="41" fillId="0" borderId="0" xfId="0" applyNumberFormat="1" applyFont="1"/>
    <xf numFmtId="175" fontId="41" fillId="0" borderId="0" xfId="3" applyNumberFormat="1" applyFont="1"/>
    <xf numFmtId="37" fontId="33" fillId="0" borderId="0" xfId="0" applyNumberFormat="1" applyFont="1"/>
    <xf numFmtId="2" fontId="11" fillId="0" borderId="0" xfId="3" applyNumberFormat="1" applyFont="1"/>
    <xf numFmtId="196" fontId="17" fillId="0" borderId="0" xfId="0" applyNumberFormat="1" applyFont="1"/>
    <xf numFmtId="49" fontId="17" fillId="0" borderId="0" xfId="0" applyNumberFormat="1" applyFont="1"/>
    <xf numFmtId="49" fontId="17" fillId="0" borderId="0" xfId="0" applyNumberFormat="1" applyFont="1" applyAlignment="1">
      <alignment horizontal="left"/>
    </xf>
    <xf numFmtId="14" fontId="17" fillId="0" borderId="0" xfId="0" applyNumberFormat="1" applyFont="1"/>
    <xf numFmtId="4" fontId="17" fillId="0" borderId="0" xfId="0" applyNumberFormat="1" applyFont="1"/>
    <xf numFmtId="14" fontId="46" fillId="0" borderId="0" xfId="0" applyNumberFormat="1" applyFont="1"/>
    <xf numFmtId="0" fontId="48" fillId="0" borderId="0" xfId="0" applyFont="1"/>
    <xf numFmtId="193" fontId="48" fillId="0" borderId="0" xfId="0" applyNumberFormat="1" applyFont="1"/>
    <xf numFmtId="0" fontId="47" fillId="0" borderId="0" xfId="0" applyFont="1"/>
    <xf numFmtId="200" fontId="17" fillId="0" borderId="0" xfId="0" applyNumberFormat="1" applyFont="1"/>
    <xf numFmtId="166" fontId="8" fillId="0" borderId="0" xfId="3" applyNumberFormat="1"/>
    <xf numFmtId="10" fontId="8" fillId="0" borderId="0" xfId="3" applyNumberFormat="1"/>
    <xf numFmtId="0" fontId="1" fillId="0" borderId="0" xfId="3" applyFont="1"/>
    <xf numFmtId="166" fontId="18" fillId="0" borderId="0" xfId="2" applyNumberFormat="1" applyFont="1"/>
  </cellXfs>
  <cellStyles count="8">
    <cellStyle name="Comma" xfId="1" builtinId="3"/>
    <cellStyle name="Hyperlink" xfId="5" builtinId="8"/>
    <cellStyle name="Normal" xfId="0" builtinId="0"/>
    <cellStyle name="Normal 15" xfId="6" xr:uid="{00000000-0005-0000-0000-000006000000}"/>
    <cellStyle name="Normal 2" xfId="3" xr:uid="{00000000-0005-0000-0000-000003000000}"/>
    <cellStyle name="Normal 2 2" xfId="7" xr:uid="{DBAE67C8-160E-49AC-AF22-FF1456715B4B}"/>
    <cellStyle name="Normal_DCF_Model" xfId="4" xr:uid="{00000000-0005-0000-0000-000004000000}"/>
    <cellStyle name="Percent" xfId="2" builtinId="5"/>
  </cellStyles>
  <dxfs count="5">
    <dxf>
      <font>
        <b/>
      </font>
      <fill>
        <patternFill patternType="solid">
          <bgColor theme="2"/>
        </patternFill>
      </fill>
      <border>
        <left/>
        <right/>
        <top/>
        <bottom/>
      </border>
    </dxf>
    <dxf>
      <font>
        <b/>
        <color rgb="FF00B050"/>
      </font>
      <fill>
        <patternFill>
          <bgColor auto="1"/>
        </patternFill>
      </fill>
    </dxf>
    <dxf>
      <font>
        <b/>
        <color theme="5"/>
      </font>
      <fill>
        <patternFill>
          <bgColor auto="1"/>
        </patternFill>
      </fill>
    </dxf>
    <dxf>
      <font>
        <b/>
        <color rgb="FFFF0000"/>
      </font>
      <fill>
        <patternFill>
          <bgColor auto="1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F4F"/>
      <rgbColor rgb="FF222A3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 sz="1100"/>
            </a:pPr>
            <a:r>
              <a:rPr lang="en-US" sz="1100"/>
              <a:t>DCF Equity Valuation Range </a:t>
            </a:r>
          </a:p>
        </c:rich>
      </c:tx>
      <c:layout>
        <c:manualLayout>
          <c:xMode val="edge"/>
          <c:yMode val="edge"/>
          <c:x val="0.31291626892699842"/>
          <c:y val="0"/>
        </c:manualLayout>
      </c:layout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noFill/>
            <a:ln>
              <a:prstDash val="solid"/>
            </a:ln>
          </c:spPr>
          <c:invertIfNegative val="0"/>
          <c:dLbls>
            <c:spPr>
              <a:noFill/>
              <a:ln>
                <a:noFill/>
                <a:prstDash val="solid"/>
              </a:ln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DCF!$B$127:$B$129</c:f>
              <c:strCache>
                <c:ptCount val="3"/>
                <c:pt idx="0">
                  <c:v>DCF Value at 8.2x-10.2x Exit EBITDA Range at 26.5% WACC</c:v>
                </c:pt>
                <c:pt idx="1">
                  <c:v>DCF Value at 9.0%-11.0% Perpetuity Range at 26.5% WACC</c:v>
                </c:pt>
                <c:pt idx="2">
                  <c:v>52 Week Market High/Low</c:v>
                </c:pt>
              </c:strCache>
            </c:strRef>
          </c:cat>
          <c:val>
            <c:numRef>
              <c:f>DCF!$C$127:$C$129</c:f>
              <c:numCache>
                <c:formatCode>#,##0.00_);\(#,##0.00\)</c:formatCode>
                <c:ptCount val="3"/>
                <c:pt idx="0">
                  <c:v>10.11650374746462</c:v>
                </c:pt>
                <c:pt idx="1">
                  <c:v>7.3649151303276907</c:v>
                </c:pt>
                <c:pt idx="2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84-4A58-AA79-821BA5E6415D}"/>
            </c:ext>
          </c:extLst>
        </c:ser>
        <c:ser>
          <c:idx val="1"/>
          <c:order val="1"/>
          <c:spPr>
            <a:ln>
              <a:prstDash val="solid"/>
            </a:ln>
          </c:spPr>
          <c:invertIfNegative val="0"/>
          <c:cat>
            <c:strRef>
              <c:f>DCF!$B$127:$B$129</c:f>
              <c:strCache>
                <c:ptCount val="3"/>
                <c:pt idx="0">
                  <c:v>DCF Value at 8.2x-10.2x Exit EBITDA Range at 26.5% WACC</c:v>
                </c:pt>
                <c:pt idx="1">
                  <c:v>DCF Value at 9.0%-11.0% Perpetuity Range at 26.5% WACC</c:v>
                </c:pt>
                <c:pt idx="2">
                  <c:v>52 Week Market High/Low</c:v>
                </c:pt>
              </c:strCache>
            </c:strRef>
          </c:cat>
          <c:val>
            <c:numRef>
              <c:f>DCF!$D$127:$D$129</c:f>
              <c:numCache>
                <c:formatCode>#,##0.00_);\(#,##0.00\)</c:formatCode>
                <c:ptCount val="3"/>
                <c:pt idx="0">
                  <c:v>1.6348826221505828</c:v>
                </c:pt>
                <c:pt idx="1">
                  <c:v>0.64301040065047044</c:v>
                </c:pt>
                <c:pt idx="2">
                  <c:v>18.899999999999999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84-4A58-AA79-821BA5E6415D}"/>
            </c:ext>
          </c:extLst>
        </c:ser>
        <c:ser>
          <c:idx val="2"/>
          <c:order val="2"/>
          <c:spPr>
            <a:noFill/>
            <a:ln>
              <a:prstDash val="solid"/>
            </a:ln>
          </c:spPr>
          <c:invertIfNegative val="0"/>
          <c:dLbls>
            <c:spPr>
              <a:noFill/>
              <a:ln>
                <a:noFill/>
                <a:prstDash val="solid"/>
              </a:ln>
            </c:sp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DCF!$B$127:$B$129</c:f>
              <c:strCache>
                <c:ptCount val="3"/>
                <c:pt idx="0">
                  <c:v>DCF Value at 8.2x-10.2x Exit EBITDA Range at 26.5% WACC</c:v>
                </c:pt>
                <c:pt idx="1">
                  <c:v>DCF Value at 9.0%-11.0% Perpetuity Range at 26.5% WACC</c:v>
                </c:pt>
                <c:pt idx="2">
                  <c:v>52 Week Market High/Low</c:v>
                </c:pt>
              </c:strCache>
            </c:strRef>
          </c:cat>
          <c:val>
            <c:numRef>
              <c:f>DCF!$E$127:$E$129</c:f>
              <c:numCache>
                <c:formatCode>#,##0.00_);\(#,##0.00\)</c:formatCode>
                <c:ptCount val="3"/>
                <c:pt idx="0">
                  <c:v>11.751386369615203</c:v>
                </c:pt>
                <c:pt idx="1">
                  <c:v>8.0079255309781612</c:v>
                </c:pt>
                <c:pt idx="2">
                  <c:v>19.149999999999999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84-4A58-AA79-821BA5E64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9639680"/>
        <c:axId val="99641216"/>
      </c:barChart>
      <c:catAx>
        <c:axId val="996396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9641216"/>
        <c:crosses val="autoZero"/>
        <c:auto val="1"/>
        <c:lblAlgn val="ctr"/>
        <c:lblOffset val="100"/>
        <c:noMultiLvlLbl val="0"/>
      </c:catAx>
      <c:valAx>
        <c:axId val="99641216"/>
        <c:scaling>
          <c:orientation val="minMax"/>
          <c:max val="400"/>
          <c:min val="100"/>
        </c:scaling>
        <c:delete val="0"/>
        <c:axPos val="l"/>
        <c:numFmt formatCode="#,##0.00_);\(#,##0.00\)" sourceLinked="1"/>
        <c:majorTickMark val="out"/>
        <c:minorTickMark val="none"/>
        <c:tickLblPos val="nextTo"/>
        <c:crossAx val="9963968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 sz="1100"/>
            </a:pPr>
            <a:r>
              <a:rPr lang="en-US" sz="1100"/>
              <a:t>LTM EBITDA Multiple Range</a:t>
            </a:r>
          </a:p>
        </c:rich>
      </c:tx>
      <c:layout>
        <c:manualLayout>
          <c:xMode val="edge"/>
          <c:yMode val="edge"/>
          <c:x val="0.31291626892699842"/>
          <c:y val="0"/>
        </c:manualLayout>
      </c:layout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noFill/>
            <a:ln>
              <a:prstDash val="solid"/>
            </a:ln>
          </c:spPr>
          <c:invertIfNegative val="0"/>
          <c:dLbls>
            <c:spPr>
              <a:noFill/>
              <a:ln>
                <a:noFill/>
                <a:prstDash val="solid"/>
              </a:ln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DCF!$G$127:$G$129</c:f>
              <c:strCache>
                <c:ptCount val="3"/>
                <c:pt idx="0">
                  <c:v>LTM EBITDA Purchase Multiple at 9.0%-11.0% Perpetuity Growth at 26.5% WACC</c:v>
                </c:pt>
                <c:pt idx="1">
                  <c:v>LTM EBITDA Purchase Multiple at 9.2x-10.8x Exit EBITDA Multiple at 26.5% WACC</c:v>
                </c:pt>
                <c:pt idx="2">
                  <c:v>LTM EBITDA Purchase Multiple at 24.5%-28.5% WACC at 9.2x Exit EBITDA</c:v>
                </c:pt>
              </c:strCache>
            </c:strRef>
          </c:cat>
          <c:val>
            <c:numRef>
              <c:f>DCF!$O$127:$O$129</c:f>
              <c:numCache>
                <c:formatCode>#,##0.00_);\(#,##0.00\)</c:formatCode>
                <c:ptCount val="3"/>
                <c:pt idx="0">
                  <c:v>6.6760611170612201</c:v>
                </c:pt>
                <c:pt idx="1">
                  <c:v>9.2498607766981102</c:v>
                </c:pt>
                <c:pt idx="2">
                  <c:v>10.014484585328303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16-41BE-8998-F76B9C92BB2D}"/>
            </c:ext>
          </c:extLst>
        </c:ser>
        <c:ser>
          <c:idx val="1"/>
          <c:order val="1"/>
          <c:spPr>
            <a:solidFill>
              <a:schemeClr val="tx2"/>
            </a:solidFill>
            <a:ln>
              <a:prstDash val="solid"/>
            </a:ln>
          </c:spPr>
          <c:invertIfNegative val="0"/>
          <c:cat>
            <c:strRef>
              <c:f>DCF!$G$127:$G$129</c:f>
              <c:strCache>
                <c:ptCount val="3"/>
                <c:pt idx="0">
                  <c:v>LTM EBITDA Purchase Multiple at 9.0%-11.0% Perpetuity Growth at 26.5% WACC</c:v>
                </c:pt>
                <c:pt idx="1">
                  <c:v>LTM EBITDA Purchase Multiple at 9.2x-10.8x Exit EBITDA Multiple at 26.5% WACC</c:v>
                </c:pt>
                <c:pt idx="2">
                  <c:v>LTM EBITDA Purchase Multiple at 24.5%-28.5% WACC at 9.2x Exit EBITDA</c:v>
                </c:pt>
              </c:strCache>
            </c:strRef>
          </c:cat>
          <c:val>
            <c:numRef>
              <c:f>DCF!$P$127:$P$129</c:f>
              <c:numCache>
                <c:formatCode>#,##0.00_);\(#,##0.00\)</c:formatCode>
                <c:ptCount val="3"/>
                <c:pt idx="0">
                  <c:v>0.60146343825887527</c:v>
                </c:pt>
                <c:pt idx="1">
                  <c:v>1.5292476172603813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16-41BE-8998-F76B9C92BB2D}"/>
            </c:ext>
          </c:extLst>
        </c:ser>
        <c:ser>
          <c:idx val="2"/>
          <c:order val="2"/>
          <c:spPr>
            <a:noFill/>
            <a:ln>
              <a:prstDash val="solid"/>
            </a:ln>
          </c:spPr>
          <c:invertIfNegative val="0"/>
          <c:dLbls>
            <c:spPr>
              <a:noFill/>
              <a:ln>
                <a:noFill/>
                <a:prstDash val="solid"/>
              </a:ln>
            </c:sp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DCF!$G$127:$G$129</c:f>
              <c:strCache>
                <c:ptCount val="3"/>
                <c:pt idx="0">
                  <c:v>LTM EBITDA Purchase Multiple at 9.0%-11.0% Perpetuity Growth at 26.5% WACC</c:v>
                </c:pt>
                <c:pt idx="1">
                  <c:v>LTM EBITDA Purchase Multiple at 9.2x-10.8x Exit EBITDA Multiple at 26.5% WACC</c:v>
                </c:pt>
                <c:pt idx="2">
                  <c:v>LTM EBITDA Purchase Multiple at 24.5%-28.5% WACC at 9.2x Exit EBITDA</c:v>
                </c:pt>
              </c:strCache>
            </c:strRef>
          </c:cat>
          <c:val>
            <c:numRef>
              <c:f>DCF!$Q$127:$Q$129</c:f>
              <c:numCache>
                <c:formatCode>#,##0.00_);\(#,##0.00\)</c:formatCode>
                <c:ptCount val="3"/>
                <c:pt idx="0">
                  <c:v>7.2775245553200953</c:v>
                </c:pt>
                <c:pt idx="1">
                  <c:v>10.779108393958492</c:v>
                </c:pt>
                <c:pt idx="2">
                  <c:v>10.014484585328303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16-41BE-8998-F76B9C92B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9639680"/>
        <c:axId val="99641216"/>
      </c:barChart>
      <c:catAx>
        <c:axId val="996396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9641216"/>
        <c:crosses val="autoZero"/>
        <c:auto val="1"/>
        <c:lblAlgn val="ctr"/>
        <c:lblOffset val="100"/>
        <c:noMultiLvlLbl val="0"/>
      </c:catAx>
      <c:valAx>
        <c:axId val="99641216"/>
        <c:scaling>
          <c:orientation val="minMax"/>
          <c:max val="20"/>
          <c:min val="10"/>
        </c:scaling>
        <c:delete val="0"/>
        <c:axPos val="l"/>
        <c:numFmt formatCode="#,##0.0\x;\-#,##0.0\x" sourceLinked="0"/>
        <c:majorTickMark val="out"/>
        <c:minorTickMark val="none"/>
        <c:tickLblPos val="nextTo"/>
        <c:crossAx val="9963968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53578</xdr:colOff>
      <xdr:row>105</xdr:row>
      <xdr:rowOff>149424</xdr:rowOff>
    </xdr:from>
    <xdr:to>
      <xdr:col>4</xdr:col>
      <xdr:colOff>654844</xdr:colOff>
      <xdr:row>124</xdr:row>
      <xdr:rowOff>53578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47228</xdr:colOff>
      <xdr:row>105</xdr:row>
      <xdr:rowOff>149424</xdr:rowOff>
    </xdr:from>
    <xdr:to>
      <xdr:col>16</xdr:col>
      <xdr:colOff>1121</xdr:colOff>
      <xdr:row>124</xdr:row>
      <xdr:rowOff>47228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3"/>
  <sheetViews>
    <sheetView showGridLines="0" tabSelected="1" zoomScaleNormal="100" workbookViewId="0">
      <selection activeCell="G16" sqref="G16"/>
    </sheetView>
  </sheetViews>
  <sheetFormatPr defaultColWidth="9.140625" defaultRowHeight="15" x14ac:dyDescent="0.25"/>
  <cols>
    <col min="1" max="2" width="1.7109375" style="6" customWidth="1"/>
    <col min="3" max="3" width="66.42578125" style="6" bestFit="1" customWidth="1"/>
    <col min="4" max="4" width="17.140625" style="28" customWidth="1"/>
    <col min="5" max="11" width="17.140625" style="6" customWidth="1"/>
    <col min="12" max="12" width="2.7109375" style="6" customWidth="1"/>
    <col min="13" max="13" width="9.140625" style="6" customWidth="1"/>
    <col min="14" max="16384" width="9.140625" style="6"/>
  </cols>
  <sheetData>
    <row r="1" spans="3:11" ht="15" customHeight="1" thickBot="1" x14ac:dyDescent="0.3"/>
    <row r="2" spans="3:11" ht="15.75" customHeight="1" thickBot="1" x14ac:dyDescent="0.3">
      <c r="C2" s="2" t="str">
        <f>Company_Name&amp;" - Financial Statement Model"</f>
        <v>Gourmet Egypt - Financial Statement Model</v>
      </c>
      <c r="D2" s="8"/>
      <c r="E2" s="8"/>
      <c r="F2" s="8"/>
      <c r="G2" s="8"/>
      <c r="H2" s="8"/>
      <c r="I2" s="8"/>
      <c r="J2" s="8"/>
      <c r="K2" s="8"/>
    </row>
    <row r="3" spans="3:11" x14ac:dyDescent="0.25">
      <c r="C3" s="228" t="s">
        <v>100</v>
      </c>
      <c r="D3" s="9"/>
      <c r="E3" s="9"/>
      <c r="F3" s="9"/>
      <c r="G3" s="9"/>
      <c r="H3" s="9"/>
    </row>
    <row r="4" spans="3:11" ht="15" customHeight="1" x14ac:dyDescent="0.25"/>
    <row r="5" spans="3:11" x14ac:dyDescent="0.25">
      <c r="C5" s="3" t="s">
        <v>101</v>
      </c>
      <c r="D5" s="297" t="s">
        <v>282</v>
      </c>
    </row>
    <row r="6" spans="3:11" x14ac:dyDescent="0.25">
      <c r="C6" s="3" t="s">
        <v>102</v>
      </c>
      <c r="D6" s="4" t="s">
        <v>283</v>
      </c>
    </row>
    <row r="7" spans="3:11" x14ac:dyDescent="0.25">
      <c r="C7" s="6" t="s">
        <v>103</v>
      </c>
      <c r="D7" s="288">
        <v>17.03</v>
      </c>
    </row>
    <row r="8" spans="3:11" x14ac:dyDescent="0.25">
      <c r="C8" s="6" t="s">
        <v>104</v>
      </c>
      <c r="D8" s="5">
        <v>46274</v>
      </c>
    </row>
    <row r="9" spans="3:11" x14ac:dyDescent="0.25">
      <c r="C9" s="3" t="s">
        <v>105</v>
      </c>
      <c r="D9" s="5">
        <v>46022</v>
      </c>
    </row>
    <row r="10" spans="3:11" ht="15" customHeight="1" x14ac:dyDescent="0.25">
      <c r="C10" s="6" t="s">
        <v>56</v>
      </c>
      <c r="D10" s="238">
        <v>400000000</v>
      </c>
    </row>
    <row r="11" spans="3:11" ht="15" customHeight="1" x14ac:dyDescent="0.25"/>
    <row r="12" spans="3:11" x14ac:dyDescent="0.25">
      <c r="C12" s="38" t="s">
        <v>106</v>
      </c>
      <c r="D12" s="239"/>
      <c r="E12" s="39"/>
      <c r="F12" s="39"/>
      <c r="G12" s="39"/>
      <c r="H12" s="39"/>
      <c r="I12" s="39"/>
      <c r="J12" s="39"/>
      <c r="K12" s="39"/>
    </row>
    <row r="13" spans="3:11" x14ac:dyDescent="0.25">
      <c r="C13" t="s">
        <v>107</v>
      </c>
      <c r="D13" s="40">
        <f>E13-1</f>
        <v>2023</v>
      </c>
      <c r="E13" s="40">
        <f>F13-1</f>
        <v>2024</v>
      </c>
      <c r="F13" s="40">
        <f>YEAR(D9)</f>
        <v>2025</v>
      </c>
      <c r="G13" s="41">
        <f>F13+1</f>
        <v>2026</v>
      </c>
      <c r="H13" s="41">
        <f>G13+1</f>
        <v>2027</v>
      </c>
      <c r="I13" s="41">
        <f>H13+1</f>
        <v>2028</v>
      </c>
      <c r="J13" s="41">
        <f>I13+1</f>
        <v>2029</v>
      </c>
      <c r="K13" s="41">
        <f>J13+1</f>
        <v>2030</v>
      </c>
    </row>
    <row r="14" spans="3:11" x14ac:dyDescent="0.25">
      <c r="C14" s="42" t="s">
        <v>108</v>
      </c>
      <c r="D14" s="240">
        <f>EOMONTH(E14,-12)</f>
        <v>45291</v>
      </c>
      <c r="E14" s="225">
        <f>EOMONTH(F14,-12)</f>
        <v>45657</v>
      </c>
      <c r="F14" s="225">
        <f>D9</f>
        <v>46022</v>
      </c>
      <c r="G14" s="225">
        <f>EOMONTH(F14,12)</f>
        <v>46387</v>
      </c>
      <c r="H14" s="225">
        <f>EOMONTH(G14,12)</f>
        <v>46752</v>
      </c>
      <c r="I14" s="225">
        <f>EOMONTH(H14,12)</f>
        <v>47118</v>
      </c>
      <c r="J14" s="225">
        <f>EOMONTH(I14,12)</f>
        <v>47483</v>
      </c>
      <c r="K14" s="225">
        <f>EOMONTH(J14,12)</f>
        <v>47848</v>
      </c>
    </row>
    <row r="15" spans="3:11" ht="15" customHeight="1" x14ac:dyDescent="0.25"/>
    <row r="16" spans="3:11" ht="15" customHeight="1" x14ac:dyDescent="0.25">
      <c r="C16" s="6" t="s">
        <v>301</v>
      </c>
      <c r="D16" s="323">
        <v>1461003005</v>
      </c>
      <c r="E16" s="323">
        <v>2117799758</v>
      </c>
      <c r="F16" s="323">
        <v>2877655973</v>
      </c>
      <c r="G16" s="183">
        <f>G178</f>
        <v>3512241329.1259999</v>
      </c>
      <c r="H16" s="183">
        <f t="shared" ref="H16:K16" si="0">H178</f>
        <v>4145670431.9135056</v>
      </c>
      <c r="I16" s="183">
        <f t="shared" si="0"/>
        <v>4768537629.4373875</v>
      </c>
      <c r="J16" s="183">
        <f t="shared" si="0"/>
        <v>5341560854.4633684</v>
      </c>
      <c r="K16" s="183">
        <f t="shared" si="0"/>
        <v>5876369814.0254908</v>
      </c>
    </row>
    <row r="17" spans="3:11" ht="15" customHeight="1" x14ac:dyDescent="0.25">
      <c r="C17" s="6" t="s">
        <v>302</v>
      </c>
      <c r="D17" s="323">
        <v>-988835102</v>
      </c>
      <c r="E17" s="323">
        <v>-1426005686</v>
      </c>
      <c r="F17" s="323">
        <v>-1923541960</v>
      </c>
      <c r="G17" s="183">
        <f>-G16*(1-G39)</f>
        <v>-2363273540.7490873</v>
      </c>
      <c r="H17" s="183">
        <f t="shared" ref="H17:K17" si="1">-H16*(1-H39)</f>
        <v>-2789487487.4230356</v>
      </c>
      <c r="I17" s="183">
        <f t="shared" si="1"/>
        <v>-3208594669.8087702</v>
      </c>
      <c r="J17" s="183">
        <f t="shared" si="1"/>
        <v>-3594163455.9592361</v>
      </c>
      <c r="K17" s="183">
        <f t="shared" si="1"/>
        <v>-3954019099.4218755</v>
      </c>
    </row>
    <row r="18" spans="3:11" s="295" customFormat="1" ht="15" customHeight="1" x14ac:dyDescent="0.25">
      <c r="C18" s="294" t="s">
        <v>223</v>
      </c>
      <c r="D18" s="324">
        <f>SUM(D16:D17)</f>
        <v>472167903</v>
      </c>
      <c r="E18" s="324">
        <f t="shared" ref="E18:K18" si="2">SUM(E16:E17)</f>
        <v>691794072</v>
      </c>
      <c r="F18" s="324">
        <f>SUM(F16:F17)</f>
        <v>954114013</v>
      </c>
      <c r="G18" s="215">
        <f t="shared" si="2"/>
        <v>1148967788.3769126</v>
      </c>
      <c r="H18" s="215">
        <f t="shared" si="2"/>
        <v>1356182944.4904699</v>
      </c>
      <c r="I18" s="215">
        <f t="shared" si="2"/>
        <v>1559942959.6286173</v>
      </c>
      <c r="J18" s="215">
        <f t="shared" si="2"/>
        <v>1747397398.5041323</v>
      </c>
      <c r="K18" s="215">
        <f t="shared" si="2"/>
        <v>1922350714.6036153</v>
      </c>
    </row>
    <row r="19" spans="3:11" s="15" customFormat="1" ht="15" customHeight="1" x14ac:dyDescent="0.25">
      <c r="C19" s="222" t="s">
        <v>303</v>
      </c>
      <c r="D19" s="329">
        <f t="shared" ref="D19:E19" si="3">D56</f>
        <v>-312854249</v>
      </c>
      <c r="E19" s="329">
        <f t="shared" si="3"/>
        <v>-405834952</v>
      </c>
      <c r="F19" s="329">
        <f>F56</f>
        <v>-592354956</v>
      </c>
      <c r="G19" s="329">
        <f t="shared" ref="G19:K19" si="4">G56</f>
        <v>-691588775.47634792</v>
      </c>
      <c r="H19" s="329">
        <f t="shared" si="4"/>
        <v>-815569453.41305208</v>
      </c>
      <c r="I19" s="329">
        <f t="shared" si="4"/>
        <v>-937482856.30804324</v>
      </c>
      <c r="J19" s="329">
        <f t="shared" si="4"/>
        <v>-1049640329.9693545</v>
      </c>
      <c r="K19" s="329">
        <f t="shared" si="4"/>
        <v>-1154318149.6043308</v>
      </c>
    </row>
    <row r="20" spans="3:11" s="328" customFormat="1" ht="15" customHeight="1" x14ac:dyDescent="0.25">
      <c r="C20" s="327" t="s">
        <v>20</v>
      </c>
      <c r="D20" s="324">
        <f>SUM(D18:D19)</f>
        <v>159313654</v>
      </c>
      <c r="E20" s="324">
        <f t="shared" ref="E20:K20" si="5">SUM(E18:E19)</f>
        <v>285959120</v>
      </c>
      <c r="F20" s="324">
        <f>SUM(F18:F19)</f>
        <v>361759057</v>
      </c>
      <c r="G20" s="324">
        <f t="shared" si="5"/>
        <v>457379012.90056467</v>
      </c>
      <c r="H20" s="324">
        <f t="shared" si="5"/>
        <v>540613491.07741785</v>
      </c>
      <c r="I20" s="324">
        <f t="shared" si="5"/>
        <v>622460103.32057405</v>
      </c>
      <c r="J20" s="324">
        <f t="shared" si="5"/>
        <v>697757068.53477776</v>
      </c>
      <c r="K20" s="324">
        <f t="shared" si="5"/>
        <v>768032564.99928451</v>
      </c>
    </row>
    <row r="21" spans="3:11" s="15" customFormat="1" ht="15" customHeight="1" x14ac:dyDescent="0.25">
      <c r="C21" s="222" t="s">
        <v>305</v>
      </c>
      <c r="D21" s="323">
        <v>-45088086</v>
      </c>
      <c r="E21" s="323">
        <v>-43207268</v>
      </c>
      <c r="F21" s="323">
        <v>-41355878</v>
      </c>
      <c r="G21" s="183">
        <f>-G157</f>
        <v>-35411770.033024788</v>
      </c>
      <c r="H21" s="183">
        <f t="shared" ref="H21:K21" si="6">-H157</f>
        <v>-35348964.726810783</v>
      </c>
      <c r="I21" s="183">
        <f t="shared" si="6"/>
        <v>-45672897.207314245</v>
      </c>
      <c r="J21" s="183">
        <f t="shared" si="6"/>
        <v>-56459889.783929519</v>
      </c>
      <c r="K21" s="183">
        <f t="shared" si="6"/>
        <v>-67393060.431770548</v>
      </c>
    </row>
    <row r="22" spans="3:11" s="15" customFormat="1" ht="15" customHeight="1" x14ac:dyDescent="0.25">
      <c r="C22" s="222" t="s">
        <v>291</v>
      </c>
      <c r="D22" s="323">
        <v>-4505081</v>
      </c>
      <c r="E22" s="323">
        <v>-7108381</v>
      </c>
      <c r="F22" s="323">
        <v>-6938280</v>
      </c>
      <c r="G22" s="183">
        <f>G289</f>
        <v>-7000000</v>
      </c>
      <c r="H22" s="183">
        <f t="shared" ref="H22:K22" si="7">H289</f>
        <v>-5000000</v>
      </c>
      <c r="I22" s="183">
        <f t="shared" si="7"/>
        <v>-4000000</v>
      </c>
      <c r="J22" s="183">
        <f t="shared" si="7"/>
        <v>-3000000</v>
      </c>
      <c r="K22" s="183">
        <f t="shared" si="7"/>
        <v>-2000000</v>
      </c>
    </row>
    <row r="23" spans="3:11" s="15" customFormat="1" ht="15" customHeight="1" x14ac:dyDescent="0.25">
      <c r="C23" s="222" t="s">
        <v>293</v>
      </c>
      <c r="D23" s="323">
        <v>-33206271</v>
      </c>
      <c r="E23" s="323">
        <v>-36035425</v>
      </c>
      <c r="F23" s="323">
        <v>-36334900</v>
      </c>
      <c r="G23" s="183">
        <f>G277</f>
        <v>-44347530.999898404</v>
      </c>
      <c r="H23" s="183">
        <f t="shared" ref="H23:K23" si="8">H277</f>
        <v>-52345562.49595651</v>
      </c>
      <c r="I23" s="183">
        <f t="shared" si="8"/>
        <v>-60210233.446082793</v>
      </c>
      <c r="J23" s="183">
        <f t="shared" si="8"/>
        <v>-67445546.414119959</v>
      </c>
      <c r="K23" s="183">
        <f t="shared" si="8"/>
        <v>-74198344.610679701</v>
      </c>
    </row>
    <row r="24" spans="3:11" s="328" customFormat="1" ht="15" customHeight="1" x14ac:dyDescent="0.25">
      <c r="C24" s="327" t="s">
        <v>306</v>
      </c>
      <c r="D24" s="324">
        <f>SUM(D21:D23)</f>
        <v>-82799438</v>
      </c>
      <c r="E24" s="324">
        <f t="shared" ref="E24:K24" si="9">SUM(E21:E23)</f>
        <v>-86351074</v>
      </c>
      <c r="F24" s="324">
        <f t="shared" si="9"/>
        <v>-84629058</v>
      </c>
      <c r="G24" s="324">
        <f t="shared" si="9"/>
        <v>-86759301.032923192</v>
      </c>
      <c r="H24" s="324">
        <f t="shared" si="9"/>
        <v>-92694527.222767293</v>
      </c>
      <c r="I24" s="324">
        <f t="shared" si="9"/>
        <v>-109883130.65339704</v>
      </c>
      <c r="J24" s="324">
        <f t="shared" si="9"/>
        <v>-126905436.19804949</v>
      </c>
      <c r="K24" s="324">
        <f t="shared" si="9"/>
        <v>-143591405.04245025</v>
      </c>
    </row>
    <row r="25" spans="3:11" s="295" customFormat="1" ht="15" customHeight="1" x14ac:dyDescent="0.25">
      <c r="C25" s="294" t="s">
        <v>307</v>
      </c>
      <c r="D25" s="324">
        <f>D20+D24</f>
        <v>76514216</v>
      </c>
      <c r="E25" s="324">
        <f t="shared" ref="E25:K25" si="10">E20+E24</f>
        <v>199608046</v>
      </c>
      <c r="F25" s="324">
        <f t="shared" si="10"/>
        <v>277129999</v>
      </c>
      <c r="G25" s="324">
        <f t="shared" si="10"/>
        <v>370619711.86764145</v>
      </c>
      <c r="H25" s="324">
        <f t="shared" si="10"/>
        <v>447918963.85465056</v>
      </c>
      <c r="I25" s="324">
        <f t="shared" si="10"/>
        <v>512576972.66717702</v>
      </c>
      <c r="J25" s="324">
        <f t="shared" si="10"/>
        <v>570851632.33672833</v>
      </c>
      <c r="K25" s="324">
        <f t="shared" si="10"/>
        <v>624441159.95683432</v>
      </c>
    </row>
    <row r="26" spans="3:11" ht="15" customHeight="1" x14ac:dyDescent="0.25">
      <c r="C26" s="223" t="s">
        <v>224</v>
      </c>
      <c r="D26" s="323">
        <v>-47950964</v>
      </c>
      <c r="E26" s="323">
        <v>-55620920</v>
      </c>
      <c r="F26" s="323">
        <v>-37780877</v>
      </c>
      <c r="G26" s="257">
        <f>G233-G262</f>
        <v>-73218979.080862254</v>
      </c>
      <c r="H26" s="257">
        <f>H233</f>
        <v>-43415888.845260054</v>
      </c>
      <c r="I26" s="257">
        <f t="shared" ref="I26:K26" si="11">I233</f>
        <v>-49266506.285544701</v>
      </c>
      <c r="J26" s="257">
        <f t="shared" si="11"/>
        <v>-54648937.22323525</v>
      </c>
      <c r="K26" s="257">
        <f t="shared" si="11"/>
        <v>-59672419.979227819</v>
      </c>
    </row>
    <row r="27" spans="3:11" ht="15" customHeight="1" x14ac:dyDescent="0.25">
      <c r="C27" s="223" t="s">
        <v>296</v>
      </c>
      <c r="D27" s="323">
        <v>-435610</v>
      </c>
      <c r="E27" s="323">
        <v>8483341</v>
      </c>
      <c r="F27" s="323">
        <v>36040096</v>
      </c>
      <c r="G27" s="183">
        <f>G234</f>
        <v>42840526.260000005</v>
      </c>
      <c r="H27" s="183">
        <f t="shared" ref="H27:K27" si="12">H234</f>
        <v>60515162.8743269</v>
      </c>
      <c r="I27" s="183">
        <f t="shared" si="12"/>
        <v>71042087.962812796</v>
      </c>
      <c r="J27" s="183">
        <f t="shared" si="12"/>
        <v>75857526.614652425</v>
      </c>
      <c r="K27" s="183">
        <f t="shared" si="12"/>
        <v>91692291.647023886</v>
      </c>
    </row>
    <row r="28" spans="3:11" s="35" customFormat="1" ht="15" customHeight="1" x14ac:dyDescent="0.25">
      <c r="C28" s="296" t="s">
        <v>308</v>
      </c>
      <c r="D28" s="324">
        <f>SUM(D25:D27)</f>
        <v>28127642</v>
      </c>
      <c r="E28" s="324">
        <f>SUM(E25:E27)</f>
        <v>152470467</v>
      </c>
      <c r="F28" s="324">
        <f>SUM(F25:F27)</f>
        <v>275389218</v>
      </c>
      <c r="G28" s="324">
        <f t="shared" ref="G28:K28" si="13">SUM(G25:G27)</f>
        <v>340241259.04677916</v>
      </c>
      <c r="H28" s="324">
        <f t="shared" si="13"/>
        <v>465018237.88371736</v>
      </c>
      <c r="I28" s="324">
        <f t="shared" si="13"/>
        <v>534352554.34444511</v>
      </c>
      <c r="J28" s="324">
        <f t="shared" si="13"/>
        <v>592060221.72814548</v>
      </c>
      <c r="K28" s="324">
        <f t="shared" si="13"/>
        <v>656461031.62463045</v>
      </c>
    </row>
    <row r="29" spans="3:11" ht="15" customHeight="1" x14ac:dyDescent="0.25">
      <c r="C29" s="6" t="s">
        <v>297</v>
      </c>
      <c r="D29" s="323">
        <v>0</v>
      </c>
      <c r="E29" s="323">
        <v>-22336568</v>
      </c>
      <c r="F29" s="323">
        <v>-69211808</v>
      </c>
      <c r="G29" s="183">
        <f>G28*-G40</f>
        <v>-76554283.285525307</v>
      </c>
      <c r="H29" s="183">
        <f t="shared" ref="H29:K29" si="14">H28*-H40</f>
        <v>-104629103.5238364</v>
      </c>
      <c r="I29" s="183">
        <f t="shared" si="14"/>
        <v>-120229324.72750016</v>
      </c>
      <c r="J29" s="183">
        <f t="shared" si="14"/>
        <v>-133213549.88883273</v>
      </c>
      <c r="K29" s="183">
        <f t="shared" si="14"/>
        <v>-147703732.11554185</v>
      </c>
    </row>
    <row r="30" spans="3:11" ht="15" customHeight="1" x14ac:dyDescent="0.25">
      <c r="C30" s="6" t="s">
        <v>298</v>
      </c>
      <c r="D30" s="323">
        <v>3617966</v>
      </c>
      <c r="E30" s="323">
        <v>4907885</v>
      </c>
      <c r="F30" s="323">
        <v>5035222</v>
      </c>
      <c r="G30" s="183">
        <v>0</v>
      </c>
      <c r="H30" s="183">
        <f>G30</f>
        <v>0</v>
      </c>
      <c r="I30" s="183">
        <f t="shared" ref="I30:K30" si="15">H30</f>
        <v>0</v>
      </c>
      <c r="J30" s="183">
        <f t="shared" si="15"/>
        <v>0</v>
      </c>
      <c r="K30" s="183">
        <f t="shared" si="15"/>
        <v>0</v>
      </c>
    </row>
    <row r="31" spans="3:11" s="44" customFormat="1" ht="15" customHeight="1" x14ac:dyDescent="0.25">
      <c r="C31" s="44" t="s">
        <v>309</v>
      </c>
      <c r="D31" s="324">
        <f>SUM(D28:D30)</f>
        <v>31745608</v>
      </c>
      <c r="E31" s="324">
        <f t="shared" ref="E31:K31" si="16">SUM(E28:E30)</f>
        <v>135041784</v>
      </c>
      <c r="F31" s="324">
        <f t="shared" si="16"/>
        <v>211212632</v>
      </c>
      <c r="G31" s="324">
        <f t="shared" si="16"/>
        <v>263686975.76125383</v>
      </c>
      <c r="H31" s="324">
        <f t="shared" si="16"/>
        <v>360389134.35988092</v>
      </c>
      <c r="I31" s="324">
        <f t="shared" si="16"/>
        <v>414123229.61694497</v>
      </c>
      <c r="J31" s="324">
        <f t="shared" si="16"/>
        <v>458846671.83931273</v>
      </c>
      <c r="K31" s="324">
        <f t="shared" si="16"/>
        <v>508757299.50908864</v>
      </c>
    </row>
    <row r="32" spans="3:11" s="35" customFormat="1" ht="15" customHeight="1" x14ac:dyDescent="0.25">
      <c r="C32" s="35" t="s">
        <v>299</v>
      </c>
      <c r="D32" s="325">
        <f>D31-D33</f>
        <v>31745161</v>
      </c>
      <c r="E32" s="325">
        <f t="shared" ref="E32:K32" si="17">E31-E33</f>
        <v>135031718</v>
      </c>
      <c r="F32" s="325">
        <f t="shared" si="17"/>
        <v>211202869</v>
      </c>
      <c r="G32" s="293">
        <f t="shared" si="17"/>
        <v>263674787.21021888</v>
      </c>
      <c r="H32" s="293">
        <f t="shared" si="17"/>
        <v>360372475.89070964</v>
      </c>
      <c r="I32" s="293">
        <f t="shared" si="17"/>
        <v>414104087.36653852</v>
      </c>
      <c r="J32" s="293">
        <f t="shared" si="17"/>
        <v>458825462.31214219</v>
      </c>
      <c r="K32" s="293">
        <f t="shared" si="17"/>
        <v>508733782.93497056</v>
      </c>
    </row>
    <row r="33" spans="3:11" s="35" customFormat="1" ht="15" customHeight="1" x14ac:dyDescent="0.25">
      <c r="C33" s="35" t="s">
        <v>300</v>
      </c>
      <c r="D33" s="326">
        <v>447</v>
      </c>
      <c r="E33" s="326">
        <v>10066</v>
      </c>
      <c r="F33" s="326">
        <v>9763</v>
      </c>
      <c r="G33" s="293">
        <f>G249</f>
        <v>12188.551034945302</v>
      </c>
      <c r="H33" s="293">
        <f t="shared" ref="H33:K33" si="18">H249</f>
        <v>16658.46917127342</v>
      </c>
      <c r="I33" s="293">
        <f t="shared" si="18"/>
        <v>19142.25040645407</v>
      </c>
      <c r="J33" s="293">
        <f t="shared" si="18"/>
        <v>21209.527170549205</v>
      </c>
      <c r="K33" s="293">
        <f t="shared" si="18"/>
        <v>23516.574118101198</v>
      </c>
    </row>
    <row r="34" spans="3:11" ht="15" customHeight="1" x14ac:dyDescent="0.25">
      <c r="D34" s="14"/>
      <c r="E34" s="14"/>
      <c r="F34" s="14"/>
      <c r="G34" s="183"/>
      <c r="H34" s="183"/>
      <c r="I34" s="183"/>
      <c r="J34" s="183"/>
      <c r="K34" s="183"/>
    </row>
    <row r="35" spans="3:11" ht="15" customHeight="1" x14ac:dyDescent="0.25">
      <c r="C35" s="224" t="s">
        <v>110</v>
      </c>
      <c r="D35" s="15"/>
      <c r="E35" s="15"/>
      <c r="F35" s="15"/>
      <c r="G35" s="15"/>
      <c r="H35" s="15"/>
      <c r="I35" s="15"/>
      <c r="J35" s="15"/>
      <c r="K35" s="15"/>
    </row>
    <row r="36" spans="3:11" ht="15" customHeight="1" x14ac:dyDescent="0.25">
      <c r="C36" s="17"/>
      <c r="D36" s="14"/>
      <c r="E36" s="14"/>
      <c r="F36" s="14"/>
      <c r="G36" s="194"/>
      <c r="H36" s="14"/>
      <c r="I36" s="14"/>
      <c r="J36" s="14"/>
      <c r="K36" s="14"/>
    </row>
    <row r="37" spans="3:11" ht="15" customHeight="1" x14ac:dyDescent="0.25">
      <c r="C37" s="20" t="s">
        <v>111</v>
      </c>
      <c r="D37" s="21"/>
      <c r="E37" s="21"/>
      <c r="F37" s="14"/>
      <c r="H37" s="21"/>
      <c r="I37" s="21"/>
      <c r="J37" s="21"/>
      <c r="K37" s="21"/>
    </row>
    <row r="38" spans="3:11" ht="15" customHeight="1" x14ac:dyDescent="0.25">
      <c r="C38" s="17" t="s">
        <v>112</v>
      </c>
      <c r="D38" s="207">
        <f>D16/1098037388-1</f>
        <v>0.33055852283966125</v>
      </c>
      <c r="E38" s="207">
        <f>E16/D16-1</f>
        <v>0.44955195215358223</v>
      </c>
      <c r="F38" s="207">
        <f>F16/E16-1</f>
        <v>0.35879511843819945</v>
      </c>
      <c r="G38" s="207">
        <f t="shared" ref="G38:K38" si="19">G16/F16-1</f>
        <v>0.22052161970717954</v>
      </c>
      <c r="H38" s="207">
        <f t="shared" si="19"/>
        <v>0.18034896905706943</v>
      </c>
      <c r="I38" s="207">
        <f t="shared" si="19"/>
        <v>0.15024522758225789</v>
      </c>
      <c r="J38" s="207">
        <f t="shared" si="19"/>
        <v>0.12016749568852392</v>
      </c>
      <c r="K38" s="207">
        <f t="shared" si="19"/>
        <v>0.10012222534453397</v>
      </c>
    </row>
    <row r="39" spans="3:11" ht="15" customHeight="1" x14ac:dyDescent="0.25">
      <c r="C39" s="17" t="s">
        <v>113</v>
      </c>
      <c r="D39" s="22">
        <f>D18/D16</f>
        <v>0.32318065150043956</v>
      </c>
      <c r="E39" s="22">
        <f>E18/E16</f>
        <v>0.32665697943667438</v>
      </c>
      <c r="F39" s="22">
        <f>F18/F16</f>
        <v>0.33155944350266503</v>
      </c>
      <c r="G39" s="237">
        <f>AVERAGE(D39:F39)</f>
        <v>0.32713235814659297</v>
      </c>
      <c r="H39" s="237">
        <f>G39</f>
        <v>0.32713235814659297</v>
      </c>
      <c r="I39" s="237">
        <f t="shared" ref="I39:K39" si="20">H39</f>
        <v>0.32713235814659297</v>
      </c>
      <c r="J39" s="237">
        <f t="shared" si="20"/>
        <v>0.32713235814659297</v>
      </c>
      <c r="K39" s="237">
        <f t="shared" si="20"/>
        <v>0.32713235814659297</v>
      </c>
    </row>
    <row r="40" spans="3:11" ht="15" customHeight="1" x14ac:dyDescent="0.25">
      <c r="C40" s="17" t="s">
        <v>24</v>
      </c>
      <c r="D40" s="208"/>
      <c r="E40" s="208">
        <f t="shared" ref="E40:F40" si="21">-SUM(E29:E30)/E31</f>
        <v>0.12906140961526397</v>
      </c>
      <c r="F40" s="208">
        <f t="shared" si="21"/>
        <v>0.30384823763760493</v>
      </c>
      <c r="G40" s="237">
        <v>0.22500000000000001</v>
      </c>
      <c r="H40" s="237">
        <f>G40</f>
        <v>0.22500000000000001</v>
      </c>
      <c r="I40" s="237">
        <f t="shared" ref="I40:K40" si="22">H40</f>
        <v>0.22500000000000001</v>
      </c>
      <c r="J40" s="237">
        <f t="shared" si="22"/>
        <v>0.22500000000000001</v>
      </c>
      <c r="K40" s="237">
        <f t="shared" si="22"/>
        <v>0.22500000000000001</v>
      </c>
    </row>
    <row r="41" spans="3:11" ht="15" customHeight="1" x14ac:dyDescent="0.25">
      <c r="C41" s="17"/>
      <c r="D41" s="208"/>
      <c r="E41" s="208"/>
      <c r="F41" s="208"/>
      <c r="G41" s="237"/>
      <c r="H41" s="237"/>
      <c r="I41" s="237"/>
      <c r="J41" s="237"/>
      <c r="K41" s="237"/>
    </row>
    <row r="42" spans="3:11" ht="15" customHeight="1" x14ac:dyDescent="0.25">
      <c r="C42" s="38" t="s">
        <v>304</v>
      </c>
      <c r="D42" s="241"/>
      <c r="E42" s="45"/>
      <c r="F42" s="45"/>
      <c r="G42" s="39"/>
      <c r="H42" s="39"/>
      <c r="I42" s="39"/>
      <c r="J42" s="39"/>
      <c r="K42" s="39"/>
    </row>
    <row r="43" spans="3:11" ht="15" customHeight="1" x14ac:dyDescent="0.25">
      <c r="C43" t="s">
        <v>107</v>
      </c>
      <c r="D43" s="40">
        <f t="shared" ref="D43:K43" si="23">D$13</f>
        <v>2023</v>
      </c>
      <c r="E43" s="40">
        <f t="shared" si="23"/>
        <v>2024</v>
      </c>
      <c r="F43" s="40">
        <f t="shared" si="23"/>
        <v>2025</v>
      </c>
      <c r="G43" s="41">
        <f t="shared" si="23"/>
        <v>2026</v>
      </c>
      <c r="H43" s="41">
        <f t="shared" si="23"/>
        <v>2027</v>
      </c>
      <c r="I43" s="41">
        <f t="shared" si="23"/>
        <v>2028</v>
      </c>
      <c r="J43" s="41">
        <f t="shared" si="23"/>
        <v>2029</v>
      </c>
      <c r="K43" s="41">
        <f t="shared" si="23"/>
        <v>2030</v>
      </c>
    </row>
    <row r="44" spans="3:11" ht="15" customHeight="1" x14ac:dyDescent="0.25">
      <c r="C44" s="42" t="s">
        <v>108</v>
      </c>
      <c r="D44" s="240">
        <f t="shared" ref="D44:K44" si="24">D$14</f>
        <v>45291</v>
      </c>
      <c r="E44" s="225">
        <f t="shared" si="24"/>
        <v>45657</v>
      </c>
      <c r="F44" s="225">
        <f t="shared" si="24"/>
        <v>46022</v>
      </c>
      <c r="G44" s="225">
        <f t="shared" si="24"/>
        <v>46387</v>
      </c>
      <c r="H44" s="225">
        <f t="shared" si="24"/>
        <v>46752</v>
      </c>
      <c r="I44" s="225">
        <f t="shared" si="24"/>
        <v>47118</v>
      </c>
      <c r="J44" s="225">
        <f t="shared" si="24"/>
        <v>47483</v>
      </c>
      <c r="K44" s="225">
        <f t="shared" si="24"/>
        <v>47848</v>
      </c>
    </row>
    <row r="45" spans="3:11" ht="15" customHeight="1" x14ac:dyDescent="0.25">
      <c r="C45" s="17"/>
      <c r="D45" s="208"/>
      <c r="E45" s="208"/>
      <c r="F45" s="208"/>
      <c r="G45" s="237"/>
      <c r="H45" s="237"/>
      <c r="I45" s="237"/>
      <c r="J45" s="237"/>
      <c r="K45" s="237"/>
    </row>
    <row r="46" spans="3:11" ht="15" customHeight="1" x14ac:dyDescent="0.25">
      <c r="C46" s="223" t="s">
        <v>284</v>
      </c>
      <c r="D46" s="185">
        <v>-198930816</v>
      </c>
      <c r="E46" s="185">
        <v>-277108013</v>
      </c>
      <c r="F46" s="185">
        <v>-380179028</v>
      </c>
      <c r="G46" s="183">
        <f>-G$16*G58</f>
        <v>-467270581.05520725</v>
      </c>
      <c r="H46" s="183">
        <f t="shared" ref="H46:K46" si="25">-H$16*H58</f>
        <v>-551542348.61921167</v>
      </c>
      <c r="I46" s="183">
        <f t="shared" si="25"/>
        <v>-634408954.30875814</v>
      </c>
      <c r="J46" s="183">
        <f t="shared" si="25"/>
        <v>-710644289.59041679</v>
      </c>
      <c r="K46" s="183">
        <f t="shared" si="25"/>
        <v>-781795577.29259467</v>
      </c>
    </row>
    <row r="47" spans="3:11" ht="15" customHeight="1" x14ac:dyDescent="0.25">
      <c r="C47" s="223" t="s">
        <v>285</v>
      </c>
      <c r="D47" s="185">
        <v>-100840540</v>
      </c>
      <c r="E47" s="185">
        <v>-118109354</v>
      </c>
      <c r="F47" s="185">
        <v>-178280004</v>
      </c>
      <c r="G47" s="183">
        <f>-G$16*G59</f>
        <v>-218630570.66044587</v>
      </c>
      <c r="H47" s="183">
        <f t="shared" ref="H47:K47" si="26">-H$16*H59</f>
        <v>-258060368.68341607</v>
      </c>
      <c r="I47" s="183">
        <f t="shared" si="26"/>
        <v>-296832707.5062173</v>
      </c>
      <c r="J47" s="183">
        <f t="shared" si="26"/>
        <v>-332502350.60568351</v>
      </c>
      <c r="K47" s="183">
        <f t="shared" si="26"/>
        <v>-365793225.88061297</v>
      </c>
    </row>
    <row r="48" spans="3:11" ht="15" customHeight="1" x14ac:dyDescent="0.25">
      <c r="C48" s="223" t="s">
        <v>286</v>
      </c>
      <c r="D48" s="185">
        <v>-8029570</v>
      </c>
      <c r="E48" s="185">
        <v>-6779710</v>
      </c>
      <c r="F48" s="185">
        <v>-27973094</v>
      </c>
      <c r="G48" s="183">
        <v>0</v>
      </c>
      <c r="H48" s="183">
        <f t="shared" ref="H48:K48" si="27">G48</f>
        <v>0</v>
      </c>
      <c r="I48" s="183">
        <f t="shared" si="27"/>
        <v>0</v>
      </c>
      <c r="J48" s="183">
        <f t="shared" si="27"/>
        <v>0</v>
      </c>
      <c r="K48" s="183">
        <f t="shared" si="27"/>
        <v>0</v>
      </c>
    </row>
    <row r="49" spans="3:11" ht="15" customHeight="1" x14ac:dyDescent="0.25">
      <c r="C49" s="223" t="s">
        <v>287</v>
      </c>
      <c r="D49" s="185">
        <v>2955281</v>
      </c>
      <c r="E49" s="185">
        <v>29580</v>
      </c>
      <c r="F49" s="185">
        <v>0</v>
      </c>
      <c r="G49" s="183">
        <f>F49</f>
        <v>0</v>
      </c>
      <c r="H49" s="183">
        <f t="shared" ref="H49:K49" si="28">G49</f>
        <v>0</v>
      </c>
      <c r="I49" s="183">
        <f t="shared" si="28"/>
        <v>0</v>
      </c>
      <c r="J49" s="183">
        <f t="shared" si="28"/>
        <v>0</v>
      </c>
      <c r="K49" s="183">
        <f t="shared" si="28"/>
        <v>0</v>
      </c>
    </row>
    <row r="50" spans="3:11" ht="15" customHeight="1" x14ac:dyDescent="0.25">
      <c r="C50" s="223" t="s">
        <v>288</v>
      </c>
      <c r="D50" s="185">
        <v>0</v>
      </c>
      <c r="E50" s="185">
        <v>-510405</v>
      </c>
      <c r="F50" s="185">
        <v>-253835</v>
      </c>
      <c r="G50" s="183">
        <v>0</v>
      </c>
      <c r="H50" s="183">
        <f t="shared" ref="H50:K50" si="29">G50</f>
        <v>0</v>
      </c>
      <c r="I50" s="183">
        <f t="shared" si="29"/>
        <v>0</v>
      </c>
      <c r="J50" s="183">
        <f t="shared" si="29"/>
        <v>0</v>
      </c>
      <c r="K50" s="183">
        <f t="shared" si="29"/>
        <v>0</v>
      </c>
    </row>
    <row r="51" spans="3:11" ht="15" customHeight="1" x14ac:dyDescent="0.25">
      <c r="C51" s="223" t="s">
        <v>289</v>
      </c>
      <c r="D51" s="185">
        <v>90349</v>
      </c>
      <c r="E51" s="185">
        <v>0</v>
      </c>
      <c r="F51" s="185">
        <v>425517</v>
      </c>
      <c r="G51" s="183">
        <v>0</v>
      </c>
      <c r="H51" s="183">
        <f t="shared" ref="H51:K51" si="30">G51</f>
        <v>0</v>
      </c>
      <c r="I51" s="183">
        <f t="shared" si="30"/>
        <v>0</v>
      </c>
      <c r="J51" s="183">
        <f t="shared" si="30"/>
        <v>0</v>
      </c>
      <c r="K51" s="183">
        <f t="shared" si="30"/>
        <v>0</v>
      </c>
    </row>
    <row r="52" spans="3:11" ht="15" customHeight="1" x14ac:dyDescent="0.25">
      <c r="C52" s="223" t="s">
        <v>290</v>
      </c>
      <c r="D52" s="185">
        <v>-2268481</v>
      </c>
      <c r="E52" s="185">
        <v>0</v>
      </c>
      <c r="F52" s="185">
        <v>0</v>
      </c>
      <c r="G52" s="183">
        <v>0</v>
      </c>
      <c r="H52" s="183">
        <f t="shared" ref="H52:K52" si="31">G52</f>
        <v>0</v>
      </c>
      <c r="I52" s="183">
        <f t="shared" si="31"/>
        <v>0</v>
      </c>
      <c r="J52" s="183">
        <f t="shared" si="31"/>
        <v>0</v>
      </c>
      <c r="K52" s="183">
        <f t="shared" si="31"/>
        <v>0</v>
      </c>
    </row>
    <row r="53" spans="3:11" ht="15" customHeight="1" x14ac:dyDescent="0.25">
      <c r="C53" s="223" t="s">
        <v>292</v>
      </c>
      <c r="D53" s="185">
        <v>-4500000</v>
      </c>
      <c r="E53" s="185">
        <v>-3600000</v>
      </c>
      <c r="F53" s="185">
        <v>-4140000</v>
      </c>
      <c r="G53" s="183">
        <f>F53</f>
        <v>-4140000</v>
      </c>
      <c r="H53" s="183">
        <f t="shared" ref="H53:K53" si="32">G53</f>
        <v>-4140000</v>
      </c>
      <c r="I53" s="183">
        <f t="shared" si="32"/>
        <v>-4140000</v>
      </c>
      <c r="J53" s="183">
        <f t="shared" si="32"/>
        <v>-4140000</v>
      </c>
      <c r="K53" s="183">
        <f t="shared" si="32"/>
        <v>-4140000</v>
      </c>
    </row>
    <row r="54" spans="3:11" ht="15" customHeight="1" x14ac:dyDescent="0.25">
      <c r="C54" s="223" t="s">
        <v>294</v>
      </c>
      <c r="D54" s="185">
        <v>-1064549</v>
      </c>
      <c r="E54" s="185">
        <v>-22364</v>
      </c>
      <c r="F54" s="185">
        <v>-1676835</v>
      </c>
      <c r="G54" s="183">
        <f>-G$16*G60</f>
        <v>-1547623.7606947916</v>
      </c>
      <c r="H54" s="183">
        <f t="shared" ref="H54:K54" si="33">-H$16*H60</f>
        <v>-1826736.1104243221</v>
      </c>
      <c r="I54" s="183">
        <f t="shared" si="33"/>
        <v>-2101194.493067753</v>
      </c>
      <c r="J54" s="183">
        <f t="shared" si="33"/>
        <v>-2353689.7732542222</v>
      </c>
      <c r="K54" s="183">
        <f t="shared" si="33"/>
        <v>-2589346.4311231063</v>
      </c>
    </row>
    <row r="55" spans="3:11" ht="15" customHeight="1" x14ac:dyDescent="0.25">
      <c r="C55" s="223" t="s">
        <v>295</v>
      </c>
      <c r="D55" s="185">
        <v>-265923</v>
      </c>
      <c r="E55" s="185">
        <v>265314</v>
      </c>
      <c r="F55" s="185">
        <v>-277677</v>
      </c>
      <c r="G55" s="183">
        <v>0</v>
      </c>
      <c r="H55" s="183">
        <f t="shared" ref="H55:K55" si="34">G55</f>
        <v>0</v>
      </c>
      <c r="I55" s="183">
        <f t="shared" si="34"/>
        <v>0</v>
      </c>
      <c r="J55" s="183">
        <f t="shared" si="34"/>
        <v>0</v>
      </c>
      <c r="K55" s="183">
        <f t="shared" si="34"/>
        <v>0</v>
      </c>
    </row>
    <row r="56" spans="3:11" s="13" customFormat="1" ht="15" customHeight="1" x14ac:dyDescent="0.25">
      <c r="C56" s="195" t="s">
        <v>303</v>
      </c>
      <c r="D56" s="14">
        <f t="shared" ref="D56:G56" si="35">SUM(D46:D55)</f>
        <v>-312854249</v>
      </c>
      <c r="E56" s="14">
        <f t="shared" si="35"/>
        <v>-405834952</v>
      </c>
      <c r="F56" s="14">
        <f t="shared" si="35"/>
        <v>-592354956</v>
      </c>
      <c r="G56" s="14">
        <f t="shared" si="35"/>
        <v>-691588775.47634792</v>
      </c>
      <c r="H56" s="14">
        <f t="shared" ref="H56" si="36">SUM(H46:H55)</f>
        <v>-815569453.41305208</v>
      </c>
      <c r="I56" s="14">
        <f t="shared" ref="I56" si="37">SUM(I46:I55)</f>
        <v>-937482856.30804324</v>
      </c>
      <c r="J56" s="14">
        <f t="shared" ref="J56" si="38">SUM(J46:J55)</f>
        <v>-1049640329.9693545</v>
      </c>
      <c r="K56" s="14">
        <f t="shared" ref="K56" si="39">SUM(K46:K55)</f>
        <v>-1154318149.6043308</v>
      </c>
    </row>
    <row r="57" spans="3:11" ht="15" customHeight="1" x14ac:dyDescent="0.25">
      <c r="C57" s="17"/>
      <c r="D57" s="208"/>
      <c r="E57" s="208"/>
      <c r="F57" s="208"/>
      <c r="G57" s="237"/>
      <c r="H57" s="237"/>
      <c r="I57" s="237"/>
      <c r="J57" s="237"/>
      <c r="K57" s="237"/>
    </row>
    <row r="58" spans="3:11" s="330" customFormat="1" ht="15" customHeight="1" x14ac:dyDescent="0.25">
      <c r="C58" s="330" t="str">
        <f>C46&amp;" % of revenue"</f>
        <v>Selling and Marketing Expenses % of revenue</v>
      </c>
      <c r="D58" s="1">
        <f>-D46/D$16</f>
        <v>0.13616044273639258</v>
      </c>
      <c r="E58" s="1">
        <f t="shared" ref="E58:F58" si="40">-E46/E$16</f>
        <v>0.13084712657711051</v>
      </c>
      <c r="F58" s="1">
        <f t="shared" si="40"/>
        <v>0.13211413440907518</v>
      </c>
      <c r="G58" s="209">
        <f>AVERAGE(D58:F58)</f>
        <v>0.13304056790752608</v>
      </c>
      <c r="H58" s="209">
        <f>G58</f>
        <v>0.13304056790752608</v>
      </c>
      <c r="I58" s="209">
        <f t="shared" ref="I58:K58" si="41">H58</f>
        <v>0.13304056790752608</v>
      </c>
      <c r="J58" s="209">
        <f t="shared" si="41"/>
        <v>0.13304056790752608</v>
      </c>
      <c r="K58" s="209">
        <f t="shared" si="41"/>
        <v>0.13304056790752608</v>
      </c>
    </row>
    <row r="59" spans="3:11" s="330" customFormat="1" ht="15" customHeight="1" x14ac:dyDescent="0.25">
      <c r="C59" s="330" t="str">
        <f>C47&amp;" % of revenue"</f>
        <v>General and Administrative Expenses % of revenue</v>
      </c>
      <c r="D59" s="1">
        <f>-D47/D$16</f>
        <v>6.9021445989428332E-2</v>
      </c>
      <c r="E59" s="1">
        <f t="shared" ref="E59:F59" si="42">-E47/E$16</f>
        <v>5.5769840162574989E-2</v>
      </c>
      <c r="F59" s="1">
        <f t="shared" si="42"/>
        <v>6.1953202770844214E-2</v>
      </c>
      <c r="G59" s="209">
        <f>AVERAGE(D59:F59)</f>
        <v>6.2248162974282512E-2</v>
      </c>
      <c r="H59" s="209">
        <f>G59</f>
        <v>6.2248162974282512E-2</v>
      </c>
      <c r="I59" s="209">
        <f t="shared" ref="I59:K59" si="43">H59</f>
        <v>6.2248162974282512E-2</v>
      </c>
      <c r="J59" s="209">
        <f t="shared" si="43"/>
        <v>6.2248162974282512E-2</v>
      </c>
      <c r="K59" s="209">
        <f t="shared" si="43"/>
        <v>6.2248162974282512E-2</v>
      </c>
    </row>
    <row r="60" spans="3:11" s="330" customFormat="1" ht="15" customHeight="1" x14ac:dyDescent="0.25">
      <c r="C60" s="330" t="str">
        <f>C54&amp;" % of revenue"</f>
        <v>Expected Credit Loss (Trade &amp; Other Debtors) % of revenue</v>
      </c>
      <c r="D60" s="1">
        <f>-D54/D16</f>
        <v>7.2864258071803209E-4</v>
      </c>
      <c r="E60" s="1">
        <f>-E54/E16</f>
        <v>1.056001631670788E-5</v>
      </c>
      <c r="F60" s="1">
        <f>-F54/F16</f>
        <v>5.827086405508974E-4</v>
      </c>
      <c r="G60" s="209">
        <f>AVERAGE(D60:F60)</f>
        <v>4.4063707919521247E-4</v>
      </c>
      <c r="H60" s="209">
        <f>G60</f>
        <v>4.4063707919521247E-4</v>
      </c>
      <c r="I60" s="209">
        <f t="shared" ref="I60:K60" si="44">H60</f>
        <v>4.4063707919521247E-4</v>
      </c>
      <c r="J60" s="209">
        <f t="shared" si="44"/>
        <v>4.4063707919521247E-4</v>
      </c>
      <c r="K60" s="209">
        <f t="shared" si="44"/>
        <v>4.4063707919521247E-4</v>
      </c>
    </row>
    <row r="61" spans="3:11" ht="15" customHeight="1" x14ac:dyDescent="0.25">
      <c r="C61" s="17"/>
      <c r="D61" s="23"/>
      <c r="E61" s="23"/>
      <c r="F61" s="23"/>
      <c r="G61" s="23"/>
      <c r="H61" s="23"/>
      <c r="I61" s="23"/>
      <c r="J61" s="23"/>
      <c r="K61" s="23"/>
    </row>
    <row r="62" spans="3:11" x14ac:dyDescent="0.25">
      <c r="C62" s="38" t="s">
        <v>114</v>
      </c>
      <c r="D62" s="241"/>
      <c r="E62" s="45"/>
      <c r="F62" s="45"/>
      <c r="G62" s="39"/>
      <c r="H62" s="39"/>
      <c r="I62" s="39"/>
      <c r="J62" s="39"/>
      <c r="K62" s="39"/>
    </row>
    <row r="63" spans="3:11" x14ac:dyDescent="0.25">
      <c r="C63" t="s">
        <v>107</v>
      </c>
      <c r="D63" s="40">
        <f t="shared" ref="D63:K63" si="45">D$13</f>
        <v>2023</v>
      </c>
      <c r="E63" s="40">
        <f t="shared" si="45"/>
        <v>2024</v>
      </c>
      <c r="F63" s="40">
        <f t="shared" si="45"/>
        <v>2025</v>
      </c>
      <c r="G63" s="41">
        <f t="shared" si="45"/>
        <v>2026</v>
      </c>
      <c r="H63" s="41">
        <f t="shared" si="45"/>
        <v>2027</v>
      </c>
      <c r="I63" s="41">
        <f t="shared" si="45"/>
        <v>2028</v>
      </c>
      <c r="J63" s="41">
        <f t="shared" si="45"/>
        <v>2029</v>
      </c>
      <c r="K63" s="41">
        <f t="shared" si="45"/>
        <v>2030</v>
      </c>
    </row>
    <row r="64" spans="3:11" x14ac:dyDescent="0.25">
      <c r="C64" s="42" t="s">
        <v>108</v>
      </c>
      <c r="D64" s="240">
        <f t="shared" ref="D64:K64" si="46">D$14</f>
        <v>45291</v>
      </c>
      <c r="E64" s="225">
        <f t="shared" si="46"/>
        <v>45657</v>
      </c>
      <c r="F64" s="225">
        <f t="shared" si="46"/>
        <v>46022</v>
      </c>
      <c r="G64" s="225">
        <f t="shared" si="46"/>
        <v>46387</v>
      </c>
      <c r="H64" s="225">
        <f t="shared" si="46"/>
        <v>46752</v>
      </c>
      <c r="I64" s="225">
        <f t="shared" si="46"/>
        <v>47118</v>
      </c>
      <c r="J64" s="225">
        <f t="shared" si="46"/>
        <v>47483</v>
      </c>
      <c r="K64" s="225">
        <f t="shared" si="46"/>
        <v>47848</v>
      </c>
    </row>
    <row r="65" spans="3:11" s="35" customFormat="1" ht="15" customHeight="1" x14ac:dyDescent="0.25">
      <c r="C65" s="44" t="s">
        <v>115</v>
      </c>
    </row>
    <row r="66" spans="3:11" ht="15" customHeight="1" x14ac:dyDescent="0.25"/>
    <row r="67" spans="3:11" ht="15" customHeight="1" x14ac:dyDescent="0.25">
      <c r="C67" s="13" t="s">
        <v>116</v>
      </c>
    </row>
    <row r="68" spans="3:11" ht="15" customHeight="1" x14ac:dyDescent="0.25">
      <c r="C68" s="17" t="s">
        <v>321</v>
      </c>
      <c r="D68" s="10">
        <v>5100922</v>
      </c>
      <c r="E68" s="10">
        <v>15652146</v>
      </c>
      <c r="F68" s="10">
        <v>201661238</v>
      </c>
      <c r="G68" s="183">
        <f>F68</f>
        <v>201661238</v>
      </c>
      <c r="H68" s="183">
        <f t="shared" ref="H68:K68" si="47">G68</f>
        <v>201661238</v>
      </c>
      <c r="I68" s="183">
        <f t="shared" si="47"/>
        <v>201661238</v>
      </c>
      <c r="J68" s="183">
        <f t="shared" si="47"/>
        <v>201661238</v>
      </c>
      <c r="K68" s="183">
        <f t="shared" si="47"/>
        <v>201661238</v>
      </c>
    </row>
    <row r="69" spans="3:11" ht="15" customHeight="1" x14ac:dyDescent="0.25">
      <c r="C69" s="17" t="s">
        <v>322</v>
      </c>
      <c r="D69" s="10">
        <v>138912639</v>
      </c>
      <c r="E69" s="10">
        <v>208473803</v>
      </c>
      <c r="F69" s="10">
        <v>258826409</v>
      </c>
      <c r="G69" s="19">
        <f>G191</f>
        <v>331829223.09092742</v>
      </c>
      <c r="H69" s="19">
        <f t="shared" ref="H69:K69" si="48">H191</f>
        <v>391674281.37838453</v>
      </c>
      <c r="I69" s="19">
        <f t="shared" si="48"/>
        <v>450521472.92219722</v>
      </c>
      <c r="J69" s="19">
        <f t="shared" si="48"/>
        <v>504659510.07716274</v>
      </c>
      <c r="K69" s="19">
        <f t="shared" si="48"/>
        <v>555187143.26737046</v>
      </c>
    </row>
    <row r="70" spans="3:11" ht="15" customHeight="1" x14ac:dyDescent="0.25">
      <c r="C70" s="17" t="s">
        <v>323</v>
      </c>
      <c r="D70" s="10">
        <v>16938225</v>
      </c>
      <c r="E70" s="10">
        <v>27584770</v>
      </c>
      <c r="F70" s="10">
        <v>31142087</v>
      </c>
      <c r="G70" s="19">
        <f>G192</f>
        <v>38009590.466301903</v>
      </c>
      <c r="H70" s="19">
        <f t="shared" ref="H70:K70" si="49">H192</f>
        <v>44864580.921180867</v>
      </c>
      <c r="I70" s="19">
        <f t="shared" si="49"/>
        <v>51605270.09206631</v>
      </c>
      <c r="J70" s="19">
        <f t="shared" si="49"/>
        <v>57806546.163359798</v>
      </c>
      <c r="K70" s="19">
        <f t="shared" si="49"/>
        <v>63594266.204716906</v>
      </c>
    </row>
    <row r="71" spans="3:11" ht="15" customHeight="1" x14ac:dyDescent="0.25">
      <c r="C71" s="17" t="s">
        <v>324</v>
      </c>
      <c r="D71" s="10">
        <v>39168713</v>
      </c>
      <c r="E71" s="10">
        <v>51382391</v>
      </c>
      <c r="F71" s="10">
        <v>69499941</v>
      </c>
      <c r="G71" s="19">
        <f>G193</f>
        <v>84826180.558873415</v>
      </c>
      <c r="H71" s="19">
        <f t="shared" ref="H71:K71" si="50">H193</f>
        <v>100124494.77171507</v>
      </c>
      <c r="I71" s="19">
        <f t="shared" si="50"/>
        <v>115167722.27524999</v>
      </c>
      <c r="J71" s="19">
        <f t="shared" si="50"/>
        <v>129007139.04521821</v>
      </c>
      <c r="K71" s="19">
        <f t="shared" si="50"/>
        <v>141923620.89175716</v>
      </c>
    </row>
    <row r="72" spans="3:11" ht="15" customHeight="1" x14ac:dyDescent="0.25">
      <c r="C72" s="17" t="s">
        <v>325</v>
      </c>
      <c r="D72" s="10">
        <v>4251648</v>
      </c>
      <c r="E72" s="10">
        <v>3388601</v>
      </c>
      <c r="F72" s="10">
        <v>0</v>
      </c>
      <c r="G72" s="19">
        <f>G194</f>
        <v>0</v>
      </c>
      <c r="H72" s="19">
        <f t="shared" ref="H72:K72" si="51">H194</f>
        <v>0</v>
      </c>
      <c r="I72" s="19">
        <f t="shared" si="51"/>
        <v>0</v>
      </c>
      <c r="J72" s="19">
        <f t="shared" si="51"/>
        <v>0</v>
      </c>
      <c r="K72" s="19">
        <f t="shared" si="51"/>
        <v>0</v>
      </c>
    </row>
    <row r="73" spans="3:11" ht="15" customHeight="1" x14ac:dyDescent="0.25">
      <c r="C73" s="17" t="s">
        <v>326</v>
      </c>
      <c r="D73" s="10">
        <v>66602816</v>
      </c>
      <c r="E73" s="10">
        <v>77553111</v>
      </c>
      <c r="F73" s="10">
        <v>104342521</v>
      </c>
      <c r="G73" s="19">
        <f>G147</f>
        <v>302631785.95272416</v>
      </c>
      <c r="H73" s="19">
        <f t="shared" ref="H73:K73" si="52">H147</f>
        <v>508759641.62812793</v>
      </c>
      <c r="I73" s="19">
        <f t="shared" si="52"/>
        <v>690780251.58414614</v>
      </c>
      <c r="J73" s="19">
        <f t="shared" si="52"/>
        <v>877071604.90616322</v>
      </c>
      <c r="K73" s="19">
        <f t="shared" si="52"/>
        <v>1084166768.6536891</v>
      </c>
    </row>
    <row r="74" spans="3:11" ht="15" customHeight="1" x14ac:dyDescent="0.25">
      <c r="C74" s="11" t="s">
        <v>117</v>
      </c>
      <c r="D74" s="12">
        <f>SUM(D68:D73)</f>
        <v>270974963</v>
      </c>
      <c r="E74" s="12">
        <f t="shared" ref="E74:G74" si="53">SUM(E68:E73)</f>
        <v>384034822</v>
      </c>
      <c r="F74" s="12">
        <f t="shared" si="53"/>
        <v>665472196</v>
      </c>
      <c r="G74" s="12">
        <f t="shared" si="53"/>
        <v>958958018.06882691</v>
      </c>
      <c r="H74" s="12">
        <f t="shared" ref="H74" si="54">SUM(H68:H73)</f>
        <v>1247084236.6994085</v>
      </c>
      <c r="I74" s="12">
        <f t="shared" ref="I74" si="55">SUM(I68:I73)</f>
        <v>1509735954.8736596</v>
      </c>
      <c r="J74" s="12">
        <f t="shared" ref="J74" si="56">SUM(J68:J73)</f>
        <v>1770206038.1919041</v>
      </c>
      <c r="K74" s="12">
        <f t="shared" ref="K74" si="57">SUM(K68:K73)</f>
        <v>2046533037.0175338</v>
      </c>
    </row>
    <row r="75" spans="3:11" ht="15" customHeight="1" x14ac:dyDescent="0.25">
      <c r="E75" s="18"/>
      <c r="F75" s="18"/>
      <c r="G75" s="18"/>
      <c r="H75" s="18"/>
      <c r="I75" s="18"/>
      <c r="J75" s="18"/>
      <c r="K75" s="18"/>
    </row>
    <row r="76" spans="3:11" ht="15" customHeight="1" x14ac:dyDescent="0.25">
      <c r="C76" s="13" t="s">
        <v>118</v>
      </c>
      <c r="E76" s="18"/>
      <c r="F76" s="18"/>
      <c r="G76" s="18"/>
      <c r="H76" s="18"/>
      <c r="I76" s="18"/>
      <c r="J76" s="18"/>
      <c r="K76" s="18"/>
    </row>
    <row r="77" spans="3:11" ht="15" customHeight="1" x14ac:dyDescent="0.25">
      <c r="C77" s="24" t="s">
        <v>315</v>
      </c>
      <c r="D77" s="10">
        <v>174116983</v>
      </c>
      <c r="E77" s="10">
        <v>190534890</v>
      </c>
      <c r="F77" s="10">
        <v>163149183</v>
      </c>
      <c r="G77" s="19">
        <f>G158</f>
        <v>162859826.25823522</v>
      </c>
      <c r="H77" s="19">
        <f t="shared" ref="H77:K77" si="58">H158</f>
        <v>210424270.16969454</v>
      </c>
      <c r="I77" s="19">
        <f t="shared" si="58"/>
        <v>260122125.55112803</v>
      </c>
      <c r="J77" s="19">
        <f t="shared" si="58"/>
        <v>310493452.85646588</v>
      </c>
      <c r="K77" s="19">
        <f t="shared" si="58"/>
        <v>360627788.70520514</v>
      </c>
    </row>
    <row r="78" spans="3:11" ht="15" customHeight="1" x14ac:dyDescent="0.25">
      <c r="C78" s="17" t="s">
        <v>316</v>
      </c>
      <c r="D78" s="10">
        <v>27899321</v>
      </c>
      <c r="E78" s="10">
        <v>21004672</v>
      </c>
      <c r="F78" s="10">
        <v>14066392</v>
      </c>
      <c r="G78" s="19">
        <f>G290</f>
        <v>9066392</v>
      </c>
      <c r="H78" s="19">
        <f t="shared" ref="H78:K78" si="59">H290</f>
        <v>6066392</v>
      </c>
      <c r="I78" s="19">
        <f t="shared" si="59"/>
        <v>4066392</v>
      </c>
      <c r="J78" s="19">
        <f t="shared" si="59"/>
        <v>3066392</v>
      </c>
      <c r="K78" s="19">
        <f t="shared" si="59"/>
        <v>3066392</v>
      </c>
    </row>
    <row r="79" spans="3:11" ht="15" customHeight="1" x14ac:dyDescent="0.25">
      <c r="C79" s="17" t="s">
        <v>317</v>
      </c>
      <c r="D79" s="10">
        <v>142503563</v>
      </c>
      <c r="E79" s="10">
        <v>130756082</v>
      </c>
      <c r="F79" s="10">
        <v>136387942</v>
      </c>
      <c r="G79" s="19">
        <f>G278</f>
        <v>145407198.87958804</v>
      </c>
      <c r="H79" s="19">
        <f t="shared" ref="H79:K79" si="60">H278</f>
        <v>156053069.43907067</v>
      </c>
      <c r="I79" s="19">
        <f t="shared" si="60"/>
        <v>168298431.24357399</v>
      </c>
      <c r="J79" s="19">
        <f t="shared" si="60"/>
        <v>182015287.50992441</v>
      </c>
      <c r="K79" s="19">
        <f t="shared" si="60"/>
        <v>197105505.95039296</v>
      </c>
    </row>
    <row r="80" spans="3:11" ht="15" customHeight="1" x14ac:dyDescent="0.25">
      <c r="C80" s="17" t="s">
        <v>318</v>
      </c>
      <c r="D80" s="10">
        <v>255064</v>
      </c>
      <c r="E80" s="10">
        <v>5162949</v>
      </c>
      <c r="F80" s="10">
        <v>10198171</v>
      </c>
      <c r="G80" s="19">
        <f>F80</f>
        <v>10198171</v>
      </c>
      <c r="H80" s="19">
        <f t="shared" ref="H80:K80" si="61">G80</f>
        <v>10198171</v>
      </c>
      <c r="I80" s="19">
        <f t="shared" si="61"/>
        <v>10198171</v>
      </c>
      <c r="J80" s="19">
        <f t="shared" si="61"/>
        <v>10198171</v>
      </c>
      <c r="K80" s="19">
        <f t="shared" si="61"/>
        <v>10198171</v>
      </c>
    </row>
    <row r="81" spans="3:11" ht="15" customHeight="1" x14ac:dyDescent="0.25">
      <c r="C81" s="17" t="s">
        <v>319</v>
      </c>
      <c r="D81" s="10">
        <v>11802869</v>
      </c>
      <c r="E81" s="10">
        <v>10104432</v>
      </c>
      <c r="F81" s="10">
        <v>34362040</v>
      </c>
      <c r="G81" s="19">
        <f>F81</f>
        <v>34362040</v>
      </c>
      <c r="H81" s="19">
        <f t="shared" ref="H81:K81" si="62">G81</f>
        <v>34362040</v>
      </c>
      <c r="I81" s="19">
        <f t="shared" si="62"/>
        <v>34362040</v>
      </c>
      <c r="J81" s="19">
        <f t="shared" si="62"/>
        <v>34362040</v>
      </c>
      <c r="K81" s="19">
        <f t="shared" si="62"/>
        <v>34362040</v>
      </c>
    </row>
    <row r="82" spans="3:11" ht="15" customHeight="1" x14ac:dyDescent="0.25">
      <c r="C82" s="17" t="s">
        <v>320</v>
      </c>
      <c r="D82" s="10">
        <v>38905695</v>
      </c>
      <c r="E82" s="10">
        <v>38905695</v>
      </c>
      <c r="F82" s="10">
        <v>38905695</v>
      </c>
      <c r="G82" s="19">
        <f>F82</f>
        <v>38905695</v>
      </c>
      <c r="H82" s="19">
        <f t="shared" ref="H82:K82" si="63">G82</f>
        <v>38905695</v>
      </c>
      <c r="I82" s="19">
        <f t="shared" si="63"/>
        <v>38905695</v>
      </c>
      <c r="J82" s="19">
        <f t="shared" si="63"/>
        <v>38905695</v>
      </c>
      <c r="K82" s="19">
        <f t="shared" si="63"/>
        <v>38905695</v>
      </c>
    </row>
    <row r="83" spans="3:11" ht="15" customHeight="1" x14ac:dyDescent="0.25">
      <c r="C83" s="11" t="s">
        <v>119</v>
      </c>
      <c r="D83" s="12">
        <f>SUM(D77:D82)</f>
        <v>395483495</v>
      </c>
      <c r="E83" s="12">
        <f t="shared" ref="E83:G83" si="64">SUM(E77:E82)</f>
        <v>396468720</v>
      </c>
      <c r="F83" s="12">
        <f t="shared" si="64"/>
        <v>397069423</v>
      </c>
      <c r="G83" s="12">
        <f t="shared" si="64"/>
        <v>400799323.13782322</v>
      </c>
      <c r="H83" s="12">
        <f t="shared" ref="H83" si="65">SUM(H77:H82)</f>
        <v>456009637.60876524</v>
      </c>
      <c r="I83" s="12">
        <f t="shared" ref="I83" si="66">SUM(I77:I82)</f>
        <v>515952854.79470205</v>
      </c>
      <c r="J83" s="12">
        <f t="shared" ref="J83" si="67">SUM(J77:J82)</f>
        <v>579041038.36639023</v>
      </c>
      <c r="K83" s="12">
        <f t="shared" ref="K83" si="68">SUM(K77:K82)</f>
        <v>644265592.65559816</v>
      </c>
    </row>
    <row r="84" spans="3:11" ht="15" customHeight="1" x14ac:dyDescent="0.25">
      <c r="E84" s="19"/>
      <c r="F84" s="19"/>
      <c r="G84" s="19"/>
      <c r="H84" s="19"/>
      <c r="I84" s="19"/>
      <c r="J84" s="19"/>
      <c r="K84" s="19"/>
    </row>
    <row r="85" spans="3:11" ht="15" customHeight="1" x14ac:dyDescent="0.25">
      <c r="C85" s="13" t="s">
        <v>120</v>
      </c>
      <c r="D85" s="14">
        <f>D74+D83</f>
        <v>666458458</v>
      </c>
      <c r="E85" s="14">
        <f>E74+E83</f>
        <v>780503542</v>
      </c>
      <c r="F85" s="14">
        <f>F74+F83</f>
        <v>1062541619</v>
      </c>
      <c r="G85" s="14">
        <f>G74+G83</f>
        <v>1359757341.2066503</v>
      </c>
      <c r="H85" s="14">
        <f t="shared" ref="H85:K85" si="69">H74+H83</f>
        <v>1703093874.3081737</v>
      </c>
      <c r="I85" s="14">
        <f t="shared" si="69"/>
        <v>2025688809.6683617</v>
      </c>
      <c r="J85" s="14">
        <f t="shared" si="69"/>
        <v>2349247076.5582943</v>
      </c>
      <c r="K85" s="14">
        <f t="shared" si="69"/>
        <v>2690798629.6731319</v>
      </c>
    </row>
    <row r="86" spans="3:11" ht="15" customHeight="1" x14ac:dyDescent="0.25">
      <c r="E86" s="18"/>
      <c r="F86" s="18"/>
      <c r="G86" s="18"/>
      <c r="H86" s="18"/>
      <c r="I86" s="18"/>
      <c r="J86" s="18"/>
      <c r="K86" s="18"/>
    </row>
    <row r="87" spans="3:11" s="35" customFormat="1" ht="15" customHeight="1" x14ac:dyDescent="0.25">
      <c r="C87" s="44" t="s">
        <v>121</v>
      </c>
      <c r="D87" s="242"/>
      <c r="E87" s="46"/>
      <c r="F87" s="46"/>
      <c r="G87" s="214"/>
      <c r="H87" s="214"/>
      <c r="I87" s="214"/>
      <c r="J87" s="214"/>
      <c r="K87" s="214"/>
    </row>
    <row r="88" spans="3:11" ht="15" customHeight="1" x14ac:dyDescent="0.25">
      <c r="E88" s="18"/>
      <c r="F88" s="18"/>
      <c r="G88" s="18"/>
      <c r="H88" s="18"/>
      <c r="I88" s="18"/>
      <c r="J88" s="18"/>
      <c r="K88" s="18"/>
    </row>
    <row r="89" spans="3:11" ht="15" customHeight="1" x14ac:dyDescent="0.25">
      <c r="C89" s="13" t="s">
        <v>122</v>
      </c>
      <c r="E89" s="18"/>
      <c r="F89" s="18"/>
      <c r="G89" s="18"/>
      <c r="H89" s="18"/>
      <c r="I89" s="18"/>
      <c r="J89" s="18"/>
      <c r="K89" s="18"/>
    </row>
    <row r="90" spans="3:11" ht="15" customHeight="1" x14ac:dyDescent="0.25">
      <c r="C90" s="17" t="s">
        <v>334</v>
      </c>
      <c r="D90" s="10">
        <v>19153725</v>
      </c>
      <c r="E90" s="10">
        <v>18490310</v>
      </c>
      <c r="F90" s="10">
        <v>40944049</v>
      </c>
      <c r="G90" s="19">
        <f>F90</f>
        <v>40944049</v>
      </c>
      <c r="H90" s="19">
        <f t="shared" ref="H90:K90" si="70">G90</f>
        <v>40944049</v>
      </c>
      <c r="I90" s="19">
        <f t="shared" si="70"/>
        <v>40944049</v>
      </c>
      <c r="J90" s="19">
        <f t="shared" si="70"/>
        <v>40944049</v>
      </c>
      <c r="K90" s="19">
        <f t="shared" si="70"/>
        <v>40944049</v>
      </c>
    </row>
    <row r="91" spans="3:11" ht="15" customHeight="1" x14ac:dyDescent="0.25">
      <c r="C91" s="17" t="s">
        <v>335</v>
      </c>
      <c r="D91" s="10">
        <v>0</v>
      </c>
      <c r="E91" s="10">
        <v>22336568</v>
      </c>
      <c r="F91" s="10">
        <v>69211808</v>
      </c>
      <c r="G91" s="19">
        <f>G200</f>
        <v>76554283.285525307</v>
      </c>
      <c r="H91" s="19">
        <f t="shared" ref="H91:K91" si="71">H200</f>
        <v>104629103.5238364</v>
      </c>
      <c r="I91" s="19">
        <f t="shared" si="71"/>
        <v>120229324.72750016</v>
      </c>
      <c r="J91" s="19">
        <f t="shared" si="71"/>
        <v>133213549.88883273</v>
      </c>
      <c r="K91" s="19">
        <f t="shared" si="71"/>
        <v>147703732.11554185</v>
      </c>
    </row>
    <row r="92" spans="3:11" ht="15" customHeight="1" x14ac:dyDescent="0.25">
      <c r="C92" s="17" t="s">
        <v>336</v>
      </c>
      <c r="D92" s="10">
        <v>27922381</v>
      </c>
      <c r="E92" s="10">
        <v>26285124</v>
      </c>
      <c r="F92" s="10">
        <v>15935445</v>
      </c>
      <c r="G92" s="19">
        <f>F92</f>
        <v>15935445</v>
      </c>
      <c r="H92" s="19">
        <f t="shared" ref="H92:K92" si="72">G92</f>
        <v>15935445</v>
      </c>
      <c r="I92" s="19">
        <f t="shared" si="72"/>
        <v>15935445</v>
      </c>
      <c r="J92" s="19">
        <f t="shared" si="72"/>
        <v>15935445</v>
      </c>
      <c r="K92" s="19">
        <f t="shared" si="72"/>
        <v>15935445</v>
      </c>
    </row>
    <row r="93" spans="3:11" ht="15" customHeight="1" x14ac:dyDescent="0.25">
      <c r="C93" s="17" t="s">
        <v>337</v>
      </c>
      <c r="D93" s="10">
        <v>28819854</v>
      </c>
      <c r="E93" s="10">
        <v>31974757</v>
      </c>
      <c r="F93" s="10">
        <v>31685600</v>
      </c>
      <c r="G93" s="19">
        <f>G264*G265</f>
        <v>34317911.896731265</v>
      </c>
      <c r="H93" s="19">
        <f t="shared" ref="H93:K93" si="73">H264*H265</f>
        <v>37424958.530274667</v>
      </c>
      <c r="I93" s="19">
        <f t="shared" si="73"/>
        <v>40998824.092383496</v>
      </c>
      <c r="J93" s="19">
        <f t="shared" si="73"/>
        <v>45002152.129018411</v>
      </c>
      <c r="K93" s="19">
        <f t="shared" si="73"/>
        <v>49406302.277465366</v>
      </c>
    </row>
    <row r="94" spans="3:11" ht="15" customHeight="1" x14ac:dyDescent="0.25">
      <c r="C94" s="17" t="s">
        <v>338</v>
      </c>
      <c r="D94" s="10">
        <v>51401653</v>
      </c>
      <c r="E94" s="10">
        <v>1337751</v>
      </c>
      <c r="F94" s="10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</row>
    <row r="95" spans="3:11" ht="15" customHeight="1" x14ac:dyDescent="0.25">
      <c r="C95" s="17" t="s">
        <v>339</v>
      </c>
      <c r="D95" s="10">
        <v>157741673</v>
      </c>
      <c r="E95" s="10">
        <v>215771496</v>
      </c>
      <c r="F95" s="10">
        <v>242113642</v>
      </c>
      <c r="G95" s="19">
        <f>G198</f>
        <v>344016365.1439603</v>
      </c>
      <c r="H95" s="19">
        <f t="shared" ref="H95:K95" si="74">H198</f>
        <v>406059361.93643391</v>
      </c>
      <c r="I95" s="19">
        <f t="shared" si="74"/>
        <v>467067843.1824798</v>
      </c>
      <c r="J95" s="19">
        <f t="shared" si="74"/>
        <v>523194216.21435857</v>
      </c>
      <c r="K95" s="19">
        <f t="shared" si="74"/>
        <v>575577585.42912936</v>
      </c>
    </row>
    <row r="96" spans="3:11" ht="15" customHeight="1" x14ac:dyDescent="0.25">
      <c r="C96" s="17" t="s">
        <v>340</v>
      </c>
      <c r="D96" s="10">
        <v>30978907</v>
      </c>
      <c r="E96" s="10">
        <v>1030309</v>
      </c>
      <c r="F96" s="10">
        <v>3590464</v>
      </c>
      <c r="G96" s="19">
        <f>G201</f>
        <v>4382238.9367803186</v>
      </c>
      <c r="H96" s="19">
        <f t="shared" ref="H96:K96" si="75">H201</f>
        <v>5172571.2111903979</v>
      </c>
      <c r="I96" s="19">
        <f t="shared" si="75"/>
        <v>5949725.350001134</v>
      </c>
      <c r="J96" s="19">
        <f t="shared" si="75"/>
        <v>6664688.9453452965</v>
      </c>
      <c r="K96" s="19">
        <f t="shared" si="75"/>
        <v>7331972.4337823819</v>
      </c>
    </row>
    <row r="97" spans="3:12" ht="15" customHeight="1" x14ac:dyDescent="0.25">
      <c r="C97" s="17" t="s">
        <v>341</v>
      </c>
      <c r="D97" s="10">
        <v>88281718</v>
      </c>
      <c r="E97" s="10">
        <v>104670165</v>
      </c>
      <c r="F97" s="10">
        <v>216739864</v>
      </c>
      <c r="G97" s="19">
        <f>G199</f>
        <v>264535689.86439386</v>
      </c>
      <c r="H97" s="19">
        <f t="shared" ref="H97:K97" si="76">H199</f>
        <v>312244428.81023794</v>
      </c>
      <c r="I97" s="19">
        <f t="shared" si="76"/>
        <v>359157664.07812428</v>
      </c>
      <c r="J97" s="19">
        <f t="shared" si="76"/>
        <v>402316741.12773257</v>
      </c>
      <c r="K97" s="19">
        <f t="shared" si="76"/>
        <v>442597588.54280192</v>
      </c>
    </row>
    <row r="98" spans="3:12" ht="15" customHeight="1" x14ac:dyDescent="0.25">
      <c r="C98" s="11" t="s">
        <v>123</v>
      </c>
      <c r="D98" s="12">
        <f>SUM(D90:D97)</f>
        <v>404299911</v>
      </c>
      <c r="E98" s="12">
        <f t="shared" ref="E98:G98" si="77">SUM(E90:E97)</f>
        <v>421896480</v>
      </c>
      <c r="F98" s="12">
        <f t="shared" si="77"/>
        <v>620220872</v>
      </c>
      <c r="G98" s="12">
        <f t="shared" si="77"/>
        <v>780685983.1273911</v>
      </c>
      <c r="H98" s="12">
        <f t="shared" ref="H98" si="78">SUM(H90:H97)</f>
        <v>922409918.01197338</v>
      </c>
      <c r="I98" s="12">
        <f t="shared" ref="I98" si="79">SUM(I90:I97)</f>
        <v>1050282875.4304888</v>
      </c>
      <c r="J98" s="12">
        <f t="shared" ref="J98" si="80">SUM(J90:J97)</f>
        <v>1167270842.3052876</v>
      </c>
      <c r="K98" s="12">
        <f t="shared" ref="K98" si="81">SUM(K90:K97)</f>
        <v>1279496674.7987208</v>
      </c>
      <c r="L98" s="18"/>
    </row>
    <row r="99" spans="3:12" ht="15" customHeight="1" x14ac:dyDescent="0.25">
      <c r="D99" s="252"/>
      <c r="E99" s="252"/>
      <c r="F99" s="252"/>
      <c r="G99" s="253"/>
      <c r="H99" s="253"/>
      <c r="I99" s="253"/>
      <c r="J99" s="253"/>
      <c r="K99" s="253"/>
    </row>
    <row r="100" spans="3:12" ht="15" customHeight="1" x14ac:dyDescent="0.25">
      <c r="C100" s="13" t="s">
        <v>124</v>
      </c>
      <c r="E100" s="18"/>
      <c r="F100" s="18"/>
      <c r="G100" s="18"/>
      <c r="H100" s="18"/>
      <c r="I100" s="18"/>
      <c r="J100" s="18"/>
      <c r="K100" s="18"/>
    </row>
    <row r="101" spans="3:12" ht="15" customHeight="1" x14ac:dyDescent="0.25">
      <c r="C101" s="17" t="s">
        <v>331</v>
      </c>
      <c r="D101" s="10">
        <v>48662296</v>
      </c>
      <c r="E101" s="10">
        <v>22377172</v>
      </c>
      <c r="F101" s="10">
        <v>6441727</v>
      </c>
      <c r="G101" s="19">
        <f>F101</f>
        <v>6441727</v>
      </c>
      <c r="H101" s="19">
        <f t="shared" ref="H101:K101" si="82">G101</f>
        <v>6441727</v>
      </c>
      <c r="I101" s="19">
        <f t="shared" si="82"/>
        <v>6441727</v>
      </c>
      <c r="J101" s="19">
        <f t="shared" si="82"/>
        <v>6441727</v>
      </c>
      <c r="K101" s="19">
        <f t="shared" si="82"/>
        <v>6441727</v>
      </c>
    </row>
    <row r="102" spans="3:12" ht="15" customHeight="1" x14ac:dyDescent="0.25">
      <c r="C102" s="17" t="s">
        <v>332</v>
      </c>
      <c r="D102" s="10">
        <v>148674513</v>
      </c>
      <c r="E102" s="10">
        <v>140921789</v>
      </c>
      <c r="F102" s="10">
        <v>151279852</v>
      </c>
      <c r="G102" s="19">
        <f>G264*(1-G265)</f>
        <v>163847572.16800514</v>
      </c>
      <c r="H102" s="19">
        <f t="shared" ref="H102:K102" si="83">H264*(1-H265)</f>
        <v>178681867.7117078</v>
      </c>
      <c r="I102" s="19">
        <f t="shared" si="83"/>
        <v>195744945.36539656</v>
      </c>
      <c r="J102" s="19">
        <f t="shared" si="83"/>
        <v>214858450.32946795</v>
      </c>
      <c r="K102" s="19">
        <f t="shared" si="83"/>
        <v>235885641.94467589</v>
      </c>
    </row>
    <row r="103" spans="3:12" ht="15" customHeight="1" x14ac:dyDescent="0.25">
      <c r="C103" s="17" t="s">
        <v>333</v>
      </c>
      <c r="D103" s="10">
        <v>15092078</v>
      </c>
      <c r="E103" s="10">
        <v>12222226</v>
      </c>
      <c r="F103" s="10">
        <v>10000008</v>
      </c>
      <c r="G103" s="19">
        <f>F103-2222220</f>
        <v>7777788</v>
      </c>
      <c r="H103" s="19">
        <f t="shared" ref="H103:K103" si="84">G103-2222220</f>
        <v>5555568</v>
      </c>
      <c r="I103" s="19">
        <f t="shared" si="84"/>
        <v>3333348</v>
      </c>
      <c r="J103" s="19">
        <f t="shared" si="84"/>
        <v>1111128</v>
      </c>
      <c r="K103" s="19">
        <f t="shared" si="84"/>
        <v>-1111092</v>
      </c>
    </row>
    <row r="104" spans="3:12" ht="15" customHeight="1" x14ac:dyDescent="0.25">
      <c r="C104" s="11" t="s">
        <v>125</v>
      </c>
      <c r="D104" s="12">
        <f>SUM(D101:D103)</f>
        <v>212428887</v>
      </c>
      <c r="E104" s="12">
        <f t="shared" ref="E104:G104" si="85">SUM(E101:E103)</f>
        <v>175521187</v>
      </c>
      <c r="F104" s="12">
        <f t="shared" si="85"/>
        <v>167721587</v>
      </c>
      <c r="G104" s="12">
        <f t="shared" si="85"/>
        <v>178067087.16800514</v>
      </c>
      <c r="H104" s="12">
        <f t="shared" ref="H104" si="86">SUM(H101:H103)</f>
        <v>190679162.7117078</v>
      </c>
      <c r="I104" s="12">
        <f t="shared" ref="I104" si="87">SUM(I101:I103)</f>
        <v>205520020.36539656</v>
      </c>
      <c r="J104" s="12">
        <f t="shared" ref="J104" si="88">SUM(J101:J103)</f>
        <v>222411305.32946795</v>
      </c>
      <c r="K104" s="12">
        <f t="shared" ref="K104" si="89">SUM(K101:K103)</f>
        <v>241216276.94467589</v>
      </c>
    </row>
    <row r="105" spans="3:12" ht="15" customHeight="1" x14ac:dyDescent="0.25">
      <c r="D105" s="1"/>
      <c r="E105" s="1"/>
      <c r="F105" s="1"/>
      <c r="G105" s="209"/>
      <c r="H105" s="209"/>
      <c r="I105" s="209"/>
      <c r="J105" s="209"/>
      <c r="K105" s="209"/>
    </row>
    <row r="106" spans="3:12" ht="15" customHeight="1" x14ac:dyDescent="0.25">
      <c r="C106" s="13" t="s">
        <v>126</v>
      </c>
      <c r="D106" s="25">
        <f>D98+D104</f>
        <v>616728798</v>
      </c>
      <c r="E106" s="25">
        <f>E98+E104</f>
        <v>597417667</v>
      </c>
      <c r="F106" s="25">
        <f>F98+F104</f>
        <v>787942459</v>
      </c>
      <c r="G106" s="25">
        <f>G98+G104</f>
        <v>958753070.29539621</v>
      </c>
      <c r="H106" s="25">
        <f t="shared" ref="H106:K106" si="90">H98+H104</f>
        <v>1113089080.7236812</v>
      </c>
      <c r="I106" s="25">
        <f t="shared" si="90"/>
        <v>1255802895.7958853</v>
      </c>
      <c r="J106" s="25">
        <f t="shared" si="90"/>
        <v>1389682147.6347556</v>
      </c>
      <c r="K106" s="25">
        <f t="shared" si="90"/>
        <v>1520712951.7433968</v>
      </c>
    </row>
    <row r="107" spans="3:12" ht="15" customHeight="1" x14ac:dyDescent="0.25">
      <c r="E107" s="18"/>
      <c r="F107" s="18"/>
      <c r="G107" s="18"/>
      <c r="H107" s="18"/>
      <c r="I107" s="18"/>
      <c r="J107" s="18"/>
      <c r="K107" s="18"/>
    </row>
    <row r="108" spans="3:12" ht="15" customHeight="1" x14ac:dyDescent="0.25">
      <c r="C108" s="13" t="s">
        <v>127</v>
      </c>
      <c r="E108" s="18"/>
      <c r="F108" s="18"/>
      <c r="G108" s="18"/>
      <c r="H108" s="18"/>
      <c r="I108" s="18"/>
      <c r="J108" s="18"/>
      <c r="K108" s="18"/>
    </row>
    <row r="109" spans="3:12" ht="15" customHeight="1" x14ac:dyDescent="0.25">
      <c r="C109" s="17" t="s">
        <v>327</v>
      </c>
      <c r="D109" s="10">
        <v>92833330</v>
      </c>
      <c r="E109" s="10">
        <v>92833330</v>
      </c>
      <c r="F109" s="10">
        <v>100000000</v>
      </c>
      <c r="G109" s="19">
        <f>F109</f>
        <v>100000000</v>
      </c>
      <c r="H109" s="19">
        <f t="shared" ref="H109:K109" si="91">G109</f>
        <v>100000000</v>
      </c>
      <c r="I109" s="19">
        <f t="shared" si="91"/>
        <v>100000000</v>
      </c>
      <c r="J109" s="19">
        <f t="shared" si="91"/>
        <v>100000000</v>
      </c>
      <c r="K109" s="19">
        <f t="shared" si="91"/>
        <v>100000000</v>
      </c>
    </row>
    <row r="110" spans="3:12" ht="15" customHeight="1" x14ac:dyDescent="0.25">
      <c r="C110" s="17" t="s">
        <v>328</v>
      </c>
      <c r="D110" s="10">
        <v>9405590</v>
      </c>
      <c r="E110" s="10">
        <v>9405590</v>
      </c>
      <c r="F110" s="10">
        <v>23897012</v>
      </c>
      <c r="G110" s="19">
        <f>F110</f>
        <v>23897012</v>
      </c>
      <c r="H110" s="19">
        <f t="shared" ref="H110:K110" si="92">G110</f>
        <v>23897012</v>
      </c>
      <c r="I110" s="19">
        <f t="shared" si="92"/>
        <v>23897012</v>
      </c>
      <c r="J110" s="19">
        <f t="shared" si="92"/>
        <v>23897012</v>
      </c>
      <c r="K110" s="19">
        <f t="shared" si="92"/>
        <v>23897012</v>
      </c>
    </row>
    <row r="111" spans="3:12" ht="15" customHeight="1" x14ac:dyDescent="0.25">
      <c r="C111" s="17" t="s">
        <v>329</v>
      </c>
      <c r="D111" s="10">
        <v>-83822569</v>
      </c>
      <c r="E111" s="10">
        <v>-53757977</v>
      </c>
      <c r="F111" s="10">
        <v>151119171</v>
      </c>
      <c r="G111" s="19">
        <f>G245</f>
        <v>277512093.36021888</v>
      </c>
      <c r="H111" s="19">
        <f t="shared" ref="H111:K111" si="93">H245</f>
        <v>466495957.56428623</v>
      </c>
      <c r="I111" s="19">
        <f t="shared" si="93"/>
        <v>646357935.6018635</v>
      </c>
      <c r="J111" s="19">
        <f t="shared" si="93"/>
        <v>836015741.12575579</v>
      </c>
      <c r="K111" s="19">
        <f t="shared" si="93"/>
        <v>1046512973.5578339</v>
      </c>
    </row>
    <row r="112" spans="3:12" ht="15" customHeight="1" x14ac:dyDescent="0.25">
      <c r="C112" s="17" t="s">
        <v>309</v>
      </c>
      <c r="D112" s="10">
        <v>31750161</v>
      </c>
      <c r="E112" s="10">
        <v>135031718</v>
      </c>
      <c r="F112" s="10">
        <v>0</v>
      </c>
      <c r="G112" s="19">
        <f>F112</f>
        <v>0</v>
      </c>
      <c r="H112" s="19">
        <f t="shared" ref="H112:K112" si="94">G112</f>
        <v>0</v>
      </c>
      <c r="I112" s="19">
        <f t="shared" si="94"/>
        <v>0</v>
      </c>
      <c r="J112" s="19">
        <f t="shared" si="94"/>
        <v>0</v>
      </c>
      <c r="K112" s="19">
        <f t="shared" si="94"/>
        <v>0</v>
      </c>
    </row>
    <row r="113" spans="3:11" s="13" customFormat="1" ht="15" customHeight="1" x14ac:dyDescent="0.25">
      <c r="C113" s="249" t="s">
        <v>330</v>
      </c>
      <c r="D113" s="156">
        <f>SUM(D109:D112)</f>
        <v>50166512</v>
      </c>
      <c r="E113" s="156">
        <f>SUM(E109:E112)</f>
        <v>183512661</v>
      </c>
      <c r="F113" s="156">
        <f>SUM(F109:F112)</f>
        <v>275016183</v>
      </c>
      <c r="G113" s="156">
        <f>SUM(G109:G112)</f>
        <v>401409105.36021888</v>
      </c>
      <c r="H113" s="156">
        <f t="shared" ref="H113:K113" si="95">SUM(H109:H112)</f>
        <v>590392969.56428623</v>
      </c>
      <c r="I113" s="156">
        <f t="shared" si="95"/>
        <v>770254947.6018635</v>
      </c>
      <c r="J113" s="156">
        <f t="shared" si="95"/>
        <v>959912753.12575579</v>
      </c>
      <c r="K113" s="156">
        <f t="shared" si="95"/>
        <v>1170409985.5578339</v>
      </c>
    </row>
    <row r="114" spans="3:11" ht="15" customHeight="1" x14ac:dyDescent="0.25">
      <c r="C114" s="17" t="s">
        <v>300</v>
      </c>
      <c r="D114" s="10">
        <v>-436852</v>
      </c>
      <c r="E114" s="10">
        <v>-426786</v>
      </c>
      <c r="F114" s="10">
        <v>-417023</v>
      </c>
      <c r="G114" s="19">
        <f>G251</f>
        <v>-404834.4489650547</v>
      </c>
      <c r="H114" s="19">
        <f t="shared" ref="H114:K114" si="96">H251</f>
        <v>-388175.9797937813</v>
      </c>
      <c r="I114" s="19">
        <f t="shared" si="96"/>
        <v>-369033.72938732721</v>
      </c>
      <c r="J114" s="19">
        <f t="shared" si="96"/>
        <v>-347824.20221677801</v>
      </c>
      <c r="K114" s="19">
        <f t="shared" si="96"/>
        <v>-324307.6280986768</v>
      </c>
    </row>
    <row r="115" spans="3:11" ht="15" customHeight="1" x14ac:dyDescent="0.25">
      <c r="C115" s="26" t="s">
        <v>128</v>
      </c>
      <c r="D115" s="12">
        <f>SUM(D113:D114)</f>
        <v>49729660</v>
      </c>
      <c r="E115" s="12">
        <f t="shared" ref="E115:G115" si="97">SUM(E113:E114)</f>
        <v>183085875</v>
      </c>
      <c r="F115" s="12">
        <f t="shared" si="97"/>
        <v>274599160</v>
      </c>
      <c r="G115" s="12">
        <f t="shared" si="97"/>
        <v>401004270.91125381</v>
      </c>
      <c r="H115" s="12">
        <f t="shared" ref="H115:K115" si="98">SUM(H113:H114)</f>
        <v>590004793.58449244</v>
      </c>
      <c r="I115" s="12">
        <f t="shared" si="98"/>
        <v>769885913.87247622</v>
      </c>
      <c r="J115" s="12">
        <f t="shared" si="98"/>
        <v>959564928.92353904</v>
      </c>
      <c r="K115" s="12">
        <f t="shared" si="98"/>
        <v>1170085677.9297352</v>
      </c>
    </row>
    <row r="116" spans="3:11" ht="15" customHeight="1" x14ac:dyDescent="0.25">
      <c r="E116" s="19"/>
      <c r="F116" s="19"/>
      <c r="G116" s="19"/>
      <c r="H116" s="19"/>
      <c r="I116" s="19"/>
      <c r="J116" s="19"/>
      <c r="K116" s="19"/>
    </row>
    <row r="117" spans="3:11" ht="15" customHeight="1" x14ac:dyDescent="0.25">
      <c r="C117" s="13" t="s">
        <v>129</v>
      </c>
      <c r="D117" s="14">
        <f t="shared" ref="D117:K117" si="99">D106+D115</f>
        <v>666458458</v>
      </c>
      <c r="E117" s="14">
        <f t="shared" si="99"/>
        <v>780503542</v>
      </c>
      <c r="F117" s="14">
        <f t="shared" si="99"/>
        <v>1062541619</v>
      </c>
      <c r="G117" s="14">
        <f t="shared" si="99"/>
        <v>1359757341.20665</v>
      </c>
      <c r="H117" s="14">
        <f t="shared" si="99"/>
        <v>1703093874.3081737</v>
      </c>
      <c r="I117" s="14">
        <f t="shared" si="99"/>
        <v>2025688809.6683617</v>
      </c>
      <c r="J117" s="14">
        <f t="shared" si="99"/>
        <v>2349247076.5582948</v>
      </c>
      <c r="K117" s="14">
        <f t="shared" si="99"/>
        <v>2690798629.6731319</v>
      </c>
    </row>
    <row r="118" spans="3:11" ht="15" customHeight="1" x14ac:dyDescent="0.25">
      <c r="E118" s="18"/>
      <c r="F118" s="18"/>
      <c r="G118" s="18"/>
      <c r="H118" s="18"/>
      <c r="I118" s="18"/>
      <c r="J118" s="18"/>
      <c r="K118" s="18"/>
    </row>
    <row r="119" spans="3:11" ht="15" customHeight="1" x14ac:dyDescent="0.25">
      <c r="C119" s="6" t="s">
        <v>130</v>
      </c>
      <c r="D119" s="256">
        <f t="shared" ref="D119:K119" si="100">D85-D117</f>
        <v>0</v>
      </c>
      <c r="E119" s="256">
        <f t="shared" si="100"/>
        <v>0</v>
      </c>
      <c r="F119" s="256">
        <f t="shared" si="100"/>
        <v>0</v>
      </c>
      <c r="G119" s="256">
        <f t="shared" si="100"/>
        <v>0</v>
      </c>
      <c r="H119" s="256">
        <f t="shared" si="100"/>
        <v>0</v>
      </c>
      <c r="I119" s="256">
        <f t="shared" si="100"/>
        <v>0</v>
      </c>
      <c r="J119" s="256">
        <f t="shared" si="100"/>
        <v>0</v>
      </c>
      <c r="K119" s="256">
        <f t="shared" si="100"/>
        <v>0</v>
      </c>
    </row>
    <row r="120" spans="3:11" ht="15" customHeight="1" x14ac:dyDescent="0.25"/>
    <row r="121" spans="3:11" x14ac:dyDescent="0.25">
      <c r="C121" s="38" t="s">
        <v>131</v>
      </c>
      <c r="D121" s="241"/>
      <c r="E121" s="45"/>
      <c r="F121" s="45"/>
      <c r="G121" s="45"/>
      <c r="H121" s="45"/>
      <c r="I121" s="45"/>
      <c r="J121" s="45"/>
      <c r="K121" s="45"/>
    </row>
    <row r="122" spans="3:11" x14ac:dyDescent="0.25">
      <c r="C122" t="s">
        <v>107</v>
      </c>
      <c r="D122" s="40"/>
      <c r="E122" s="40"/>
      <c r="F122" s="41"/>
      <c r="G122" s="41">
        <f>G$13</f>
        <v>2026</v>
      </c>
      <c r="H122" s="41">
        <f>H$13</f>
        <v>2027</v>
      </c>
      <c r="I122" s="41">
        <f>I$13</f>
        <v>2028</v>
      </c>
      <c r="J122" s="41">
        <f>J$13</f>
        <v>2029</v>
      </c>
      <c r="K122" s="41">
        <f>K$13</f>
        <v>2030</v>
      </c>
    </row>
    <row r="123" spans="3:11" x14ac:dyDescent="0.25">
      <c r="C123" s="42" t="s">
        <v>108</v>
      </c>
      <c r="D123" s="243"/>
      <c r="E123" s="43"/>
      <c r="F123" s="225"/>
      <c r="G123" s="225">
        <f>G$14</f>
        <v>46387</v>
      </c>
      <c r="H123" s="225">
        <f>H$14</f>
        <v>46752</v>
      </c>
      <c r="I123" s="225">
        <f>I$14</f>
        <v>47118</v>
      </c>
      <c r="J123" s="225">
        <f>J$14</f>
        <v>47483</v>
      </c>
      <c r="K123" s="225">
        <f>K$14</f>
        <v>47848</v>
      </c>
    </row>
    <row r="124" spans="3:11" ht="15" customHeight="1" x14ac:dyDescent="0.25"/>
    <row r="125" spans="3:11" s="13" customFormat="1" ht="15" customHeight="1" x14ac:dyDescent="0.25">
      <c r="C125" s="17" t="s">
        <v>132</v>
      </c>
      <c r="D125" s="197"/>
      <c r="E125" s="197"/>
      <c r="F125" s="199"/>
      <c r="G125" s="298">
        <f>G31</f>
        <v>263686975.76125383</v>
      </c>
      <c r="H125" s="298">
        <f t="shared" ref="H125:K125" si="101">H31</f>
        <v>360389134.35988092</v>
      </c>
      <c r="I125" s="298">
        <f t="shared" si="101"/>
        <v>414123229.61694497</v>
      </c>
      <c r="J125" s="298">
        <f t="shared" si="101"/>
        <v>458846671.83931273</v>
      </c>
      <c r="K125" s="298">
        <f t="shared" si="101"/>
        <v>508757299.50908864</v>
      </c>
    </row>
    <row r="126" spans="3:11" ht="15" customHeight="1" x14ac:dyDescent="0.25">
      <c r="C126" s="17" t="s">
        <v>355</v>
      </c>
      <c r="D126" s="199"/>
      <c r="E126" s="198"/>
      <c r="F126" s="198"/>
      <c r="G126" s="299">
        <f>-G24</f>
        <v>86759301.032923192</v>
      </c>
      <c r="H126" s="299">
        <f t="shared" ref="H126:K126" si="102">-H24</f>
        <v>92694527.222767293</v>
      </c>
      <c r="I126" s="299">
        <f t="shared" si="102"/>
        <v>109883130.65339704</v>
      </c>
      <c r="J126" s="299">
        <f t="shared" si="102"/>
        <v>126905436.19804949</v>
      </c>
      <c r="K126" s="299">
        <f t="shared" si="102"/>
        <v>143591405.04245025</v>
      </c>
    </row>
    <row r="127" spans="3:11" ht="15" customHeight="1" x14ac:dyDescent="0.25">
      <c r="C127" s="17" t="s">
        <v>357</v>
      </c>
      <c r="D127" s="199"/>
      <c r="E127" s="198"/>
      <c r="F127" s="198"/>
      <c r="G127" s="299">
        <f>G262</f>
        <v>32990628.590431124</v>
      </c>
      <c r="H127" s="299">
        <f t="shared" ref="H127:K127" si="103">H262</f>
        <v>38940454.445260055</v>
      </c>
      <c r="I127" s="299">
        <f t="shared" si="103"/>
        <v>44791071.885544702</v>
      </c>
      <c r="J127" s="299">
        <f t="shared" si="103"/>
        <v>50173502.823235251</v>
      </c>
      <c r="K127" s="299">
        <f t="shared" si="103"/>
        <v>55196985.57922782</v>
      </c>
    </row>
    <row r="128" spans="3:11" s="13" customFormat="1" ht="15" customHeight="1" x14ac:dyDescent="0.25">
      <c r="C128" s="13" t="s">
        <v>133</v>
      </c>
      <c r="D128" s="197"/>
      <c r="E128" s="197"/>
      <c r="F128" s="197"/>
      <c r="G128" s="300">
        <f>SUM(G125:G127)</f>
        <v>383436905.38460815</v>
      </c>
      <c r="H128" s="300">
        <f t="shared" ref="H128:K128" si="104">SUM(H125:H127)</f>
        <v>492024116.02790827</v>
      </c>
      <c r="I128" s="300">
        <f t="shared" si="104"/>
        <v>568797432.15588665</v>
      </c>
      <c r="J128" s="300">
        <f t="shared" si="104"/>
        <v>635925610.86059749</v>
      </c>
      <c r="K128" s="300">
        <f t="shared" si="104"/>
        <v>707545690.13076675</v>
      </c>
    </row>
    <row r="129" spans="3:11" s="13" customFormat="1" ht="15" customHeight="1" x14ac:dyDescent="0.25">
      <c r="D129" s="197"/>
      <c r="E129" s="201"/>
      <c r="F129" s="201"/>
      <c r="G129" s="301"/>
      <c r="H129" s="301"/>
      <c r="I129" s="301"/>
      <c r="J129" s="301"/>
      <c r="K129" s="301"/>
    </row>
    <row r="130" spans="3:11" ht="15" customHeight="1" x14ac:dyDescent="0.25">
      <c r="C130" s="195" t="s">
        <v>134</v>
      </c>
      <c r="D130" s="198"/>
      <c r="E130" s="198"/>
      <c r="F130" s="198"/>
      <c r="G130" s="299"/>
      <c r="H130" s="299"/>
      <c r="I130" s="299"/>
      <c r="J130" s="299"/>
      <c r="K130" s="299"/>
    </row>
    <row r="131" spans="3:11" ht="15" customHeight="1" x14ac:dyDescent="0.25">
      <c r="C131" s="17" t="s">
        <v>135</v>
      </c>
      <c r="D131" s="198"/>
      <c r="E131" s="198"/>
      <c r="F131" s="198"/>
      <c r="G131" s="299">
        <f>G206</f>
        <v>62636242.114557087</v>
      </c>
      <c r="H131" s="299">
        <f t="shared" ref="H131:K131" si="105">H206</f>
        <v>56618525.295861065</v>
      </c>
      <c r="I131" s="299">
        <f t="shared" si="105"/>
        <v>43667983.638173819</v>
      </c>
      <c r="J131" s="299">
        <f t="shared" si="105"/>
        <v>38805908.84193635</v>
      </c>
      <c r="K131" s="299">
        <f t="shared" si="105"/>
        <v>38589847.266882658</v>
      </c>
    </row>
    <row r="132" spans="3:11" s="13" customFormat="1" ht="15" customHeight="1" x14ac:dyDescent="0.25">
      <c r="C132" s="13" t="s">
        <v>136</v>
      </c>
      <c r="D132" s="197"/>
      <c r="E132" s="197"/>
      <c r="F132" s="197"/>
      <c r="G132" s="300">
        <f>G128+G131</f>
        <v>446073147.49916524</v>
      </c>
      <c r="H132" s="300">
        <f t="shared" ref="H132:K132" si="106">H128+H131</f>
        <v>548642641.32376933</v>
      </c>
      <c r="I132" s="300">
        <f t="shared" si="106"/>
        <v>612465415.79406047</v>
      </c>
      <c r="J132" s="300">
        <f t="shared" si="106"/>
        <v>674731519.70253384</v>
      </c>
      <c r="K132" s="300">
        <f t="shared" si="106"/>
        <v>746135537.39764941</v>
      </c>
    </row>
    <row r="133" spans="3:11" ht="15" customHeight="1" x14ac:dyDescent="0.25">
      <c r="D133" s="199"/>
      <c r="E133" s="200"/>
      <c r="F133" s="200"/>
      <c r="G133" s="298"/>
      <c r="H133" s="298"/>
      <c r="I133" s="298"/>
      <c r="J133" s="298"/>
      <c r="K133" s="298"/>
    </row>
    <row r="134" spans="3:11" x14ac:dyDescent="0.25">
      <c r="C134" s="220" t="s">
        <v>137</v>
      </c>
      <c r="D134" s="244"/>
      <c r="E134" s="221"/>
      <c r="F134" s="221"/>
      <c r="G134" s="303"/>
      <c r="H134" s="303"/>
      <c r="I134" s="303"/>
      <c r="J134" s="303"/>
      <c r="K134" s="303"/>
    </row>
    <row r="135" spans="3:11" ht="15" customHeight="1" x14ac:dyDescent="0.25">
      <c r="C135" s="17" t="s">
        <v>138</v>
      </c>
      <c r="D135" s="199"/>
      <c r="E135" s="198"/>
      <c r="F135" s="198"/>
      <c r="G135" s="299">
        <f>-G156</f>
        <v>-35122413.291259997</v>
      </c>
      <c r="H135" s="299">
        <f t="shared" ref="H135:K135" si="107">-H156</f>
        <v>-82913408.63827011</v>
      </c>
      <c r="I135" s="299">
        <f t="shared" si="107"/>
        <v>-95370752.588747755</v>
      </c>
      <c r="J135" s="299">
        <f t="shared" si="107"/>
        <v>-106831217.08926737</v>
      </c>
      <c r="K135" s="299">
        <f t="shared" si="107"/>
        <v>-117527396.28050981</v>
      </c>
    </row>
    <row r="136" spans="3:11" ht="15" customHeight="1" x14ac:dyDescent="0.25">
      <c r="C136" s="17" t="s">
        <v>234</v>
      </c>
      <c r="D136" s="199"/>
      <c r="E136" s="198"/>
      <c r="F136" s="198"/>
      <c r="G136" s="299">
        <f>-G288</f>
        <v>-2000000</v>
      </c>
      <c r="H136" s="299">
        <f t="shared" ref="H136:K136" si="108">-H288</f>
        <v>-2000000</v>
      </c>
      <c r="I136" s="299">
        <f t="shared" si="108"/>
        <v>-2000000</v>
      </c>
      <c r="J136" s="299">
        <f t="shared" si="108"/>
        <v>-2000000</v>
      </c>
      <c r="K136" s="299">
        <f t="shared" si="108"/>
        <v>-2000000</v>
      </c>
    </row>
    <row r="137" spans="3:11" ht="15" customHeight="1" x14ac:dyDescent="0.25">
      <c r="C137" s="13" t="s">
        <v>139</v>
      </c>
      <c r="D137" s="199"/>
      <c r="E137" s="201"/>
      <c r="F137" s="201"/>
      <c r="G137" s="302">
        <f>SUM(G135:G136)</f>
        <v>-37122413.291259997</v>
      </c>
      <c r="H137" s="302">
        <f t="shared" ref="H137:K137" si="109">SUM(H135:H136)</f>
        <v>-84913408.63827011</v>
      </c>
      <c r="I137" s="302">
        <f t="shared" si="109"/>
        <v>-97370752.588747755</v>
      </c>
      <c r="J137" s="302">
        <f t="shared" si="109"/>
        <v>-108831217.08926737</v>
      </c>
      <c r="K137" s="302">
        <f t="shared" si="109"/>
        <v>-119527396.28050981</v>
      </c>
    </row>
    <row r="138" spans="3:11" ht="15" customHeight="1" x14ac:dyDescent="0.25">
      <c r="D138" s="199"/>
      <c r="E138" s="203"/>
      <c r="F138" s="203"/>
      <c r="G138" s="298"/>
      <c r="H138" s="298"/>
      <c r="I138" s="298"/>
      <c r="J138" s="298"/>
      <c r="K138" s="298"/>
    </row>
    <row r="139" spans="3:11" s="35" customFormat="1" ht="15" customHeight="1" x14ac:dyDescent="0.25">
      <c r="C139" s="44" t="s">
        <v>140</v>
      </c>
      <c r="D139" s="245"/>
      <c r="E139" s="204"/>
      <c r="F139" s="204"/>
      <c r="G139" s="304"/>
      <c r="H139" s="304"/>
      <c r="I139" s="304"/>
      <c r="J139" s="304"/>
      <c r="K139" s="304"/>
    </row>
    <row r="140" spans="3:11" ht="15" customHeight="1" x14ac:dyDescent="0.25">
      <c r="C140" s="17" t="s">
        <v>141</v>
      </c>
      <c r="D140" s="199"/>
      <c r="E140" s="198"/>
      <c r="F140" s="198"/>
      <c r="G140" s="299">
        <f>-G244</f>
        <v>-137281864.84999999</v>
      </c>
      <c r="H140" s="299">
        <f t="shared" ref="H140:K140" si="110">-H244</f>
        <v>-171388611.68664229</v>
      </c>
      <c r="I140" s="299">
        <f t="shared" si="110"/>
        <v>-234242109.32896128</v>
      </c>
      <c r="J140" s="299">
        <f t="shared" si="110"/>
        <v>-269167656.78825003</v>
      </c>
      <c r="K140" s="299">
        <f t="shared" si="110"/>
        <v>-298236550.50289243</v>
      </c>
    </row>
    <row r="141" spans="3:11" ht="15" customHeight="1" x14ac:dyDescent="0.25">
      <c r="C141" s="17" t="s">
        <v>233</v>
      </c>
      <c r="D141" s="199"/>
      <c r="E141" s="198"/>
      <c r="F141" s="198"/>
      <c r="G141" s="299">
        <f>G263</f>
        <v>-71157384.405181095</v>
      </c>
      <c r="H141" s="299">
        <f t="shared" ref="H141:K141" si="111">H263</f>
        <v>-83990545.323453099</v>
      </c>
      <c r="I141" s="299">
        <f t="shared" si="111"/>
        <v>-96609723.920333251</v>
      </c>
      <c r="J141" s="299">
        <f t="shared" si="111"/>
        <v>-108219072.50299938</v>
      </c>
      <c r="K141" s="299">
        <f t="shared" si="111"/>
        <v>-119054206.86672114</v>
      </c>
    </row>
    <row r="142" spans="3:11" ht="15" customHeight="1" x14ac:dyDescent="0.25">
      <c r="C142" s="17" t="s">
        <v>356</v>
      </c>
      <c r="D142" s="199"/>
      <c r="E142" s="198"/>
      <c r="F142" s="198"/>
      <c r="G142" s="299">
        <f>G103-F103</f>
        <v>-2222220</v>
      </c>
      <c r="H142" s="299">
        <f t="shared" ref="H142:K142" si="112">H103-G103</f>
        <v>-2222220</v>
      </c>
      <c r="I142" s="299">
        <f t="shared" si="112"/>
        <v>-2222220</v>
      </c>
      <c r="J142" s="299">
        <f t="shared" si="112"/>
        <v>-2222220</v>
      </c>
      <c r="K142" s="299">
        <f t="shared" si="112"/>
        <v>-2222220</v>
      </c>
    </row>
    <row r="143" spans="3:11" ht="15" customHeight="1" x14ac:dyDescent="0.25">
      <c r="C143" s="13" t="s">
        <v>142</v>
      </c>
      <c r="D143" s="197"/>
      <c r="E143" s="201"/>
      <c r="F143" s="201"/>
      <c r="G143" s="302">
        <f>SUM(G140:G142)</f>
        <v>-210661469.25518107</v>
      </c>
      <c r="H143" s="302">
        <f t="shared" ref="H143:K143" si="113">SUM(H140:H142)</f>
        <v>-257601377.01009539</v>
      </c>
      <c r="I143" s="302">
        <f t="shared" si="113"/>
        <v>-333074053.24929452</v>
      </c>
      <c r="J143" s="302">
        <f t="shared" si="113"/>
        <v>-379608949.29124939</v>
      </c>
      <c r="K143" s="302">
        <f t="shared" si="113"/>
        <v>-419512977.36961359</v>
      </c>
    </row>
    <row r="144" spans="3:11" ht="15" customHeight="1" x14ac:dyDescent="0.25">
      <c r="C144" s="13"/>
      <c r="D144" s="197"/>
      <c r="E144" s="201"/>
      <c r="F144" s="201"/>
      <c r="G144" s="302"/>
      <c r="H144" s="302"/>
      <c r="I144" s="302"/>
      <c r="J144" s="302"/>
      <c r="K144" s="302"/>
    </row>
    <row r="145" spans="3:11" ht="15" customHeight="1" x14ac:dyDescent="0.25">
      <c r="C145" s="13" t="s">
        <v>143</v>
      </c>
      <c r="D145" s="197"/>
      <c r="E145" s="201"/>
      <c r="F145" s="201"/>
      <c r="G145" s="302">
        <f>G132+G137+G143</f>
        <v>198289264.95272416</v>
      </c>
      <c r="H145" s="302">
        <f t="shared" ref="H145:K145" si="114">H132+H137+H143</f>
        <v>206127855.6754038</v>
      </c>
      <c r="I145" s="302">
        <f t="shared" si="114"/>
        <v>182020609.95601821</v>
      </c>
      <c r="J145" s="302">
        <f t="shared" si="114"/>
        <v>186291353.32201707</v>
      </c>
      <c r="K145" s="302">
        <f t="shared" si="114"/>
        <v>207095163.74752599</v>
      </c>
    </row>
    <row r="146" spans="3:11" ht="15" customHeight="1" x14ac:dyDescent="0.25">
      <c r="C146" s="6" t="s">
        <v>144</v>
      </c>
      <c r="D146" s="197"/>
      <c r="E146" s="201"/>
      <c r="F146" s="201"/>
      <c r="G146" s="302">
        <f>F73</f>
        <v>104342521</v>
      </c>
      <c r="H146" s="302">
        <f t="shared" ref="H146:K146" si="115">G73</f>
        <v>302631785.95272416</v>
      </c>
      <c r="I146" s="302">
        <f t="shared" si="115"/>
        <v>508759641.62812793</v>
      </c>
      <c r="J146" s="302">
        <f t="shared" si="115"/>
        <v>690780251.58414614</v>
      </c>
      <c r="K146" s="302">
        <f t="shared" si="115"/>
        <v>877071604.90616322</v>
      </c>
    </row>
    <row r="147" spans="3:11" ht="15" customHeight="1" x14ac:dyDescent="0.25">
      <c r="C147" s="13" t="s">
        <v>145</v>
      </c>
      <c r="D147" s="199"/>
      <c r="E147" s="201"/>
      <c r="F147" s="201"/>
      <c r="G147" s="302">
        <f>SUM(G145:G146)</f>
        <v>302631785.95272416</v>
      </c>
      <c r="H147" s="302">
        <f t="shared" ref="H147:K147" si="116">SUM(H145:H146)</f>
        <v>508759641.62812793</v>
      </c>
      <c r="I147" s="302">
        <f t="shared" si="116"/>
        <v>690780251.58414614</v>
      </c>
      <c r="J147" s="302">
        <f t="shared" si="116"/>
        <v>877071604.90616322</v>
      </c>
      <c r="K147" s="302">
        <f t="shared" si="116"/>
        <v>1084166768.6536891</v>
      </c>
    </row>
    <row r="148" spans="3:11" ht="15" customHeight="1" x14ac:dyDescent="0.25">
      <c r="C148" s="13"/>
      <c r="D148" s="199"/>
      <c r="E148" s="202"/>
      <c r="F148" s="201"/>
      <c r="G148" s="301"/>
      <c r="H148" s="301"/>
      <c r="I148" s="301"/>
      <c r="J148" s="301"/>
      <c r="K148" s="301"/>
    </row>
    <row r="149" spans="3:11" ht="15" customHeight="1" x14ac:dyDescent="0.25">
      <c r="C149" s="13" t="s">
        <v>146</v>
      </c>
      <c r="D149" s="229"/>
      <c r="E149" s="229"/>
      <c r="F149" s="198"/>
      <c r="G149" s="183">
        <f>G147-G73</f>
        <v>0</v>
      </c>
      <c r="H149" s="183">
        <f t="shared" ref="H149:K149" si="117">H147-H73</f>
        <v>0</v>
      </c>
      <c r="I149" s="183">
        <f t="shared" si="117"/>
        <v>0</v>
      </c>
      <c r="J149" s="183">
        <f t="shared" si="117"/>
        <v>0</v>
      </c>
      <c r="K149" s="183">
        <f t="shared" si="117"/>
        <v>0</v>
      </c>
    </row>
    <row r="150" spans="3:11" ht="15" customHeight="1" x14ac:dyDescent="0.25"/>
    <row r="151" spans="3:11" x14ac:dyDescent="0.25">
      <c r="C151" s="38" t="s">
        <v>147</v>
      </c>
      <c r="D151" s="239"/>
      <c r="E151" s="39"/>
      <c r="F151" s="39"/>
      <c r="G151" s="39"/>
      <c r="H151" s="39"/>
      <c r="I151" s="39"/>
      <c r="J151" s="39"/>
      <c r="K151" s="39"/>
    </row>
    <row r="152" spans="3:11" x14ac:dyDescent="0.25">
      <c r="C152" t="s">
        <v>107</v>
      </c>
      <c r="D152" s="40">
        <f t="shared" ref="D152:K152" si="118">D$13</f>
        <v>2023</v>
      </c>
      <c r="E152" s="40">
        <f t="shared" si="118"/>
        <v>2024</v>
      </c>
      <c r="F152" s="40">
        <f t="shared" si="118"/>
        <v>2025</v>
      </c>
      <c r="G152" s="41">
        <f t="shared" si="118"/>
        <v>2026</v>
      </c>
      <c r="H152" s="41">
        <f t="shared" si="118"/>
        <v>2027</v>
      </c>
      <c r="I152" s="41">
        <f t="shared" si="118"/>
        <v>2028</v>
      </c>
      <c r="J152" s="41">
        <f t="shared" si="118"/>
        <v>2029</v>
      </c>
      <c r="K152" s="41">
        <f t="shared" si="118"/>
        <v>2030</v>
      </c>
    </row>
    <row r="153" spans="3:11" x14ac:dyDescent="0.25">
      <c r="C153" s="42" t="s">
        <v>108</v>
      </c>
      <c r="D153" s="240">
        <f t="shared" ref="D153:K153" si="119">D$14</f>
        <v>45291</v>
      </c>
      <c r="E153" s="225">
        <f t="shared" si="119"/>
        <v>45657</v>
      </c>
      <c r="F153" s="225">
        <f t="shared" si="119"/>
        <v>46022</v>
      </c>
      <c r="G153" s="225">
        <f t="shared" si="119"/>
        <v>46387</v>
      </c>
      <c r="H153" s="225">
        <f t="shared" si="119"/>
        <v>46752</v>
      </c>
      <c r="I153" s="225">
        <f t="shared" si="119"/>
        <v>47118</v>
      </c>
      <c r="J153" s="225">
        <f t="shared" si="119"/>
        <v>47483</v>
      </c>
      <c r="K153" s="225">
        <f t="shared" si="119"/>
        <v>47848</v>
      </c>
    </row>
    <row r="154" spans="3:11" ht="15" customHeight="1" x14ac:dyDescent="0.25"/>
    <row r="155" spans="3:11" ht="15" customHeight="1" x14ac:dyDescent="0.25">
      <c r="C155" s="17" t="s">
        <v>148</v>
      </c>
      <c r="D155" s="289"/>
      <c r="E155" s="184">
        <f>D158</f>
        <v>174116983</v>
      </c>
      <c r="F155" s="184">
        <f t="shared" ref="F155:K155" si="120">E158</f>
        <v>190534890</v>
      </c>
      <c r="G155" s="184">
        <f t="shared" si="120"/>
        <v>163149183</v>
      </c>
      <c r="H155" s="184">
        <f t="shared" si="120"/>
        <v>162859826.25823522</v>
      </c>
      <c r="I155" s="184">
        <f t="shared" si="120"/>
        <v>210424270.16969454</v>
      </c>
      <c r="J155" s="184">
        <f t="shared" si="120"/>
        <v>260122125.55112803</v>
      </c>
      <c r="K155" s="184">
        <f t="shared" si="120"/>
        <v>310493452.85646588</v>
      </c>
    </row>
    <row r="156" spans="3:11" ht="15" customHeight="1" x14ac:dyDescent="0.25">
      <c r="C156" s="29" t="s">
        <v>149</v>
      </c>
      <c r="D156" s="196">
        <v>6087330</v>
      </c>
      <c r="E156" s="196">
        <v>29209511</v>
      </c>
      <c r="F156" s="196">
        <v>14241633</v>
      </c>
      <c r="G156" s="183">
        <f>G160*G16</f>
        <v>35122413.291259997</v>
      </c>
      <c r="H156" s="183">
        <f t="shared" ref="H156:K156" si="121">H160*H16</f>
        <v>82913408.63827011</v>
      </c>
      <c r="I156" s="183">
        <f t="shared" si="121"/>
        <v>95370752.588747755</v>
      </c>
      <c r="J156" s="183">
        <f t="shared" si="121"/>
        <v>106831217.08926737</v>
      </c>
      <c r="K156" s="183">
        <f t="shared" si="121"/>
        <v>117527396.28050981</v>
      </c>
    </row>
    <row r="157" spans="3:11" ht="15" customHeight="1" x14ac:dyDescent="0.25">
      <c r="C157" s="29" t="s">
        <v>150</v>
      </c>
      <c r="D157" s="196">
        <v>45088086</v>
      </c>
      <c r="E157" s="196">
        <v>43207268</v>
      </c>
      <c r="F157" s="196">
        <v>41355878</v>
      </c>
      <c r="G157" s="183">
        <f>G161*G155</f>
        <v>35411770.033024788</v>
      </c>
      <c r="H157" s="183">
        <f t="shared" ref="H157:K157" si="122">H161*H155</f>
        <v>35348964.726810783</v>
      </c>
      <c r="I157" s="183">
        <f t="shared" si="122"/>
        <v>45672897.207314245</v>
      </c>
      <c r="J157" s="183">
        <f t="shared" si="122"/>
        <v>56459889.783929519</v>
      </c>
      <c r="K157" s="183">
        <f t="shared" si="122"/>
        <v>67393060.431770548</v>
      </c>
    </row>
    <row r="158" spans="3:11" ht="15" customHeight="1" x14ac:dyDescent="0.25">
      <c r="C158" s="16" t="s">
        <v>151</v>
      </c>
      <c r="D158" s="227">
        <f>D77</f>
        <v>174116983</v>
      </c>
      <c r="E158" s="227">
        <f>E77</f>
        <v>190534890</v>
      </c>
      <c r="F158" s="227">
        <f>F77</f>
        <v>163149183</v>
      </c>
      <c r="G158" s="227">
        <f>G155+G156-G157</f>
        <v>162859826.25823522</v>
      </c>
      <c r="H158" s="227">
        <f t="shared" ref="H158:K158" si="123">H155+H156-H157</f>
        <v>210424270.16969454</v>
      </c>
      <c r="I158" s="227">
        <f t="shared" si="123"/>
        <v>260122125.55112803</v>
      </c>
      <c r="J158" s="227">
        <f t="shared" si="123"/>
        <v>310493452.85646588</v>
      </c>
      <c r="K158" s="227">
        <f t="shared" si="123"/>
        <v>360627788.70520514</v>
      </c>
    </row>
    <row r="159" spans="3:11" ht="15" customHeight="1" x14ac:dyDescent="0.25">
      <c r="C159" s="13"/>
      <c r="D159" s="10"/>
      <c r="E159" s="156"/>
      <c r="F159" s="156"/>
      <c r="G159" s="157"/>
      <c r="H159" s="157"/>
      <c r="I159" s="157"/>
      <c r="J159" s="157"/>
      <c r="K159" s="157"/>
    </row>
    <row r="160" spans="3:11" ht="15" customHeight="1" x14ac:dyDescent="0.25">
      <c r="C160" s="6" t="s">
        <v>152</v>
      </c>
      <c r="D160" s="22">
        <f>D156/D16</f>
        <v>4.166541738221818E-3</v>
      </c>
      <c r="E160" s="22">
        <f>E156/E16</f>
        <v>1.3792385653865959E-2</v>
      </c>
      <c r="F160" s="22">
        <f>F156/F16</f>
        <v>4.9490394729682996E-3</v>
      </c>
      <c r="G160" s="209">
        <v>0.01</v>
      </c>
      <c r="H160" s="209">
        <v>0.02</v>
      </c>
      <c r="I160" s="209">
        <f t="shared" ref="I160:K160" si="124">H160</f>
        <v>0.02</v>
      </c>
      <c r="J160" s="209">
        <f t="shared" si="124"/>
        <v>0.02</v>
      </c>
      <c r="K160" s="209">
        <f t="shared" si="124"/>
        <v>0.02</v>
      </c>
    </row>
    <row r="161" spans="1:11" ht="15" customHeight="1" x14ac:dyDescent="0.25">
      <c r="C161" s="6" t="s">
        <v>153</v>
      </c>
      <c r="D161" s="22">
        <f>D157/212563390</f>
        <v>0.21211595279883333</v>
      </c>
      <c r="E161" s="22">
        <f>E157/E155</f>
        <v>0.24815079641025023</v>
      </c>
      <c r="F161" s="22">
        <f t="shared" ref="F161" si="125">F157/F155</f>
        <v>0.21705147020579801</v>
      </c>
      <c r="G161" s="209">
        <f>F161</f>
        <v>0.21705147020579801</v>
      </c>
      <c r="H161" s="209">
        <f>G161</f>
        <v>0.21705147020579801</v>
      </c>
      <c r="I161" s="209">
        <f t="shared" ref="I161:K161" si="126">H161</f>
        <v>0.21705147020579801</v>
      </c>
      <c r="J161" s="209">
        <f t="shared" si="126"/>
        <v>0.21705147020579801</v>
      </c>
      <c r="K161" s="209">
        <f t="shared" si="126"/>
        <v>0.21705147020579801</v>
      </c>
    </row>
    <row r="162" spans="1:11" ht="15" customHeight="1" x14ac:dyDescent="0.25">
      <c r="E162" s="1"/>
      <c r="F162" s="1"/>
      <c r="G162" s="1"/>
      <c r="H162" s="1"/>
      <c r="I162" s="1"/>
      <c r="J162" s="1"/>
      <c r="K162" s="1"/>
    </row>
    <row r="163" spans="1:11" s="35" customFormat="1" ht="15" customHeight="1" x14ac:dyDescent="0.25">
      <c r="C163" s="44" t="s">
        <v>154</v>
      </c>
      <c r="D163" s="46"/>
      <c r="E163" s="46"/>
      <c r="F163" s="46"/>
      <c r="G163" s="46"/>
      <c r="H163" s="46"/>
      <c r="I163" s="46"/>
      <c r="J163" s="46"/>
      <c r="K163" s="46"/>
    </row>
    <row r="164" spans="1:11" s="31" customFormat="1" ht="15" customHeight="1" x14ac:dyDescent="0.25">
      <c r="C164" s="32"/>
      <c r="D164" s="33"/>
      <c r="E164" s="34"/>
      <c r="F164" s="34"/>
      <c r="G164" s="34"/>
      <c r="H164" s="34"/>
      <c r="I164" s="34"/>
      <c r="J164" s="34"/>
      <c r="K164" s="34"/>
    </row>
    <row r="165" spans="1:11" s="31" customFormat="1" ht="15" customHeight="1" x14ac:dyDescent="0.25">
      <c r="C165" s="35" t="s">
        <v>155</v>
      </c>
      <c r="D165" s="10">
        <f>-D289+-D277</f>
        <v>37711352</v>
      </c>
      <c r="E165" s="10">
        <f t="shared" ref="E165:K165" si="127">-E289+-E277</f>
        <v>43143806</v>
      </c>
      <c r="F165" s="10">
        <f t="shared" si="127"/>
        <v>43273180</v>
      </c>
      <c r="G165" s="10">
        <f t="shared" si="127"/>
        <v>51347530.999898404</v>
      </c>
      <c r="H165" s="10">
        <f t="shared" si="127"/>
        <v>57345562.49595651</v>
      </c>
      <c r="I165" s="10">
        <f t="shared" si="127"/>
        <v>64210233.446082793</v>
      </c>
      <c r="J165" s="10">
        <f t="shared" si="127"/>
        <v>70445546.414119959</v>
      </c>
      <c r="K165" s="10">
        <f t="shared" si="127"/>
        <v>76198344.610679701</v>
      </c>
    </row>
    <row r="166" spans="1:11" s="31" customFormat="1" ht="15" customHeight="1" x14ac:dyDescent="0.25">
      <c r="A166" s="32"/>
      <c r="B166" s="32"/>
      <c r="C166" s="24" t="s">
        <v>29</v>
      </c>
      <c r="D166" s="36">
        <f t="shared" ref="D166:K166" si="128">D165/D16</f>
        <v>2.5811960598944833E-2</v>
      </c>
      <c r="E166" s="36">
        <f t="shared" si="128"/>
        <v>2.037199496176352E-2</v>
      </c>
      <c r="F166" s="36">
        <f t="shared" si="128"/>
        <v>1.5037648838504851E-2</v>
      </c>
      <c r="G166" s="36">
        <f t="shared" si="128"/>
        <v>1.4619590793516437E-2</v>
      </c>
      <c r="H166" s="36">
        <f t="shared" si="128"/>
        <v>1.383263899959546E-2</v>
      </c>
      <c r="I166" s="36">
        <f t="shared" si="128"/>
        <v>1.3465393048320895E-2</v>
      </c>
      <c r="J166" s="36">
        <f t="shared" si="128"/>
        <v>1.3188195048879053E-2</v>
      </c>
      <c r="K166" s="36">
        <f t="shared" si="128"/>
        <v>1.2966907635529074E-2</v>
      </c>
    </row>
    <row r="167" spans="1:11" ht="15" customHeight="1" x14ac:dyDescent="0.25">
      <c r="C167" s="37" t="s">
        <v>156</v>
      </c>
      <c r="D167" s="30">
        <f>D157+D165</f>
        <v>82799438</v>
      </c>
      <c r="E167" s="30">
        <f t="shared" ref="E167:K167" si="129">E157+E165</f>
        <v>86351074</v>
      </c>
      <c r="F167" s="30">
        <f t="shared" si="129"/>
        <v>84629058</v>
      </c>
      <c r="G167" s="30">
        <f t="shared" si="129"/>
        <v>86759301.032923192</v>
      </c>
      <c r="H167" s="30">
        <f t="shared" si="129"/>
        <v>92694527.222767293</v>
      </c>
      <c r="I167" s="30">
        <f t="shared" si="129"/>
        <v>109883130.65339704</v>
      </c>
      <c r="J167" s="30">
        <f t="shared" si="129"/>
        <v>126905436.19804949</v>
      </c>
      <c r="K167" s="30">
        <f t="shared" si="129"/>
        <v>143591405.04245025</v>
      </c>
    </row>
    <row r="169" spans="1:11" x14ac:dyDescent="0.25">
      <c r="C169" s="13" t="s">
        <v>157</v>
      </c>
      <c r="D169" s="247"/>
      <c r="E169" s="13"/>
      <c r="F169" s="13"/>
      <c r="G169" s="13"/>
      <c r="H169" s="13"/>
      <c r="I169" s="13"/>
      <c r="J169" s="13"/>
      <c r="K169" s="13"/>
    </row>
    <row r="170" spans="1:11" x14ac:dyDescent="0.25">
      <c r="C170" s="47" t="s">
        <v>107</v>
      </c>
      <c r="D170" s="48">
        <f t="shared" ref="D170:K170" si="130">D$13</f>
        <v>2023</v>
      </c>
      <c r="E170" s="48">
        <f t="shared" si="130"/>
        <v>2024</v>
      </c>
      <c r="F170" s="48">
        <f t="shared" si="130"/>
        <v>2025</v>
      </c>
      <c r="G170" s="49">
        <f t="shared" si="130"/>
        <v>2026</v>
      </c>
      <c r="H170" s="49">
        <f t="shared" si="130"/>
        <v>2027</v>
      </c>
      <c r="I170" s="49">
        <f t="shared" si="130"/>
        <v>2028</v>
      </c>
      <c r="J170" s="49">
        <f t="shared" si="130"/>
        <v>2029</v>
      </c>
      <c r="K170" s="49">
        <f t="shared" si="130"/>
        <v>2030</v>
      </c>
    </row>
    <row r="171" spans="1:11" x14ac:dyDescent="0.25">
      <c r="C171" s="42" t="s">
        <v>108</v>
      </c>
      <c r="D171" s="43">
        <f t="shared" ref="D171:K171" si="131">D$14</f>
        <v>45291</v>
      </c>
      <c r="E171" s="43">
        <f t="shared" si="131"/>
        <v>45657</v>
      </c>
      <c r="F171" s="43">
        <f t="shared" si="131"/>
        <v>46022</v>
      </c>
      <c r="G171" s="43">
        <f t="shared" si="131"/>
        <v>46387</v>
      </c>
      <c r="H171" s="43">
        <f t="shared" si="131"/>
        <v>46752</v>
      </c>
      <c r="I171" s="43">
        <f t="shared" si="131"/>
        <v>47118</v>
      </c>
      <c r="J171" s="43">
        <f t="shared" si="131"/>
        <v>47483</v>
      </c>
      <c r="K171" s="43">
        <f t="shared" si="131"/>
        <v>47848</v>
      </c>
    </row>
    <row r="172" spans="1:11" x14ac:dyDescent="0.25">
      <c r="C172" s="35"/>
      <c r="D172" s="248"/>
      <c r="E172" s="35"/>
      <c r="F172" s="194"/>
      <c r="G172" s="250"/>
      <c r="H172" s="35"/>
    </row>
    <row r="173" spans="1:11" x14ac:dyDescent="0.25">
      <c r="C173" s="17" t="s">
        <v>310</v>
      </c>
      <c r="D173" s="331">
        <v>1461003005</v>
      </c>
      <c r="E173" s="331">
        <v>2121515235</v>
      </c>
      <c r="F173" s="331">
        <v>2885160592</v>
      </c>
      <c r="G173" s="332">
        <f>F173*(1+G182)</f>
        <v>3519895922.2399998</v>
      </c>
      <c r="H173" s="332">
        <f t="shared" ref="H173:K173" si="132">G173*(1+H182)</f>
        <v>4153477188.2431993</v>
      </c>
      <c r="I173" s="332">
        <f t="shared" si="132"/>
        <v>4776498766.4796791</v>
      </c>
      <c r="J173" s="332">
        <f t="shared" si="132"/>
        <v>5349678618.4572411</v>
      </c>
      <c r="K173" s="332">
        <f t="shared" si="132"/>
        <v>5884646480.3029652</v>
      </c>
    </row>
    <row r="174" spans="1:11" x14ac:dyDescent="0.25">
      <c r="C174" s="17" t="s">
        <v>311</v>
      </c>
      <c r="D174" s="331">
        <v>0</v>
      </c>
      <c r="E174" s="331">
        <v>17568980</v>
      </c>
      <c r="F174" s="331">
        <v>22474435</v>
      </c>
      <c r="G174" s="332">
        <f>F174*(1+G183)</f>
        <v>22654230.48</v>
      </c>
      <c r="H174" s="332">
        <f t="shared" ref="H174:K174" si="133">G174*(1+H183)</f>
        <v>22835464.32384</v>
      </c>
      <c r="I174" s="332">
        <f t="shared" si="133"/>
        <v>23018148.038430721</v>
      </c>
      <c r="J174" s="332">
        <f t="shared" si="133"/>
        <v>23202293.222738165</v>
      </c>
      <c r="K174" s="332">
        <f t="shared" si="133"/>
        <v>23387911.568520069</v>
      </c>
    </row>
    <row r="175" spans="1:11" x14ac:dyDescent="0.25">
      <c r="C175" s="37" t="s">
        <v>312</v>
      </c>
      <c r="D175" s="333">
        <f>SUM(D173:D174)</f>
        <v>1461003005</v>
      </c>
      <c r="E175" s="333">
        <f t="shared" ref="E175:K175" si="134">SUM(E173:E174)</f>
        <v>2139084215</v>
      </c>
      <c r="F175" s="333">
        <f t="shared" si="134"/>
        <v>2907635027</v>
      </c>
      <c r="G175" s="333">
        <f t="shared" si="134"/>
        <v>3542550152.7199998</v>
      </c>
      <c r="H175" s="333">
        <f t="shared" si="134"/>
        <v>4176312652.5670395</v>
      </c>
      <c r="I175" s="333">
        <f t="shared" si="134"/>
        <v>4799516914.5181103</v>
      </c>
      <c r="J175" s="333">
        <f t="shared" si="134"/>
        <v>5372880911.6799793</v>
      </c>
      <c r="K175" s="333">
        <f t="shared" si="134"/>
        <v>5908034391.8714848</v>
      </c>
    </row>
    <row r="176" spans="1:11" x14ac:dyDescent="0.25">
      <c r="C176" s="195"/>
      <c r="D176" s="334"/>
      <c r="E176" s="334"/>
      <c r="F176" s="334"/>
      <c r="G176" s="334"/>
      <c r="H176" s="334"/>
      <c r="I176" s="334"/>
      <c r="J176" s="334"/>
      <c r="K176" s="334"/>
    </row>
    <row r="177" spans="3:11" x14ac:dyDescent="0.25">
      <c r="C177" s="223" t="s">
        <v>313</v>
      </c>
      <c r="D177" s="331">
        <v>0</v>
      </c>
      <c r="E177" s="331">
        <v>-21284457</v>
      </c>
      <c r="F177" s="331">
        <v>-29979054</v>
      </c>
      <c r="G177" s="332">
        <f>F177*(1+G184)</f>
        <v>-30308823.593999997</v>
      </c>
      <c r="H177" s="332">
        <f t="shared" ref="H177:K177" si="135">G177*(1+H184)</f>
        <v>-30642220.653533995</v>
      </c>
      <c r="I177" s="332">
        <f t="shared" si="135"/>
        <v>-30979285.080722865</v>
      </c>
      <c r="J177" s="332">
        <f t="shared" si="135"/>
        <v>-31320057.216610812</v>
      </c>
      <c r="K177" s="332">
        <f t="shared" si="135"/>
        <v>-31664577.845993526</v>
      </c>
    </row>
    <row r="178" spans="3:11" x14ac:dyDescent="0.25">
      <c r="C178" s="37" t="s">
        <v>314</v>
      </c>
      <c r="D178" s="333">
        <f>D175+D177</f>
        <v>1461003005</v>
      </c>
      <c r="E178" s="333">
        <f t="shared" ref="E178:K178" si="136">E175+E177</f>
        <v>2117799758</v>
      </c>
      <c r="F178" s="333">
        <f t="shared" si="136"/>
        <v>2877655973</v>
      </c>
      <c r="G178" s="333">
        <f t="shared" si="136"/>
        <v>3512241329.1259999</v>
      </c>
      <c r="H178" s="333">
        <f t="shared" si="136"/>
        <v>4145670431.9135056</v>
      </c>
      <c r="I178" s="333">
        <f t="shared" si="136"/>
        <v>4768537629.4373875</v>
      </c>
      <c r="J178" s="333">
        <f t="shared" si="136"/>
        <v>5341560854.4633684</v>
      </c>
      <c r="K178" s="333">
        <f t="shared" si="136"/>
        <v>5876369814.0254908</v>
      </c>
    </row>
    <row r="179" spans="3:11" x14ac:dyDescent="0.25">
      <c r="C179" s="195"/>
      <c r="D179" s="201"/>
      <c r="E179" s="201"/>
      <c r="F179" s="201"/>
      <c r="G179" s="201"/>
      <c r="H179" s="201"/>
      <c r="I179" s="201"/>
      <c r="J179" s="201"/>
      <c r="K179" s="201"/>
    </row>
    <row r="180" spans="3:11" x14ac:dyDescent="0.25">
      <c r="C180" s="6" t="s">
        <v>158</v>
      </c>
      <c r="D180" s="198"/>
      <c r="E180" s="198"/>
      <c r="F180" s="198"/>
      <c r="G180" s="198"/>
      <c r="H180" s="198"/>
      <c r="I180" s="198"/>
      <c r="J180" s="198"/>
      <c r="K180" s="198"/>
    </row>
    <row r="181" spans="3:11" x14ac:dyDescent="0.25">
      <c r="D181" s="198"/>
      <c r="E181" s="198"/>
      <c r="F181" s="198"/>
      <c r="G181" s="198"/>
      <c r="H181" s="198"/>
      <c r="I181" s="198"/>
      <c r="J181" s="198"/>
      <c r="K181" s="198"/>
    </row>
    <row r="182" spans="3:11" x14ac:dyDescent="0.25">
      <c r="C182" s="330" t="str">
        <f>C173&amp;" %"</f>
        <v>Gross Product Sales %</v>
      </c>
      <c r="D182" s="1"/>
      <c r="E182" s="1">
        <f>E173/D173-1</f>
        <v>0.45209505233016278</v>
      </c>
      <c r="F182" s="1">
        <f t="shared" ref="F182" si="137">F173/E173-1</f>
        <v>0.35995280373275285</v>
      </c>
      <c r="G182" s="209">
        <v>0.22</v>
      </c>
      <c r="H182" s="209">
        <v>0.18</v>
      </c>
      <c r="I182" s="209">
        <v>0.15</v>
      </c>
      <c r="J182" s="209">
        <v>0.12</v>
      </c>
      <c r="K182" s="209">
        <v>0.1</v>
      </c>
    </row>
    <row r="183" spans="3:11" x14ac:dyDescent="0.25">
      <c r="C183" s="330" t="str">
        <f>C174&amp;" %"</f>
        <v>Delivery Service Revenue %</v>
      </c>
      <c r="D183" s="1"/>
      <c r="E183" s="1"/>
      <c r="F183" s="1">
        <f>F174/E174-1</f>
        <v>0.27921114373173617</v>
      </c>
      <c r="G183" s="209">
        <v>8.0000000000000002E-3</v>
      </c>
      <c r="H183" s="209">
        <v>8.0000000000000002E-3</v>
      </c>
      <c r="I183" s="209">
        <v>8.0000000000000002E-3</v>
      </c>
      <c r="J183" s="209">
        <v>8.0000000000000002E-3</v>
      </c>
      <c r="K183" s="209">
        <v>8.0000000000000002E-3</v>
      </c>
    </row>
    <row r="184" spans="3:11" x14ac:dyDescent="0.25">
      <c r="C184" s="330" t="str">
        <f>C177&amp;" %"</f>
        <v>(Less) Customer Loyalty Points %</v>
      </c>
      <c r="D184" s="1"/>
      <c r="E184" s="1"/>
      <c r="F184" s="1">
        <f t="shared" ref="F184" si="138">F177/E177-1</f>
        <v>0.40849512862836956</v>
      </c>
      <c r="G184" s="209">
        <v>1.0999999999999999E-2</v>
      </c>
      <c r="H184" s="209">
        <v>1.0999999999999999E-2</v>
      </c>
      <c r="I184" s="209">
        <v>1.0999999999999999E-2</v>
      </c>
      <c r="J184" s="209">
        <v>1.0999999999999999E-2</v>
      </c>
      <c r="K184" s="209">
        <v>1.0999999999999999E-2</v>
      </c>
    </row>
    <row r="185" spans="3:11" x14ac:dyDescent="0.25">
      <c r="C185" s="223"/>
      <c r="D185" s="7"/>
      <c r="E185" s="1"/>
      <c r="F185" s="1"/>
      <c r="G185" s="1"/>
      <c r="H185" s="1"/>
      <c r="I185" s="1"/>
      <c r="J185" s="1"/>
      <c r="K185" s="1"/>
    </row>
    <row r="186" spans="3:11" x14ac:dyDescent="0.25">
      <c r="C186" s="13" t="s">
        <v>159</v>
      </c>
    </row>
    <row r="187" spans="3:11" x14ac:dyDescent="0.25">
      <c r="C187" s="47" t="s">
        <v>107</v>
      </c>
      <c r="D187" s="48">
        <f t="shared" ref="D187:K187" si="139">D$13</f>
        <v>2023</v>
      </c>
      <c r="E187" s="48">
        <f t="shared" si="139"/>
        <v>2024</v>
      </c>
      <c r="F187" s="48">
        <f t="shared" si="139"/>
        <v>2025</v>
      </c>
      <c r="G187" s="49">
        <f t="shared" si="139"/>
        <v>2026</v>
      </c>
      <c r="H187" s="49">
        <f t="shared" si="139"/>
        <v>2027</v>
      </c>
      <c r="I187" s="49">
        <f t="shared" si="139"/>
        <v>2028</v>
      </c>
      <c r="J187" s="49">
        <f t="shared" si="139"/>
        <v>2029</v>
      </c>
      <c r="K187" s="49">
        <f t="shared" si="139"/>
        <v>2030</v>
      </c>
    </row>
    <row r="188" spans="3:11" x14ac:dyDescent="0.25">
      <c r="C188" s="42" t="s">
        <v>108</v>
      </c>
      <c r="D188" s="240">
        <f t="shared" ref="D188:K188" si="140">D$14</f>
        <v>45291</v>
      </c>
      <c r="E188" s="225">
        <f t="shared" si="140"/>
        <v>45657</v>
      </c>
      <c r="F188" s="225">
        <f t="shared" si="140"/>
        <v>46022</v>
      </c>
      <c r="G188" s="225">
        <f t="shared" si="140"/>
        <v>46387</v>
      </c>
      <c r="H188" s="225">
        <f t="shared" si="140"/>
        <v>46752</v>
      </c>
      <c r="I188" s="225">
        <f t="shared" si="140"/>
        <v>47118</v>
      </c>
      <c r="J188" s="225">
        <f t="shared" si="140"/>
        <v>47483</v>
      </c>
      <c r="K188" s="225">
        <f t="shared" si="140"/>
        <v>47848</v>
      </c>
    </row>
    <row r="189" spans="3:11" x14ac:dyDescent="0.25">
      <c r="D189" s="6"/>
    </row>
    <row r="190" spans="3:11" x14ac:dyDescent="0.25">
      <c r="C190" s="13" t="s">
        <v>160</v>
      </c>
      <c r="D190" s="6"/>
    </row>
    <row r="191" spans="3:11" x14ac:dyDescent="0.25">
      <c r="C191" s="17" t="s">
        <v>322</v>
      </c>
      <c r="D191" s="27">
        <f t="shared" ref="D191:F194" si="141">D69</f>
        <v>138912639</v>
      </c>
      <c r="E191" s="27">
        <f t="shared" si="141"/>
        <v>208473803</v>
      </c>
      <c r="F191" s="27">
        <f t="shared" si="141"/>
        <v>258826409</v>
      </c>
      <c r="G191" s="27">
        <f>G214/365*-G17</f>
        <v>331829223.09092742</v>
      </c>
      <c r="H191" s="27">
        <f t="shared" ref="H191:K191" si="142">H214/365*-H17</f>
        <v>391674281.37838453</v>
      </c>
      <c r="I191" s="27">
        <f t="shared" si="142"/>
        <v>450521472.92219722</v>
      </c>
      <c r="J191" s="27">
        <f t="shared" si="142"/>
        <v>504659510.07716274</v>
      </c>
      <c r="K191" s="27">
        <f t="shared" si="142"/>
        <v>555187143.26737046</v>
      </c>
    </row>
    <row r="192" spans="3:11" x14ac:dyDescent="0.25">
      <c r="C192" s="17" t="s">
        <v>342</v>
      </c>
      <c r="D192" s="27">
        <f t="shared" si="141"/>
        <v>16938225</v>
      </c>
      <c r="E192" s="27">
        <f t="shared" si="141"/>
        <v>27584770</v>
      </c>
      <c r="F192" s="27">
        <f t="shared" si="141"/>
        <v>31142087</v>
      </c>
      <c r="G192" s="27">
        <f>G215/365*G16</f>
        <v>38009590.466301903</v>
      </c>
      <c r="H192" s="27">
        <f t="shared" ref="H192:K192" si="143">H215/365*H16</f>
        <v>44864580.921180867</v>
      </c>
      <c r="I192" s="27">
        <f t="shared" si="143"/>
        <v>51605270.09206631</v>
      </c>
      <c r="J192" s="27">
        <f t="shared" si="143"/>
        <v>57806546.163359798</v>
      </c>
      <c r="K192" s="27">
        <f t="shared" si="143"/>
        <v>63594266.204716906</v>
      </c>
    </row>
    <row r="193" spans="3:11" x14ac:dyDescent="0.25">
      <c r="C193" s="17" t="s">
        <v>343</v>
      </c>
      <c r="D193" s="27">
        <f t="shared" si="141"/>
        <v>39168713</v>
      </c>
      <c r="E193" s="27">
        <f t="shared" si="141"/>
        <v>51382391</v>
      </c>
      <c r="F193" s="27">
        <f t="shared" si="141"/>
        <v>69499941</v>
      </c>
      <c r="G193" s="27">
        <f>$F193/$F$16*G$16</f>
        <v>84826180.558873415</v>
      </c>
      <c r="H193" s="27">
        <f t="shared" ref="H193:K194" si="144">$F193/$F$16*H$16</f>
        <v>100124494.77171507</v>
      </c>
      <c r="I193" s="27">
        <f t="shared" si="144"/>
        <v>115167722.27524999</v>
      </c>
      <c r="J193" s="27">
        <f t="shared" si="144"/>
        <v>129007139.04521821</v>
      </c>
      <c r="K193" s="27">
        <f t="shared" si="144"/>
        <v>141923620.89175716</v>
      </c>
    </row>
    <row r="194" spans="3:11" x14ac:dyDescent="0.25">
      <c r="C194" s="17" t="s">
        <v>325</v>
      </c>
      <c r="D194" s="27">
        <f t="shared" si="141"/>
        <v>4251648</v>
      </c>
      <c r="E194" s="27">
        <f t="shared" si="141"/>
        <v>3388601</v>
      </c>
      <c r="F194" s="27">
        <f t="shared" si="141"/>
        <v>0</v>
      </c>
      <c r="G194" s="27">
        <f>$F194/$F$16*G$16</f>
        <v>0</v>
      </c>
      <c r="H194" s="27">
        <f t="shared" si="144"/>
        <v>0</v>
      </c>
      <c r="I194" s="27">
        <f t="shared" si="144"/>
        <v>0</v>
      </c>
      <c r="J194" s="27">
        <f t="shared" si="144"/>
        <v>0</v>
      </c>
      <c r="K194" s="27">
        <f t="shared" si="144"/>
        <v>0</v>
      </c>
    </row>
    <row r="195" spans="3:11" x14ac:dyDescent="0.25">
      <c r="C195" s="13" t="s">
        <v>161</v>
      </c>
      <c r="D195" s="210">
        <f>SUM(D191:D194)</f>
        <v>199271225</v>
      </c>
      <c r="E195" s="210">
        <f t="shared" ref="E195:K195" si="145">SUM(E191:E194)</f>
        <v>290829565</v>
      </c>
      <c r="F195" s="210">
        <f t="shared" si="145"/>
        <v>359468437</v>
      </c>
      <c r="G195" s="210">
        <f t="shared" si="145"/>
        <v>454664994.11610276</v>
      </c>
      <c r="H195" s="210">
        <f t="shared" si="145"/>
        <v>536663357.07128048</v>
      </c>
      <c r="I195" s="210">
        <f t="shared" si="145"/>
        <v>617294465.28951347</v>
      </c>
      <c r="J195" s="210">
        <f t="shared" si="145"/>
        <v>691473195.28574073</v>
      </c>
      <c r="K195" s="210">
        <f t="shared" si="145"/>
        <v>760705030.36384451</v>
      </c>
    </row>
    <row r="196" spans="3:11" x14ac:dyDescent="0.25">
      <c r="C196" s="13"/>
      <c r="E196" s="28"/>
      <c r="F196" s="28"/>
      <c r="G196" s="7"/>
      <c r="H196" s="7"/>
      <c r="I196" s="7"/>
      <c r="J196" s="7"/>
      <c r="K196" s="7"/>
    </row>
    <row r="197" spans="3:11" x14ac:dyDescent="0.25">
      <c r="C197" s="13" t="s">
        <v>162</v>
      </c>
      <c r="E197" s="28"/>
      <c r="F197" s="28"/>
      <c r="G197" s="7"/>
      <c r="H197" s="7"/>
      <c r="I197" s="7"/>
      <c r="J197" s="7"/>
      <c r="K197" s="7"/>
    </row>
    <row r="198" spans="3:11" x14ac:dyDescent="0.25">
      <c r="C198" s="17" t="s">
        <v>344</v>
      </c>
      <c r="D198" s="19">
        <f>D95</f>
        <v>157741673</v>
      </c>
      <c r="E198" s="19">
        <f>E95</f>
        <v>215771496</v>
      </c>
      <c r="F198" s="19">
        <f>F95</f>
        <v>242113642</v>
      </c>
      <c r="G198" s="27">
        <f>G216/365*-G17</f>
        <v>344016365.1439603</v>
      </c>
      <c r="H198" s="27">
        <f t="shared" ref="H198:K198" si="146">H216/365*-H17</f>
        <v>406059361.93643391</v>
      </c>
      <c r="I198" s="27">
        <f t="shared" si="146"/>
        <v>467067843.1824798</v>
      </c>
      <c r="J198" s="27">
        <f t="shared" si="146"/>
        <v>523194216.21435857</v>
      </c>
      <c r="K198" s="27">
        <f t="shared" si="146"/>
        <v>575577585.42912936</v>
      </c>
    </row>
    <row r="199" spans="3:11" x14ac:dyDescent="0.25">
      <c r="C199" s="17" t="s">
        <v>345</v>
      </c>
      <c r="D199" s="19">
        <f>D97</f>
        <v>88281718</v>
      </c>
      <c r="E199" s="19">
        <f>E97</f>
        <v>104670165</v>
      </c>
      <c r="F199" s="19">
        <f>F97</f>
        <v>216739864</v>
      </c>
      <c r="G199" s="27">
        <f>$F199/$F$16*G$16</f>
        <v>264535689.86439386</v>
      </c>
      <c r="H199" s="27">
        <f t="shared" ref="H199:K199" si="147">$F199/$F$16*H$16</f>
        <v>312244428.81023794</v>
      </c>
      <c r="I199" s="27">
        <f t="shared" si="147"/>
        <v>359157664.07812428</v>
      </c>
      <c r="J199" s="27">
        <f t="shared" si="147"/>
        <v>402316741.12773257</v>
      </c>
      <c r="K199" s="27">
        <f t="shared" si="147"/>
        <v>442597588.54280192</v>
      </c>
    </row>
    <row r="200" spans="3:11" x14ac:dyDescent="0.25">
      <c r="C200" s="17" t="s">
        <v>335</v>
      </c>
      <c r="D200" s="19">
        <f>D91</f>
        <v>0</v>
      </c>
      <c r="E200" s="19">
        <f>E91</f>
        <v>22336568</v>
      </c>
      <c r="F200" s="19">
        <f>F91</f>
        <v>69211808</v>
      </c>
      <c r="G200" s="27">
        <f>$F200/$F$29*G$29</f>
        <v>76554283.285525307</v>
      </c>
      <c r="H200" s="27">
        <f t="shared" ref="H200:K200" si="148">$F200/$F$29*H$29</f>
        <v>104629103.5238364</v>
      </c>
      <c r="I200" s="27">
        <f t="shared" si="148"/>
        <v>120229324.72750016</v>
      </c>
      <c r="J200" s="27">
        <f t="shared" si="148"/>
        <v>133213549.88883273</v>
      </c>
      <c r="K200" s="27">
        <f t="shared" si="148"/>
        <v>147703732.11554185</v>
      </c>
    </row>
    <row r="201" spans="3:11" x14ac:dyDescent="0.25">
      <c r="C201" s="17" t="s">
        <v>340</v>
      </c>
      <c r="D201" s="19">
        <f>D96</f>
        <v>30978907</v>
      </c>
      <c r="E201" s="19">
        <f>E96</f>
        <v>1030309</v>
      </c>
      <c r="F201" s="19">
        <f>F96</f>
        <v>3590464</v>
      </c>
      <c r="G201" s="27">
        <f>$F201/$F$16*G$16</f>
        <v>4382238.9367803186</v>
      </c>
      <c r="H201" s="27">
        <f t="shared" ref="H201:K201" si="149">$F201/$F$16*H$16</f>
        <v>5172571.2111903979</v>
      </c>
      <c r="I201" s="27">
        <f t="shared" si="149"/>
        <v>5949725.350001134</v>
      </c>
      <c r="J201" s="27">
        <f t="shared" si="149"/>
        <v>6664688.9453452965</v>
      </c>
      <c r="K201" s="27">
        <f t="shared" si="149"/>
        <v>7331972.4337823819</v>
      </c>
    </row>
    <row r="202" spans="3:11" x14ac:dyDescent="0.25">
      <c r="C202" s="13" t="s">
        <v>163</v>
      </c>
      <c r="D202" s="213">
        <f>SUM(D198:D201)</f>
        <v>277002298</v>
      </c>
      <c r="E202" s="213">
        <f t="shared" ref="E202:K202" si="150">SUM(E198:E201)</f>
        <v>343808538</v>
      </c>
      <c r="F202" s="213">
        <f t="shared" si="150"/>
        <v>531655778</v>
      </c>
      <c r="G202" s="213">
        <f t="shared" si="150"/>
        <v>689488577.23065984</v>
      </c>
      <c r="H202" s="213">
        <f t="shared" si="150"/>
        <v>828105465.48169863</v>
      </c>
      <c r="I202" s="213">
        <f t="shared" si="150"/>
        <v>952404557.33810544</v>
      </c>
      <c r="J202" s="213">
        <f t="shared" si="150"/>
        <v>1065389196.1762691</v>
      </c>
      <c r="K202" s="213">
        <f t="shared" si="150"/>
        <v>1173210878.5212555</v>
      </c>
    </row>
    <row r="203" spans="3:11" x14ac:dyDescent="0.25">
      <c r="E203" s="28"/>
      <c r="F203" s="28"/>
      <c r="G203" s="7"/>
      <c r="H203" s="7"/>
      <c r="I203" s="7"/>
      <c r="J203" s="7"/>
      <c r="K203" s="7"/>
    </row>
    <row r="204" spans="3:11" x14ac:dyDescent="0.25">
      <c r="C204" s="6" t="s">
        <v>164</v>
      </c>
      <c r="D204" s="19">
        <f>D195-D202</f>
        <v>-77731073</v>
      </c>
      <c r="E204" s="19">
        <f t="shared" ref="E204:K204" si="151">E195-E202</f>
        <v>-52978973</v>
      </c>
      <c r="F204" s="19">
        <f t="shared" si="151"/>
        <v>-172187341</v>
      </c>
      <c r="G204" s="19">
        <f t="shared" si="151"/>
        <v>-234823583.11455709</v>
      </c>
      <c r="H204" s="19">
        <f t="shared" si="151"/>
        <v>-291442108.41041815</v>
      </c>
      <c r="I204" s="19">
        <f t="shared" si="151"/>
        <v>-335110092.04859197</v>
      </c>
      <c r="J204" s="19">
        <f t="shared" si="151"/>
        <v>-373916000.89052832</v>
      </c>
      <c r="K204" s="19">
        <f t="shared" si="151"/>
        <v>-412505848.15741098</v>
      </c>
    </row>
    <row r="205" spans="3:11" x14ac:dyDescent="0.25">
      <c r="C205" s="6" t="s">
        <v>165</v>
      </c>
      <c r="D205" s="22">
        <f t="shared" ref="D205:K205" si="152">D204/D16</f>
        <v>-5.320391041906173E-2</v>
      </c>
      <c r="E205" s="22">
        <f t="shared" si="152"/>
        <v>-2.5016044505563686E-2</v>
      </c>
      <c r="F205" s="22">
        <f t="shared" si="152"/>
        <v>-5.9835971573937691E-2</v>
      </c>
      <c r="G205" s="22">
        <f t="shared" si="152"/>
        <v>-6.6858612808645329E-2</v>
      </c>
      <c r="H205" s="22">
        <f t="shared" si="152"/>
        <v>-7.0300356286618279E-2</v>
      </c>
      <c r="I205" s="22">
        <f t="shared" si="152"/>
        <v>-7.027523280509998E-2</v>
      </c>
      <c r="J205" s="22">
        <f t="shared" si="152"/>
        <v>-7.0001262005296994E-2</v>
      </c>
      <c r="K205" s="22">
        <f t="shared" si="152"/>
        <v>-7.0197394175713398E-2</v>
      </c>
    </row>
    <row r="206" spans="3:11" x14ac:dyDescent="0.25">
      <c r="C206" s="6" t="s">
        <v>166</v>
      </c>
      <c r="D206" s="19"/>
      <c r="E206" s="183">
        <f>D204-E204</f>
        <v>-24752100</v>
      </c>
      <c r="F206" s="183">
        <f t="shared" ref="F206:K206" si="153">E204-F204</f>
        <v>119208368</v>
      </c>
      <c r="G206" s="183">
        <f t="shared" si="153"/>
        <v>62636242.114557087</v>
      </c>
      <c r="H206" s="183">
        <f t="shared" si="153"/>
        <v>56618525.295861065</v>
      </c>
      <c r="I206" s="183">
        <f t="shared" si="153"/>
        <v>43667983.638173819</v>
      </c>
      <c r="J206" s="183">
        <f t="shared" si="153"/>
        <v>38805908.84193635</v>
      </c>
      <c r="K206" s="183">
        <f t="shared" si="153"/>
        <v>38589847.266882658</v>
      </c>
    </row>
    <row r="207" spans="3:11" x14ac:dyDescent="0.25">
      <c r="D207" s="19"/>
      <c r="E207" s="183"/>
      <c r="F207" s="183"/>
      <c r="G207" s="183"/>
      <c r="H207" s="183"/>
      <c r="I207" s="183"/>
      <c r="J207" s="183"/>
      <c r="K207" s="183"/>
    </row>
    <row r="208" spans="3:11" x14ac:dyDescent="0.25">
      <c r="C208" s="13" t="s">
        <v>346</v>
      </c>
      <c r="G208" s="233"/>
      <c r="H208" s="233"/>
      <c r="I208" s="233"/>
      <c r="J208" s="233"/>
      <c r="K208" s="233"/>
    </row>
    <row r="209" spans="3:11" x14ac:dyDescent="0.25">
      <c r="C209" s="17" t="s">
        <v>322</v>
      </c>
      <c r="D209" s="335">
        <f t="shared" ref="D209:K209" si="154">-D17/AVERAGE(D191:E191)</f>
        <v>5.6929976674219196</v>
      </c>
      <c r="E209" s="335">
        <f t="shared" si="154"/>
        <v>6.1031672975145153</v>
      </c>
      <c r="F209" s="335">
        <f t="shared" si="154"/>
        <v>6.5132434382810862</v>
      </c>
      <c r="G209" s="335">
        <f t="shared" si="154"/>
        <v>6.5328599686121569</v>
      </c>
      <c r="H209" s="335">
        <f t="shared" si="154"/>
        <v>6.6243209448131717</v>
      </c>
      <c r="I209" s="335">
        <f t="shared" si="154"/>
        <v>6.7182967980235011</v>
      </c>
      <c r="J209" s="335">
        <f t="shared" si="154"/>
        <v>6.7824216732056826</v>
      </c>
      <c r="K209" s="335">
        <f t="shared" si="154"/>
        <v>7.1219572487788581</v>
      </c>
    </row>
    <row r="210" spans="3:11" x14ac:dyDescent="0.25">
      <c r="C210" s="17" t="s">
        <v>342</v>
      </c>
      <c r="D210" s="335">
        <f t="shared" ref="D210:K210" si="155">D16/AVERAGE(D192:E192)</f>
        <v>65.629143097853145</v>
      </c>
      <c r="E210" s="335">
        <f t="shared" si="155"/>
        <v>72.123722132788416</v>
      </c>
      <c r="F210" s="335">
        <f t="shared" si="155"/>
        <v>83.227365652909924</v>
      </c>
      <c r="G210" s="335">
        <f t="shared" si="155"/>
        <v>84.7608192111948</v>
      </c>
      <c r="H210" s="335">
        <f t="shared" si="155"/>
        <v>85.947482832625596</v>
      </c>
      <c r="I210" s="335">
        <f t="shared" si="155"/>
        <v>87.166775813410354</v>
      </c>
      <c r="J210" s="335">
        <f t="shared" si="155"/>
        <v>87.998766240018568</v>
      </c>
      <c r="K210" s="335">
        <f t="shared" si="155"/>
        <v>92.404082391780619</v>
      </c>
    </row>
    <row r="211" spans="3:11" x14ac:dyDescent="0.25">
      <c r="C211" s="17" t="s">
        <v>344</v>
      </c>
      <c r="D211" s="335">
        <f t="shared" ref="D211:K211" si="156">-D19/AVERAGE(D198:E198)</f>
        <v>1.6751979580136303</v>
      </c>
      <c r="E211" s="335">
        <f t="shared" si="156"/>
        <v>1.7726495940560534</v>
      </c>
      <c r="F211" s="335">
        <f t="shared" si="156"/>
        <v>2.0212408468434235</v>
      </c>
      <c r="G211" s="335">
        <f t="shared" si="156"/>
        <v>1.8440505418520825</v>
      </c>
      <c r="H211" s="335">
        <f t="shared" si="156"/>
        <v>1.8681572367269839</v>
      </c>
      <c r="I211" s="335">
        <f t="shared" si="156"/>
        <v>1.8934035640607243</v>
      </c>
      <c r="J211" s="335">
        <f t="shared" si="156"/>
        <v>1.9105701991976041</v>
      </c>
      <c r="K211" s="335">
        <f t="shared" si="156"/>
        <v>2.0054953125801691</v>
      </c>
    </row>
    <row r="212" spans="3:11" x14ac:dyDescent="0.25">
      <c r="C212" s="17"/>
      <c r="D212" s="235"/>
      <c r="E212" s="235"/>
      <c r="F212" s="235"/>
      <c r="G212" s="251"/>
      <c r="H212" s="251"/>
      <c r="I212" s="251"/>
      <c r="J212" s="251"/>
      <c r="K212" s="251"/>
    </row>
    <row r="213" spans="3:11" x14ac:dyDescent="0.25">
      <c r="C213" s="13" t="s">
        <v>347</v>
      </c>
      <c r="G213" s="251"/>
      <c r="H213" s="251"/>
      <c r="I213" s="251"/>
      <c r="J213" s="251"/>
      <c r="K213" s="251"/>
    </row>
    <row r="214" spans="3:11" x14ac:dyDescent="0.25">
      <c r="C214" s="17" t="s">
        <v>167</v>
      </c>
      <c r="D214" s="235">
        <f>D191/-D17*365</f>
        <v>51.275600079779529</v>
      </c>
      <c r="E214" s="235">
        <f>E191/-E17*365</f>
        <v>53.360893888469391</v>
      </c>
      <c r="F214" s="235">
        <f>F191/-F17*365</f>
        <v>49.113375870937588</v>
      </c>
      <c r="G214" s="251">
        <f>AVERAGE(D214:F214)</f>
        <v>51.24995661306216</v>
      </c>
      <c r="H214" s="251">
        <f>G214</f>
        <v>51.24995661306216</v>
      </c>
      <c r="I214" s="251">
        <f t="shared" ref="I214:K214" si="157">H214</f>
        <v>51.24995661306216</v>
      </c>
      <c r="J214" s="251">
        <f t="shared" si="157"/>
        <v>51.24995661306216</v>
      </c>
      <c r="K214" s="251">
        <f t="shared" si="157"/>
        <v>51.24995661306216</v>
      </c>
    </row>
    <row r="215" spans="3:11" x14ac:dyDescent="0.25">
      <c r="C215" s="17" t="s">
        <v>168</v>
      </c>
      <c r="D215" s="235">
        <f>D192/D16*365</f>
        <v>4.2316491505094476</v>
      </c>
      <c r="E215" s="235">
        <f>E192/E16*365</f>
        <v>4.7541987914421133</v>
      </c>
      <c r="F215" s="235">
        <f>F192/F16*365</f>
        <v>3.950041930533438</v>
      </c>
      <c r="G215" s="251">
        <f>F215</f>
        <v>3.950041930533438</v>
      </c>
      <c r="H215" s="251">
        <f>G215</f>
        <v>3.950041930533438</v>
      </c>
      <c r="I215" s="251">
        <f t="shared" ref="I215:K215" si="158">H215</f>
        <v>3.950041930533438</v>
      </c>
      <c r="J215" s="251">
        <f t="shared" si="158"/>
        <v>3.950041930533438</v>
      </c>
      <c r="K215" s="251">
        <f t="shared" si="158"/>
        <v>3.950041930533438</v>
      </c>
    </row>
    <row r="216" spans="3:11" x14ac:dyDescent="0.25">
      <c r="C216" s="17" t="s">
        <v>169</v>
      </c>
      <c r="D216" s="235">
        <f>D198/-D17*365</f>
        <v>58.22579571512825</v>
      </c>
      <c r="E216" s="235">
        <f>E198/-E17*365</f>
        <v>55.228809262966713</v>
      </c>
      <c r="F216" s="235">
        <f>F198/-F17*365</f>
        <v>45.942059579506129</v>
      </c>
      <c r="G216" s="251">
        <f>AVERAGE(D216:F216)</f>
        <v>53.132221519200364</v>
      </c>
      <c r="H216" s="251">
        <f>G216</f>
        <v>53.132221519200364</v>
      </c>
      <c r="I216" s="251">
        <f t="shared" ref="I216:K216" si="159">H216</f>
        <v>53.132221519200364</v>
      </c>
      <c r="J216" s="251">
        <f t="shared" si="159"/>
        <v>53.132221519200364</v>
      </c>
      <c r="K216" s="251">
        <f t="shared" si="159"/>
        <v>53.132221519200364</v>
      </c>
    </row>
    <row r="217" spans="3:11" x14ac:dyDescent="0.25">
      <c r="D217" s="234"/>
      <c r="E217" s="234"/>
      <c r="F217" s="234"/>
      <c r="G217" s="233"/>
      <c r="H217" s="233"/>
      <c r="I217" s="233"/>
      <c r="J217" s="233"/>
      <c r="K217" s="233"/>
    </row>
    <row r="218" spans="3:11" x14ac:dyDescent="0.25">
      <c r="C218" s="13" t="s">
        <v>170</v>
      </c>
    </row>
    <row r="219" spans="3:11" x14ac:dyDescent="0.25">
      <c r="C219" s="47" t="s">
        <v>107</v>
      </c>
      <c r="D219" s="48">
        <f t="shared" ref="D219:K219" si="160">D$13</f>
        <v>2023</v>
      </c>
      <c r="E219" s="48">
        <f t="shared" si="160"/>
        <v>2024</v>
      </c>
      <c r="F219" s="48">
        <f t="shared" si="160"/>
        <v>2025</v>
      </c>
      <c r="G219" s="49">
        <f t="shared" si="160"/>
        <v>2026</v>
      </c>
      <c r="H219" s="49">
        <f t="shared" si="160"/>
        <v>2027</v>
      </c>
      <c r="I219" s="49">
        <f t="shared" si="160"/>
        <v>2028</v>
      </c>
      <c r="J219" s="49">
        <f t="shared" si="160"/>
        <v>2029</v>
      </c>
      <c r="K219" s="49">
        <f t="shared" si="160"/>
        <v>2030</v>
      </c>
    </row>
    <row r="220" spans="3:11" x14ac:dyDescent="0.25">
      <c r="C220" s="42" t="s">
        <v>108</v>
      </c>
      <c r="D220" s="240">
        <f t="shared" ref="D220:K220" si="161">D$14</f>
        <v>45291</v>
      </c>
      <c r="E220" s="225">
        <f t="shared" si="161"/>
        <v>45657</v>
      </c>
      <c r="F220" s="225">
        <f t="shared" si="161"/>
        <v>46022</v>
      </c>
      <c r="G220" s="225">
        <f t="shared" si="161"/>
        <v>46387</v>
      </c>
      <c r="H220" s="225">
        <f t="shared" si="161"/>
        <v>46752</v>
      </c>
      <c r="I220" s="225">
        <f t="shared" si="161"/>
        <v>47118</v>
      </c>
      <c r="J220" s="225">
        <f t="shared" si="161"/>
        <v>47483</v>
      </c>
      <c r="K220" s="225">
        <f t="shared" si="161"/>
        <v>47848</v>
      </c>
    </row>
    <row r="222" spans="3:11" x14ac:dyDescent="0.25">
      <c r="C222" s="13" t="s">
        <v>171</v>
      </c>
      <c r="D222" s="19"/>
      <c r="E222" s="183"/>
      <c r="F222" s="183"/>
      <c r="G222" s="183"/>
      <c r="H222" s="183"/>
      <c r="I222" s="183"/>
      <c r="J222" s="183"/>
      <c r="K222" s="183"/>
    </row>
    <row r="223" spans="3:11" x14ac:dyDescent="0.25">
      <c r="C223" s="29" t="s">
        <v>148</v>
      </c>
      <c r="D223" s="19"/>
      <c r="E223" s="183">
        <f>D224</f>
        <v>127986330</v>
      </c>
      <c r="F223" s="183">
        <f t="shared" ref="F223:K223" si="162">E224</f>
        <v>50000047</v>
      </c>
      <c r="G223" s="183">
        <f t="shared" si="162"/>
        <v>22377172</v>
      </c>
      <c r="H223" s="183">
        <f t="shared" si="162"/>
        <v>22377172</v>
      </c>
      <c r="I223" s="183">
        <f t="shared" si="162"/>
        <v>22377172</v>
      </c>
      <c r="J223" s="183">
        <f t="shared" si="162"/>
        <v>22377172</v>
      </c>
      <c r="K223" s="183">
        <f t="shared" si="162"/>
        <v>22377172</v>
      </c>
    </row>
    <row r="224" spans="3:11" x14ac:dyDescent="0.25">
      <c r="C224" s="29" t="s">
        <v>151</v>
      </c>
      <c r="D224" s="19">
        <f t="shared" ref="D224:K224" si="163">D92+D94+D101</f>
        <v>127986330</v>
      </c>
      <c r="E224" s="19">
        <f t="shared" si="163"/>
        <v>50000047</v>
      </c>
      <c r="F224" s="19">
        <f t="shared" si="163"/>
        <v>22377172</v>
      </c>
      <c r="G224" s="19">
        <f t="shared" si="163"/>
        <v>22377172</v>
      </c>
      <c r="H224" s="19">
        <f t="shared" si="163"/>
        <v>22377172</v>
      </c>
      <c r="I224" s="19">
        <f t="shared" si="163"/>
        <v>22377172</v>
      </c>
      <c r="J224" s="19">
        <f t="shared" si="163"/>
        <v>22377172</v>
      </c>
      <c r="K224" s="19">
        <f t="shared" si="163"/>
        <v>22377172</v>
      </c>
    </row>
    <row r="225" spans="3:11" x14ac:dyDescent="0.25">
      <c r="C225" s="29" t="s">
        <v>172</v>
      </c>
      <c r="D225" s="19"/>
      <c r="E225" s="183">
        <f>AVERAGE(E223,E224)</f>
        <v>88993188.5</v>
      </c>
      <c r="F225" s="183">
        <f t="shared" ref="F225:K225" si="164">AVERAGE(F223,F224)</f>
        <v>36188609.5</v>
      </c>
      <c r="G225" s="183">
        <f t="shared" si="164"/>
        <v>22377172</v>
      </c>
      <c r="H225" s="183">
        <f t="shared" si="164"/>
        <v>22377172</v>
      </c>
      <c r="I225" s="183">
        <f t="shared" si="164"/>
        <v>22377172</v>
      </c>
      <c r="J225" s="183">
        <f t="shared" si="164"/>
        <v>22377172</v>
      </c>
      <c r="K225" s="183">
        <f t="shared" si="164"/>
        <v>22377172</v>
      </c>
    </row>
    <row r="226" spans="3:11" x14ac:dyDescent="0.25">
      <c r="C226" s="29" t="s">
        <v>173</v>
      </c>
      <c r="D226" s="22"/>
      <c r="E226" s="1">
        <f>-E233/E225</f>
        <v>0.62500199102316689</v>
      </c>
      <c r="F226" s="1">
        <f t="shared" ref="F226" si="165">-F233/F225</f>
        <v>1.0439991345895729</v>
      </c>
      <c r="G226" s="209">
        <v>0.2</v>
      </c>
      <c r="H226" s="209">
        <f>G226</f>
        <v>0.2</v>
      </c>
      <c r="I226" s="209">
        <f t="shared" ref="I226:K226" si="166">H226</f>
        <v>0.2</v>
      </c>
      <c r="J226" s="209">
        <f t="shared" si="166"/>
        <v>0.2</v>
      </c>
      <c r="K226" s="209">
        <f t="shared" si="166"/>
        <v>0.2</v>
      </c>
    </row>
    <row r="227" spans="3:11" x14ac:dyDescent="0.25">
      <c r="C227" s="17"/>
      <c r="D227" s="246"/>
      <c r="E227" s="205"/>
      <c r="F227" s="205"/>
      <c r="G227" s="206"/>
      <c r="H227" s="206"/>
      <c r="I227" s="206"/>
      <c r="J227" s="206"/>
      <c r="K227" s="206"/>
    </row>
    <row r="228" spans="3:11" x14ac:dyDescent="0.25">
      <c r="C228" s="13" t="s">
        <v>174</v>
      </c>
      <c r="D228" s="7"/>
    </row>
    <row r="229" spans="3:11" x14ac:dyDescent="0.25">
      <c r="C229" s="17" t="s">
        <v>175</v>
      </c>
      <c r="D229" s="183">
        <f t="shared" ref="D229:K229" si="167">D68+D73</f>
        <v>71703738</v>
      </c>
      <c r="E229" s="183">
        <f t="shared" si="167"/>
        <v>93205257</v>
      </c>
      <c r="F229" s="183">
        <f t="shared" si="167"/>
        <v>306003759</v>
      </c>
      <c r="G229" s="183">
        <f t="shared" si="167"/>
        <v>504293023.95272416</v>
      </c>
      <c r="H229" s="183">
        <f t="shared" si="167"/>
        <v>710420879.62812793</v>
      </c>
      <c r="I229" s="183">
        <f t="shared" si="167"/>
        <v>892441489.58414614</v>
      </c>
      <c r="J229" s="183">
        <f t="shared" si="167"/>
        <v>1078732842.9061632</v>
      </c>
      <c r="K229" s="183">
        <f t="shared" si="167"/>
        <v>1285828006.6536891</v>
      </c>
    </row>
    <row r="230" spans="3:11" x14ac:dyDescent="0.25">
      <c r="C230" s="17" t="s">
        <v>176</v>
      </c>
      <c r="D230" s="183"/>
      <c r="E230" s="183">
        <f>AVERAGE(D229,E229)</f>
        <v>82454497.5</v>
      </c>
      <c r="F230" s="183">
        <f t="shared" ref="F230" si="168">AVERAGE(E229,F229)</f>
        <v>199604508</v>
      </c>
      <c r="G230" s="183">
        <f t="shared" ref="G230" si="169">AVERAGE(F229,G229)</f>
        <v>405148391.47636211</v>
      </c>
      <c r="H230" s="183">
        <f t="shared" ref="H230" si="170">AVERAGE(G229,H229)</f>
        <v>607356951.79042602</v>
      </c>
      <c r="I230" s="183">
        <f t="shared" ref="I230" si="171">AVERAGE(H229,I229)</f>
        <v>801431184.60613704</v>
      </c>
      <c r="J230" s="183">
        <f t="shared" ref="J230" si="172">AVERAGE(I229,J229)</f>
        <v>985587166.24515462</v>
      </c>
      <c r="K230" s="183">
        <f t="shared" ref="K230" si="173">AVERAGE(J229,K229)</f>
        <v>1182280424.7799263</v>
      </c>
    </row>
    <row r="231" spans="3:11" x14ac:dyDescent="0.25">
      <c r="C231" s="17" t="s">
        <v>177</v>
      </c>
      <c r="D231" s="1"/>
      <c r="E231" s="1">
        <f>E234/E230</f>
        <v>0.10288512157872286</v>
      </c>
      <c r="F231" s="1">
        <f t="shared" ref="F231" si="174">F234/F230</f>
        <v>0.180557525283948</v>
      </c>
      <c r="G231" s="209">
        <v>0.14000000000000001</v>
      </c>
      <c r="H231" s="209">
        <v>0.12</v>
      </c>
      <c r="I231" s="209">
        <v>0.1</v>
      </c>
      <c r="J231" s="209">
        <v>8.5000000000000006E-2</v>
      </c>
      <c r="K231" s="209">
        <f t="shared" ref="K231" si="175">J231</f>
        <v>8.5000000000000006E-2</v>
      </c>
    </row>
    <row r="232" spans="3:11" x14ac:dyDescent="0.25">
      <c r="C232" s="17"/>
      <c r="D232" s="246"/>
      <c r="E232" s="205"/>
      <c r="F232" s="205"/>
      <c r="G232" s="206"/>
      <c r="H232" s="206"/>
      <c r="I232" s="206"/>
      <c r="J232" s="206"/>
      <c r="K232" s="206"/>
    </row>
    <row r="233" spans="3:11" x14ac:dyDescent="0.25">
      <c r="C233" s="6" t="s">
        <v>224</v>
      </c>
      <c r="D233" s="232">
        <f t="shared" ref="D233:F234" si="176">D26</f>
        <v>-47950964</v>
      </c>
      <c r="E233" s="232">
        <f t="shared" si="176"/>
        <v>-55620920</v>
      </c>
      <c r="F233" s="232">
        <f t="shared" si="176"/>
        <v>-37780877</v>
      </c>
      <c r="G233" s="19">
        <f>-(G226*F225)-G262</f>
        <v>-40228350.490431122</v>
      </c>
      <c r="H233" s="19">
        <f t="shared" ref="H233:K233" si="177">-(H226*G225)-H262</f>
        <v>-43415888.845260054</v>
      </c>
      <c r="I233" s="19">
        <f t="shared" si="177"/>
        <v>-49266506.285544701</v>
      </c>
      <c r="J233" s="19">
        <f t="shared" si="177"/>
        <v>-54648937.22323525</v>
      </c>
      <c r="K233" s="19">
        <f t="shared" si="177"/>
        <v>-59672419.979227819</v>
      </c>
    </row>
    <row r="234" spans="3:11" x14ac:dyDescent="0.25">
      <c r="C234" s="6" t="s">
        <v>109</v>
      </c>
      <c r="D234" s="232">
        <f t="shared" si="176"/>
        <v>-435610</v>
      </c>
      <c r="E234" s="232">
        <f t="shared" si="176"/>
        <v>8483341</v>
      </c>
      <c r="F234" s="232">
        <f t="shared" si="176"/>
        <v>36040096</v>
      </c>
      <c r="G234" s="183">
        <f>G231*F229</f>
        <v>42840526.260000005</v>
      </c>
      <c r="H234" s="183">
        <f t="shared" ref="H234:K234" si="178">H231*G229</f>
        <v>60515162.8743269</v>
      </c>
      <c r="I234" s="183">
        <f t="shared" si="178"/>
        <v>71042087.962812796</v>
      </c>
      <c r="J234" s="183">
        <f t="shared" si="178"/>
        <v>75857526.614652425</v>
      </c>
      <c r="K234" s="183">
        <f t="shared" si="178"/>
        <v>91692291.647023886</v>
      </c>
    </row>
    <row r="235" spans="3:11" x14ac:dyDescent="0.25">
      <c r="C235" s="6" t="s">
        <v>178</v>
      </c>
      <c r="D235" s="183">
        <f>SUM(D233:D234)</f>
        <v>-48386574</v>
      </c>
      <c r="E235" s="183">
        <f t="shared" ref="E235:F235" si="179">SUM(E233:E234)</f>
        <v>-47137579</v>
      </c>
      <c r="F235" s="183">
        <f t="shared" si="179"/>
        <v>-1740781</v>
      </c>
      <c r="G235" s="183">
        <f t="shared" ref="G235" si="180">SUM(G233:G234)</f>
        <v>2612175.7695688829</v>
      </c>
      <c r="H235" s="183">
        <f t="shared" ref="H235" si="181">SUM(H233:H234)</f>
        <v>17099274.029066846</v>
      </c>
      <c r="I235" s="183">
        <f t="shared" ref="I235" si="182">SUM(I233:I234)</f>
        <v>21775581.677268095</v>
      </c>
      <c r="J235" s="183">
        <f t="shared" ref="J235" si="183">SUM(J233:J234)</f>
        <v>21208589.391417176</v>
      </c>
      <c r="K235" s="183">
        <f t="shared" ref="K235" si="184">SUM(K233:K234)</f>
        <v>32019871.667796068</v>
      </c>
    </row>
    <row r="237" spans="3:11" x14ac:dyDescent="0.25">
      <c r="C237" s="13" t="s">
        <v>179</v>
      </c>
    </row>
    <row r="238" spans="3:11" x14ac:dyDescent="0.25">
      <c r="C238" s="47" t="s">
        <v>107</v>
      </c>
      <c r="D238" s="48">
        <f t="shared" ref="D238:K238" si="185">D$13</f>
        <v>2023</v>
      </c>
      <c r="E238" s="48">
        <f t="shared" si="185"/>
        <v>2024</v>
      </c>
      <c r="F238" s="48">
        <f t="shared" si="185"/>
        <v>2025</v>
      </c>
      <c r="G238" s="49">
        <f t="shared" si="185"/>
        <v>2026</v>
      </c>
      <c r="H238" s="49">
        <f t="shared" si="185"/>
        <v>2027</v>
      </c>
      <c r="I238" s="49">
        <f t="shared" si="185"/>
        <v>2028</v>
      </c>
      <c r="J238" s="49">
        <f t="shared" si="185"/>
        <v>2029</v>
      </c>
      <c r="K238" s="49">
        <f t="shared" si="185"/>
        <v>2030</v>
      </c>
    </row>
    <row r="239" spans="3:11" x14ac:dyDescent="0.25">
      <c r="C239" s="42" t="s">
        <v>108</v>
      </c>
      <c r="D239" s="240">
        <f t="shared" ref="D239:K239" si="186">D$14</f>
        <v>45291</v>
      </c>
      <c r="E239" s="225">
        <f t="shared" si="186"/>
        <v>45657</v>
      </c>
      <c r="F239" s="225">
        <f t="shared" si="186"/>
        <v>46022</v>
      </c>
      <c r="G239" s="225">
        <f t="shared" si="186"/>
        <v>46387</v>
      </c>
      <c r="H239" s="225">
        <f t="shared" si="186"/>
        <v>46752</v>
      </c>
      <c r="I239" s="225">
        <f t="shared" si="186"/>
        <v>47118</v>
      </c>
      <c r="J239" s="225">
        <f t="shared" si="186"/>
        <v>47483</v>
      </c>
      <c r="K239" s="225">
        <f t="shared" si="186"/>
        <v>47848</v>
      </c>
    </row>
    <row r="241" spans="3:11" x14ac:dyDescent="0.25">
      <c r="C241" s="13" t="s">
        <v>180</v>
      </c>
    </row>
    <row r="242" spans="3:11" x14ac:dyDescent="0.25">
      <c r="C242" s="17" t="s">
        <v>148</v>
      </c>
      <c r="D242" s="19"/>
      <c r="E242" s="183">
        <f>D245</f>
        <v>-83822569</v>
      </c>
      <c r="F242" s="183">
        <f t="shared" ref="F242:K242" si="187">E245</f>
        <v>-53757977</v>
      </c>
      <c r="G242" s="183">
        <f t="shared" si="187"/>
        <v>151119171</v>
      </c>
      <c r="H242" s="183">
        <f t="shared" si="187"/>
        <v>277512093.36021888</v>
      </c>
      <c r="I242" s="183">
        <f t="shared" si="187"/>
        <v>466495957.56428623</v>
      </c>
      <c r="J242" s="183">
        <f t="shared" si="187"/>
        <v>646357935.6018635</v>
      </c>
      <c r="K242" s="183">
        <f t="shared" si="187"/>
        <v>836015741.12575579</v>
      </c>
    </row>
    <row r="243" spans="3:11" x14ac:dyDescent="0.25">
      <c r="C243" s="17" t="s">
        <v>227</v>
      </c>
      <c r="D243" s="257">
        <f t="shared" ref="D243:K243" si="188">D32</f>
        <v>31745161</v>
      </c>
      <c r="E243" s="257">
        <f t="shared" si="188"/>
        <v>135031718</v>
      </c>
      <c r="F243" s="257">
        <f t="shared" si="188"/>
        <v>211202869</v>
      </c>
      <c r="G243" s="257">
        <f t="shared" si="188"/>
        <v>263674787.21021888</v>
      </c>
      <c r="H243" s="257">
        <f t="shared" si="188"/>
        <v>360372475.89070964</v>
      </c>
      <c r="I243" s="257">
        <f t="shared" si="188"/>
        <v>414104087.36653852</v>
      </c>
      <c r="J243" s="257">
        <f t="shared" si="188"/>
        <v>458825462.31214219</v>
      </c>
      <c r="K243" s="257">
        <f t="shared" si="188"/>
        <v>508733782.93497056</v>
      </c>
    </row>
    <row r="244" spans="3:11" x14ac:dyDescent="0.25">
      <c r="C244" s="17" t="s">
        <v>181</v>
      </c>
      <c r="D244" s="232">
        <v>0</v>
      </c>
      <c r="E244" s="185">
        <v>0</v>
      </c>
      <c r="F244" s="232">
        <v>46965010</v>
      </c>
      <c r="G244" s="183">
        <f>G253*F243</f>
        <v>137281864.84999999</v>
      </c>
      <c r="H244" s="183">
        <f t="shared" ref="H244:K244" si="189">H253*G243</f>
        <v>171388611.68664229</v>
      </c>
      <c r="I244" s="183">
        <f t="shared" si="189"/>
        <v>234242109.32896128</v>
      </c>
      <c r="J244" s="183">
        <f t="shared" si="189"/>
        <v>269167656.78825003</v>
      </c>
      <c r="K244" s="183">
        <f t="shared" si="189"/>
        <v>298236550.50289243</v>
      </c>
    </row>
    <row r="245" spans="3:11" x14ac:dyDescent="0.25">
      <c r="C245" s="17" t="s">
        <v>182</v>
      </c>
      <c r="D245" s="19">
        <f>D111</f>
        <v>-83822569</v>
      </c>
      <c r="E245" s="19">
        <f>E111</f>
        <v>-53757977</v>
      </c>
      <c r="F245" s="19">
        <f>F111</f>
        <v>151119171</v>
      </c>
      <c r="G245" s="19">
        <f>G242+G243-G244</f>
        <v>277512093.36021888</v>
      </c>
      <c r="H245" s="19">
        <f t="shared" ref="H245:K245" si="190">H242+H243-H244</f>
        <v>466495957.56428623</v>
      </c>
      <c r="I245" s="19">
        <f t="shared" si="190"/>
        <v>646357935.6018635</v>
      </c>
      <c r="J245" s="19">
        <f t="shared" si="190"/>
        <v>836015741.12575579</v>
      </c>
      <c r="K245" s="19">
        <f t="shared" si="190"/>
        <v>1046512973.5578339</v>
      </c>
    </row>
    <row r="246" spans="3:11" x14ac:dyDescent="0.25">
      <c r="C246" s="17"/>
      <c r="D246" s="19"/>
      <c r="E246" s="19"/>
      <c r="F246" s="19"/>
      <c r="G246" s="19"/>
      <c r="H246" s="19"/>
      <c r="I246" s="19"/>
      <c r="J246" s="19"/>
      <c r="K246" s="19"/>
    </row>
    <row r="247" spans="3:11" x14ac:dyDescent="0.25">
      <c r="C247" s="13" t="s">
        <v>229</v>
      </c>
      <c r="D247" s="183"/>
      <c r="E247" s="183"/>
      <c r="F247" s="183"/>
      <c r="G247" s="183"/>
      <c r="H247" s="183"/>
      <c r="I247" s="183"/>
      <c r="J247" s="183"/>
      <c r="K247" s="183"/>
    </row>
    <row r="248" spans="3:11" x14ac:dyDescent="0.25">
      <c r="C248" s="17" t="s">
        <v>148</v>
      </c>
      <c r="D248" s="183"/>
      <c r="E248" s="183">
        <f>D251</f>
        <v>-436852</v>
      </c>
      <c r="F248" s="183">
        <f t="shared" ref="F248:K248" si="191">E251</f>
        <v>-426786</v>
      </c>
      <c r="G248" s="183">
        <f t="shared" si="191"/>
        <v>-417023</v>
      </c>
      <c r="H248" s="183">
        <f t="shared" si="191"/>
        <v>-404834.4489650547</v>
      </c>
      <c r="I248" s="183">
        <f t="shared" si="191"/>
        <v>-388175.9797937813</v>
      </c>
      <c r="J248" s="183">
        <f t="shared" si="191"/>
        <v>-369033.72938732721</v>
      </c>
      <c r="K248" s="183">
        <f t="shared" si="191"/>
        <v>-347824.20221677801</v>
      </c>
    </row>
    <row r="249" spans="3:11" x14ac:dyDescent="0.25">
      <c r="C249" s="17" t="s">
        <v>230</v>
      </c>
      <c r="D249" s="183">
        <f>D33</f>
        <v>447</v>
      </c>
      <c r="E249" s="183">
        <f>E33</f>
        <v>10066</v>
      </c>
      <c r="F249" s="183">
        <f>F33</f>
        <v>9763</v>
      </c>
      <c r="G249" s="183">
        <f>G254*G31</f>
        <v>12188.551034945302</v>
      </c>
      <c r="H249" s="183">
        <f>H254*H31</f>
        <v>16658.46917127342</v>
      </c>
      <c r="I249" s="183">
        <f>I254*I31</f>
        <v>19142.25040645407</v>
      </c>
      <c r="J249" s="183">
        <f>J254*J31</f>
        <v>21209.527170549205</v>
      </c>
      <c r="K249" s="183">
        <f>K254*K31</f>
        <v>23516.574118101198</v>
      </c>
    </row>
    <row r="250" spans="3:11" x14ac:dyDescent="0.25">
      <c r="C250" s="17" t="s">
        <v>231</v>
      </c>
      <c r="D250" s="185">
        <v>0</v>
      </c>
      <c r="E250" s="185">
        <v>0</v>
      </c>
      <c r="F250" s="185">
        <v>0</v>
      </c>
      <c r="G250" s="183"/>
      <c r="H250" s="183"/>
      <c r="I250" s="183"/>
      <c r="J250" s="183"/>
      <c r="K250" s="183"/>
    </row>
    <row r="251" spans="3:11" x14ac:dyDescent="0.25">
      <c r="C251" s="17" t="s">
        <v>182</v>
      </c>
      <c r="D251" s="183">
        <f>D114</f>
        <v>-436852</v>
      </c>
      <c r="E251" s="183">
        <f>E114</f>
        <v>-426786</v>
      </c>
      <c r="F251" s="183">
        <f>F114</f>
        <v>-417023</v>
      </c>
      <c r="G251" s="183">
        <f>G248+G249-G250</f>
        <v>-404834.4489650547</v>
      </c>
      <c r="H251" s="183">
        <f t="shared" ref="H251:K251" si="192">H248+H249-H250</f>
        <v>-388175.9797937813</v>
      </c>
      <c r="I251" s="183">
        <f t="shared" si="192"/>
        <v>-369033.72938732721</v>
      </c>
      <c r="J251" s="183">
        <f t="shared" si="192"/>
        <v>-347824.20221677801</v>
      </c>
      <c r="K251" s="183">
        <f t="shared" si="192"/>
        <v>-324307.6280986768</v>
      </c>
    </row>
    <row r="252" spans="3:11" x14ac:dyDescent="0.25">
      <c r="D252" s="183"/>
      <c r="E252" s="183"/>
      <c r="F252" s="183"/>
      <c r="G252" s="183"/>
      <c r="H252" s="183"/>
      <c r="I252" s="183"/>
      <c r="J252" s="183"/>
      <c r="K252" s="183"/>
    </row>
    <row r="253" spans="3:11" x14ac:dyDescent="0.25">
      <c r="C253" s="6" t="s">
        <v>228</v>
      </c>
      <c r="D253" s="1"/>
      <c r="E253" s="1"/>
      <c r="F253" s="1">
        <f>-F244/F243</f>
        <v>-0.22236918571404443</v>
      </c>
      <c r="G253" s="209">
        <v>0.65</v>
      </c>
      <c r="H253" s="209">
        <f>G253</f>
        <v>0.65</v>
      </c>
      <c r="I253" s="209">
        <f t="shared" ref="I253:K253" si="193">H253</f>
        <v>0.65</v>
      </c>
      <c r="J253" s="209">
        <f t="shared" si="193"/>
        <v>0.65</v>
      </c>
      <c r="K253" s="209">
        <f t="shared" si="193"/>
        <v>0.65</v>
      </c>
    </row>
    <row r="254" spans="3:11" x14ac:dyDescent="0.25">
      <c r="C254" s="6" t="s">
        <v>232</v>
      </c>
      <c r="D254" s="22">
        <f>D249/D31</f>
        <v>1.4080687949022743E-5</v>
      </c>
      <c r="E254" s="22">
        <f>E249/E31</f>
        <v>7.4539892038156136E-5</v>
      </c>
      <c r="F254" s="22">
        <f>F249/F31</f>
        <v>4.6223561098372186E-5</v>
      </c>
      <c r="G254" s="209">
        <f>F254</f>
        <v>4.6223561098372186E-5</v>
      </c>
      <c r="H254" s="209">
        <f>G254</f>
        <v>4.6223561098372186E-5</v>
      </c>
      <c r="I254" s="209">
        <f t="shared" ref="I254:K254" si="194">H254</f>
        <v>4.6223561098372186E-5</v>
      </c>
      <c r="J254" s="209">
        <f t="shared" si="194"/>
        <v>4.6223561098372186E-5</v>
      </c>
      <c r="K254" s="209">
        <f t="shared" si="194"/>
        <v>4.6223561098372186E-5</v>
      </c>
    </row>
    <row r="255" spans="3:11" x14ac:dyDescent="0.25">
      <c r="D255" s="19"/>
      <c r="E255" s="19"/>
      <c r="F255" s="19"/>
      <c r="G255" s="183"/>
      <c r="H255" s="183"/>
      <c r="I255" s="183"/>
      <c r="J255" s="183"/>
      <c r="K255" s="183"/>
    </row>
    <row r="256" spans="3:11" x14ac:dyDescent="0.25">
      <c r="C256" s="13" t="s">
        <v>184</v>
      </c>
    </row>
    <row r="257" spans="3:11" x14ac:dyDescent="0.25">
      <c r="C257" s="47" t="s">
        <v>107</v>
      </c>
      <c r="D257" s="48">
        <f t="shared" ref="D257:K257" si="195">D$13</f>
        <v>2023</v>
      </c>
      <c r="E257" s="48">
        <f t="shared" si="195"/>
        <v>2024</v>
      </c>
      <c r="F257" s="48">
        <f t="shared" si="195"/>
        <v>2025</v>
      </c>
      <c r="G257" s="49">
        <f t="shared" si="195"/>
        <v>2026</v>
      </c>
      <c r="H257" s="49">
        <f t="shared" si="195"/>
        <v>2027</v>
      </c>
      <c r="I257" s="49">
        <f t="shared" si="195"/>
        <v>2028</v>
      </c>
      <c r="J257" s="49">
        <f t="shared" si="195"/>
        <v>2029</v>
      </c>
      <c r="K257" s="49">
        <f t="shared" si="195"/>
        <v>2030</v>
      </c>
    </row>
    <row r="258" spans="3:11" x14ac:dyDescent="0.25">
      <c r="C258" s="42" t="s">
        <v>108</v>
      </c>
      <c r="D258" s="240">
        <f t="shared" ref="D258:K258" si="196">D$14</f>
        <v>45291</v>
      </c>
      <c r="E258" s="225">
        <f t="shared" si="196"/>
        <v>45657</v>
      </c>
      <c r="F258" s="225">
        <f t="shared" si="196"/>
        <v>46022</v>
      </c>
      <c r="G258" s="225">
        <f t="shared" si="196"/>
        <v>46387</v>
      </c>
      <c r="H258" s="225">
        <f t="shared" si="196"/>
        <v>46752</v>
      </c>
      <c r="I258" s="225">
        <f t="shared" si="196"/>
        <v>47118</v>
      </c>
      <c r="J258" s="225">
        <f t="shared" si="196"/>
        <v>47483</v>
      </c>
      <c r="K258" s="225">
        <f t="shared" si="196"/>
        <v>47848</v>
      </c>
    </row>
    <row r="259" spans="3:11" x14ac:dyDescent="0.25">
      <c r="D259" s="19"/>
      <c r="E259" s="19"/>
      <c r="F259" s="19"/>
      <c r="G259" s="183"/>
      <c r="H259" s="183"/>
      <c r="I259" s="183"/>
      <c r="J259" s="183"/>
      <c r="K259" s="183"/>
    </row>
    <row r="260" spans="3:11" x14ac:dyDescent="0.25">
      <c r="C260" s="6" t="s">
        <v>185</v>
      </c>
      <c r="E260" s="183">
        <f>D264</f>
        <v>177494367</v>
      </c>
      <c r="F260" s="183">
        <f t="shared" ref="F260:K260" si="197">E264</f>
        <v>172896546</v>
      </c>
      <c r="G260" s="183">
        <f t="shared" si="197"/>
        <v>182965452</v>
      </c>
      <c r="H260" s="183">
        <f t="shared" si="197"/>
        <v>198165484.06473643</v>
      </c>
      <c r="I260" s="183">
        <f t="shared" si="197"/>
        <v>216106826.24198249</v>
      </c>
      <c r="J260" s="183">
        <f t="shared" si="197"/>
        <v>236743769.45778006</v>
      </c>
      <c r="K260" s="183">
        <f t="shared" si="197"/>
        <v>259860602.45848638</v>
      </c>
    </row>
    <row r="261" spans="3:11" x14ac:dyDescent="0.25">
      <c r="C261" s="17" t="s">
        <v>186</v>
      </c>
      <c r="D261" s="232">
        <v>0</v>
      </c>
      <c r="E261" s="232">
        <v>25260273</v>
      </c>
      <c r="F261" s="232">
        <v>43724574</v>
      </c>
      <c r="G261" s="183">
        <f t="shared" ref="G261:K263" si="198">G267*G$16</f>
        <v>53366787.879486434</v>
      </c>
      <c r="H261" s="183">
        <f t="shared" si="198"/>
        <v>62991433.055439129</v>
      </c>
      <c r="I261" s="183">
        <f t="shared" si="198"/>
        <v>72455595.250586137</v>
      </c>
      <c r="J261" s="183">
        <f t="shared" si="198"/>
        <v>81162402.680470377</v>
      </c>
      <c r="K261" s="183">
        <f t="shared" si="198"/>
        <v>89288563.051148236</v>
      </c>
    </row>
    <row r="262" spans="3:11" x14ac:dyDescent="0.25">
      <c r="C262" s="17" t="s">
        <v>187</v>
      </c>
      <c r="D262" s="185">
        <v>20056966</v>
      </c>
      <c r="E262" s="185">
        <v>20310952</v>
      </c>
      <c r="F262" s="185">
        <v>27029942</v>
      </c>
      <c r="G262" s="183">
        <f t="shared" si="198"/>
        <v>32990628.590431124</v>
      </c>
      <c r="H262" s="183">
        <f t="shared" si="198"/>
        <v>38940454.445260055</v>
      </c>
      <c r="I262" s="183">
        <f t="shared" si="198"/>
        <v>44791071.885544702</v>
      </c>
      <c r="J262" s="183">
        <f t="shared" si="198"/>
        <v>50173502.823235251</v>
      </c>
      <c r="K262" s="183">
        <f t="shared" si="198"/>
        <v>55196985.57922782</v>
      </c>
    </row>
    <row r="263" spans="3:11" x14ac:dyDescent="0.25">
      <c r="C263" s="17" t="s">
        <v>354</v>
      </c>
      <c r="D263" s="232">
        <v>-44084683</v>
      </c>
      <c r="E263" s="185">
        <v>-48866878</v>
      </c>
      <c r="F263" s="185">
        <v>-58300798</v>
      </c>
      <c r="G263" s="183">
        <f t="shared" si="198"/>
        <v>-71157384.405181095</v>
      </c>
      <c r="H263" s="183">
        <f t="shared" si="198"/>
        <v>-83990545.323453099</v>
      </c>
      <c r="I263" s="183">
        <f t="shared" si="198"/>
        <v>-96609723.920333251</v>
      </c>
      <c r="J263" s="183">
        <f t="shared" si="198"/>
        <v>-108219072.50299938</v>
      </c>
      <c r="K263" s="183">
        <f t="shared" si="198"/>
        <v>-119054206.86672114</v>
      </c>
    </row>
    <row r="264" spans="3:11" x14ac:dyDescent="0.25">
      <c r="C264" s="6" t="s">
        <v>188</v>
      </c>
      <c r="D264" s="19">
        <f>D93+D102</f>
        <v>177494367</v>
      </c>
      <c r="E264" s="19">
        <f>E93+E102</f>
        <v>172896546</v>
      </c>
      <c r="F264" s="19">
        <f>F93+F102</f>
        <v>182965452</v>
      </c>
      <c r="G264" s="183">
        <f>SUM(G260:G263)</f>
        <v>198165484.06473643</v>
      </c>
      <c r="H264" s="183">
        <f t="shared" ref="H264:K264" si="199">SUM(H260:H263)</f>
        <v>216106826.24198249</v>
      </c>
      <c r="I264" s="183">
        <f t="shared" si="199"/>
        <v>236743769.45778006</v>
      </c>
      <c r="J264" s="183">
        <f t="shared" si="199"/>
        <v>259860602.45848638</v>
      </c>
      <c r="K264" s="183">
        <f t="shared" si="199"/>
        <v>285291944.22214127</v>
      </c>
    </row>
    <row r="265" spans="3:11" x14ac:dyDescent="0.25">
      <c r="C265" s="6" t="s">
        <v>189</v>
      </c>
      <c r="D265" s="246">
        <f>D93/(D93+D102)</f>
        <v>0.16237052751088152</v>
      </c>
      <c r="E265" s="246">
        <f>E93/(E93+E102)</f>
        <v>0.18493577656548443</v>
      </c>
      <c r="F265" s="246">
        <f>F93/(F93+F102)</f>
        <v>0.17317804893570837</v>
      </c>
      <c r="G265" s="336">
        <f>F265</f>
        <v>0.17317804893570837</v>
      </c>
      <c r="H265" s="336">
        <f t="shared" ref="H265:K265" si="200">G265</f>
        <v>0.17317804893570837</v>
      </c>
      <c r="I265" s="336">
        <f t="shared" si="200"/>
        <v>0.17317804893570837</v>
      </c>
      <c r="J265" s="336">
        <f t="shared" si="200"/>
        <v>0.17317804893570837</v>
      </c>
      <c r="K265" s="336">
        <f t="shared" si="200"/>
        <v>0.17317804893570837</v>
      </c>
    </row>
    <row r="266" spans="3:11" x14ac:dyDescent="0.25">
      <c r="D266" s="246"/>
      <c r="E266" s="205"/>
      <c r="F266" s="205"/>
      <c r="G266" s="205"/>
      <c r="H266" s="205"/>
      <c r="I266" s="205"/>
      <c r="J266" s="205"/>
      <c r="K266" s="205"/>
    </row>
    <row r="267" spans="3:11" x14ac:dyDescent="0.25">
      <c r="C267" s="6" t="s">
        <v>190</v>
      </c>
      <c r="D267" s="22">
        <f t="shared" ref="D267:F269" si="201">D261/D$16</f>
        <v>0</v>
      </c>
      <c r="E267" s="22">
        <f t="shared" si="201"/>
        <v>1.1927602175125E-2</v>
      </c>
      <c r="F267" s="22">
        <f t="shared" si="201"/>
        <v>1.5194510535745685E-2</v>
      </c>
      <c r="G267" s="209">
        <f>F267</f>
        <v>1.5194510535745685E-2</v>
      </c>
      <c r="H267" s="209">
        <f>G267</f>
        <v>1.5194510535745685E-2</v>
      </c>
      <c r="I267" s="209">
        <f t="shared" ref="I267:K267" si="202">H267</f>
        <v>1.5194510535745685E-2</v>
      </c>
      <c r="J267" s="209">
        <f t="shared" si="202"/>
        <v>1.5194510535745685E-2</v>
      </c>
      <c r="K267" s="209">
        <f t="shared" si="202"/>
        <v>1.5194510535745685E-2</v>
      </c>
    </row>
    <row r="268" spans="3:11" x14ac:dyDescent="0.25">
      <c r="C268" s="6" t="s">
        <v>191</v>
      </c>
      <c r="D268" s="22">
        <f t="shared" si="201"/>
        <v>1.3728216801306306E-2</v>
      </c>
      <c r="E268" s="22">
        <f t="shared" si="201"/>
        <v>9.5905913310619997E-3</v>
      </c>
      <c r="F268" s="22">
        <f t="shared" si="201"/>
        <v>9.3930415079537376E-3</v>
      </c>
      <c r="G268" s="209">
        <f>F268</f>
        <v>9.3930415079537376E-3</v>
      </c>
      <c r="H268" s="209">
        <f t="shared" ref="H268:K269" si="203">G268</f>
        <v>9.3930415079537376E-3</v>
      </c>
      <c r="I268" s="209">
        <f t="shared" si="203"/>
        <v>9.3930415079537376E-3</v>
      </c>
      <c r="J268" s="209">
        <f t="shared" si="203"/>
        <v>9.3930415079537376E-3</v>
      </c>
      <c r="K268" s="209">
        <f t="shared" si="203"/>
        <v>9.3930415079537376E-3</v>
      </c>
    </row>
    <row r="269" spans="3:11" x14ac:dyDescent="0.25">
      <c r="C269" s="6" t="s">
        <v>354</v>
      </c>
      <c r="D269" s="22">
        <f t="shared" si="201"/>
        <v>-3.0174258950275056E-2</v>
      </c>
      <c r="E269" s="22">
        <f t="shared" si="201"/>
        <v>-2.3074361877417876E-2</v>
      </c>
      <c r="F269" s="22">
        <f t="shared" si="201"/>
        <v>-2.025982207290072E-2</v>
      </c>
      <c r="G269" s="209">
        <f>F269</f>
        <v>-2.025982207290072E-2</v>
      </c>
      <c r="H269" s="209">
        <f t="shared" si="203"/>
        <v>-2.025982207290072E-2</v>
      </c>
      <c r="I269" s="209">
        <f t="shared" si="203"/>
        <v>-2.025982207290072E-2</v>
      </c>
      <c r="J269" s="209">
        <f t="shared" si="203"/>
        <v>-2.025982207290072E-2</v>
      </c>
      <c r="K269" s="209">
        <f t="shared" si="203"/>
        <v>-2.025982207290072E-2</v>
      </c>
    </row>
    <row r="271" spans="3:11" x14ac:dyDescent="0.25">
      <c r="C271" s="13" t="s">
        <v>348</v>
      </c>
    </row>
    <row r="272" spans="3:11" x14ac:dyDescent="0.25">
      <c r="C272" s="47" t="s">
        <v>107</v>
      </c>
      <c r="D272" s="48">
        <f t="shared" ref="D272:K272" si="204">D$13</f>
        <v>2023</v>
      </c>
      <c r="E272" s="48">
        <f t="shared" si="204"/>
        <v>2024</v>
      </c>
      <c r="F272" s="48">
        <f t="shared" si="204"/>
        <v>2025</v>
      </c>
      <c r="G272" s="49">
        <f t="shared" si="204"/>
        <v>2026</v>
      </c>
      <c r="H272" s="49">
        <f t="shared" si="204"/>
        <v>2027</v>
      </c>
      <c r="I272" s="49">
        <f t="shared" si="204"/>
        <v>2028</v>
      </c>
      <c r="J272" s="49">
        <f t="shared" si="204"/>
        <v>2029</v>
      </c>
      <c r="K272" s="49">
        <f t="shared" si="204"/>
        <v>2030</v>
      </c>
    </row>
    <row r="273" spans="3:11" x14ac:dyDescent="0.25">
      <c r="C273" s="42" t="s">
        <v>108</v>
      </c>
      <c r="D273" s="337">
        <f t="shared" ref="D273:K273" si="205">D$14</f>
        <v>45291</v>
      </c>
      <c r="E273" s="225">
        <f t="shared" si="205"/>
        <v>45657</v>
      </c>
      <c r="F273" s="225">
        <f t="shared" si="205"/>
        <v>46022</v>
      </c>
      <c r="G273" s="225">
        <f t="shared" si="205"/>
        <v>46387</v>
      </c>
      <c r="H273" s="225">
        <f t="shared" si="205"/>
        <v>46752</v>
      </c>
      <c r="I273" s="225">
        <f t="shared" si="205"/>
        <v>47118</v>
      </c>
      <c r="J273" s="225">
        <f t="shared" si="205"/>
        <v>47483</v>
      </c>
      <c r="K273" s="225">
        <f t="shared" si="205"/>
        <v>47848</v>
      </c>
    </row>
    <row r="274" spans="3:11" x14ac:dyDescent="0.25">
      <c r="C274" s="338"/>
      <c r="D274" s="339"/>
      <c r="E274" s="340"/>
      <c r="F274" s="340"/>
      <c r="G274" s="340"/>
      <c r="H274" s="340"/>
      <c r="I274" s="340"/>
      <c r="J274" s="340"/>
      <c r="K274" s="340"/>
    </row>
    <row r="275" spans="3:11" x14ac:dyDescent="0.25">
      <c r="C275" s="6" t="s">
        <v>353</v>
      </c>
      <c r="D275" s="19"/>
      <c r="E275" s="183">
        <f>D278</f>
        <v>142503563</v>
      </c>
      <c r="F275" s="183">
        <f t="shared" ref="F275:K275" si="206">E278</f>
        <v>130756082</v>
      </c>
      <c r="G275" s="183">
        <f t="shared" si="206"/>
        <v>136387942</v>
      </c>
      <c r="H275" s="183">
        <f t="shared" si="206"/>
        <v>145407198.87958804</v>
      </c>
      <c r="I275" s="183">
        <f t="shared" si="206"/>
        <v>156053069.43907067</v>
      </c>
      <c r="J275" s="183">
        <f t="shared" si="206"/>
        <v>168298431.24357399</v>
      </c>
      <c r="K275" s="183">
        <f t="shared" si="206"/>
        <v>182015287.50992441</v>
      </c>
    </row>
    <row r="276" spans="3:11" x14ac:dyDescent="0.25">
      <c r="C276" s="17" t="s">
        <v>349</v>
      </c>
      <c r="D276" s="185">
        <v>0</v>
      </c>
      <c r="E276" s="185">
        <v>25260273</v>
      </c>
      <c r="F276" s="185">
        <v>43724574</v>
      </c>
      <c r="G276" s="183">
        <f>G280*G16</f>
        <v>53366787.879486434</v>
      </c>
      <c r="H276" s="183">
        <f>H280*H16</f>
        <v>62991433.055439129</v>
      </c>
      <c r="I276" s="183">
        <f>I280*I16</f>
        <v>72455595.250586137</v>
      </c>
      <c r="J276" s="183">
        <f>J280*J16</f>
        <v>81162402.680470377</v>
      </c>
      <c r="K276" s="183">
        <f>K280*K16</f>
        <v>89288563.051148236</v>
      </c>
    </row>
    <row r="277" spans="3:11" x14ac:dyDescent="0.25">
      <c r="C277" s="17" t="s">
        <v>350</v>
      </c>
      <c r="D277" s="232">
        <v>-33206271</v>
      </c>
      <c r="E277" s="185">
        <v>-36035425</v>
      </c>
      <c r="F277" s="185">
        <v>-36334900</v>
      </c>
      <c r="G277" s="183">
        <f>G281*G16</f>
        <v>-44347530.999898404</v>
      </c>
      <c r="H277" s="183">
        <f>H281*H16</f>
        <v>-52345562.49595651</v>
      </c>
      <c r="I277" s="183">
        <f>I281*I16</f>
        <v>-60210233.446082793</v>
      </c>
      <c r="J277" s="183">
        <f>J281*J16</f>
        <v>-67445546.414119959</v>
      </c>
      <c r="K277" s="183">
        <f>K281*K16</f>
        <v>-74198344.610679701</v>
      </c>
    </row>
    <row r="278" spans="3:11" x14ac:dyDescent="0.25">
      <c r="C278" s="6" t="s">
        <v>352</v>
      </c>
      <c r="D278" s="19">
        <f>D79</f>
        <v>142503563</v>
      </c>
      <c r="E278" s="19">
        <f>E79</f>
        <v>130756082</v>
      </c>
      <c r="F278" s="19">
        <f>F79</f>
        <v>136387942</v>
      </c>
      <c r="G278" s="183">
        <f>SUM(G275:G277)</f>
        <v>145407198.87958804</v>
      </c>
      <c r="H278" s="183">
        <f>SUM(H275:H277)</f>
        <v>156053069.43907067</v>
      </c>
      <c r="I278" s="183">
        <f>SUM(I275:I277)</f>
        <v>168298431.24357399</v>
      </c>
      <c r="J278" s="183">
        <f>SUM(J275:J277)</f>
        <v>182015287.50992441</v>
      </c>
      <c r="K278" s="183">
        <f>SUM(K275:K277)</f>
        <v>197105505.95039296</v>
      </c>
    </row>
    <row r="279" spans="3:11" x14ac:dyDescent="0.25">
      <c r="D279" s="19"/>
      <c r="E279" s="19"/>
      <c r="F279" s="19"/>
      <c r="G279" s="183"/>
      <c r="H279" s="183"/>
      <c r="I279" s="183"/>
      <c r="J279" s="183"/>
      <c r="K279" s="183"/>
    </row>
    <row r="280" spans="3:11" x14ac:dyDescent="0.25">
      <c r="C280" s="6" t="s">
        <v>183</v>
      </c>
      <c r="D280" s="1">
        <f>D276/D16</f>
        <v>0</v>
      </c>
      <c r="E280" s="1">
        <f>E276/E16</f>
        <v>1.1927602175125E-2</v>
      </c>
      <c r="F280" s="1">
        <f>F276/F16</f>
        <v>1.5194510535745685E-2</v>
      </c>
      <c r="G280" s="209">
        <f>F280</f>
        <v>1.5194510535745685E-2</v>
      </c>
      <c r="H280" s="209">
        <f>G280</f>
        <v>1.5194510535745685E-2</v>
      </c>
      <c r="I280" s="209">
        <f t="shared" ref="I280:K280" si="207">H280</f>
        <v>1.5194510535745685E-2</v>
      </c>
      <c r="J280" s="209">
        <f t="shared" si="207"/>
        <v>1.5194510535745685E-2</v>
      </c>
      <c r="K280" s="209">
        <f t="shared" si="207"/>
        <v>1.5194510535745685E-2</v>
      </c>
    </row>
    <row r="281" spans="3:11" x14ac:dyDescent="0.25">
      <c r="C281" s="6" t="s">
        <v>351</v>
      </c>
      <c r="D281" s="1">
        <f>D277/D16</f>
        <v>-2.2728407050743884E-2</v>
      </c>
      <c r="E281" s="1">
        <f>E277/E16</f>
        <v>-1.7015501519383969E-2</v>
      </c>
      <c r="F281" s="1">
        <f>F277/F16</f>
        <v>-1.2626561458672322E-2</v>
      </c>
      <c r="G281" s="209">
        <f>F281</f>
        <v>-1.2626561458672322E-2</v>
      </c>
      <c r="H281" s="209">
        <f>G281</f>
        <v>-1.2626561458672322E-2</v>
      </c>
      <c r="I281" s="209">
        <f t="shared" ref="I281:K281" si="208">H281</f>
        <v>-1.2626561458672322E-2</v>
      </c>
      <c r="J281" s="209">
        <f t="shared" si="208"/>
        <v>-1.2626561458672322E-2</v>
      </c>
      <c r="K281" s="209">
        <f t="shared" si="208"/>
        <v>-1.2626561458672322E-2</v>
      </c>
    </row>
    <row r="283" spans="3:11" x14ac:dyDescent="0.25">
      <c r="C283" s="13" t="s">
        <v>222</v>
      </c>
    </row>
    <row r="284" spans="3:11" x14ac:dyDescent="0.25">
      <c r="C284" s="47" t="s">
        <v>107</v>
      </c>
      <c r="D284" s="48">
        <f t="shared" ref="D284:K284" si="209">D$13</f>
        <v>2023</v>
      </c>
      <c r="E284" s="48">
        <f t="shared" si="209"/>
        <v>2024</v>
      </c>
      <c r="F284" s="48">
        <f t="shared" si="209"/>
        <v>2025</v>
      </c>
      <c r="G284" s="49">
        <f t="shared" si="209"/>
        <v>2026</v>
      </c>
      <c r="H284" s="49">
        <f t="shared" si="209"/>
        <v>2027</v>
      </c>
      <c r="I284" s="49">
        <f t="shared" si="209"/>
        <v>2028</v>
      </c>
      <c r="J284" s="49">
        <f t="shared" si="209"/>
        <v>2029</v>
      </c>
      <c r="K284" s="49">
        <f t="shared" si="209"/>
        <v>2030</v>
      </c>
    </row>
    <row r="285" spans="3:11" x14ac:dyDescent="0.25">
      <c r="C285" s="42" t="s">
        <v>108</v>
      </c>
      <c r="D285" s="260">
        <f t="shared" ref="D285:K285" si="210">D$14</f>
        <v>45291</v>
      </c>
      <c r="E285" s="225">
        <f t="shared" si="210"/>
        <v>45657</v>
      </c>
      <c r="F285" s="225">
        <f t="shared" si="210"/>
        <v>46022</v>
      </c>
      <c r="G285" s="225">
        <f t="shared" si="210"/>
        <v>46387</v>
      </c>
      <c r="H285" s="225">
        <f t="shared" si="210"/>
        <v>46752</v>
      </c>
      <c r="I285" s="225">
        <f t="shared" si="210"/>
        <v>47118</v>
      </c>
      <c r="J285" s="225">
        <f t="shared" si="210"/>
        <v>47483</v>
      </c>
      <c r="K285" s="225">
        <f t="shared" si="210"/>
        <v>47848</v>
      </c>
    </row>
    <row r="287" spans="3:11" x14ac:dyDescent="0.25">
      <c r="C287" s="6" t="s">
        <v>148</v>
      </c>
      <c r="D287" s="19"/>
      <c r="E287" s="183">
        <f>D290</f>
        <v>27899321</v>
      </c>
      <c r="F287" s="183">
        <f t="shared" ref="F287:K287" si="211">E290</f>
        <v>21004672</v>
      </c>
      <c r="G287" s="183">
        <f t="shared" si="211"/>
        <v>14066392</v>
      </c>
      <c r="H287" s="183">
        <f t="shared" si="211"/>
        <v>9066392</v>
      </c>
      <c r="I287" s="183">
        <f t="shared" si="211"/>
        <v>6066392</v>
      </c>
      <c r="J287" s="183">
        <f t="shared" si="211"/>
        <v>4066392</v>
      </c>
      <c r="K287" s="183">
        <f t="shared" si="211"/>
        <v>3066392</v>
      </c>
    </row>
    <row r="288" spans="3:11" x14ac:dyDescent="0.25">
      <c r="C288" s="17" t="s">
        <v>225</v>
      </c>
      <c r="D288" s="232">
        <v>6376604</v>
      </c>
      <c r="E288" s="185">
        <v>213732</v>
      </c>
      <c r="F288" s="185">
        <v>0</v>
      </c>
      <c r="G288" s="185">
        <v>2000000</v>
      </c>
      <c r="H288" s="185">
        <v>2000000</v>
      </c>
      <c r="I288" s="185">
        <v>2000000</v>
      </c>
      <c r="J288" s="185">
        <v>2000000</v>
      </c>
      <c r="K288" s="185">
        <v>2000000</v>
      </c>
    </row>
    <row r="289" spans="3:11" x14ac:dyDescent="0.25">
      <c r="C289" s="17" t="s">
        <v>226</v>
      </c>
      <c r="D289" s="232">
        <v>-4505081</v>
      </c>
      <c r="E289" s="185">
        <v>-7108381</v>
      </c>
      <c r="F289" s="185">
        <v>-6938280</v>
      </c>
      <c r="G289" s="185">
        <v>-7000000</v>
      </c>
      <c r="H289" s="185">
        <v>-5000000</v>
      </c>
      <c r="I289" s="185">
        <v>-4000000</v>
      </c>
      <c r="J289" s="185">
        <v>-3000000</v>
      </c>
      <c r="K289" s="185">
        <v>-2000000</v>
      </c>
    </row>
    <row r="290" spans="3:11" x14ac:dyDescent="0.25">
      <c r="C290" s="6" t="s">
        <v>151</v>
      </c>
      <c r="D290" s="19">
        <f>D78</f>
        <v>27899321</v>
      </c>
      <c r="E290" s="19">
        <f>E78</f>
        <v>21004672</v>
      </c>
      <c r="F290" s="19">
        <f>F78</f>
        <v>14066392</v>
      </c>
      <c r="G290" s="183">
        <f>SUM(G287:G289)</f>
        <v>9066392</v>
      </c>
      <c r="H290" s="183">
        <f t="shared" ref="H290:K290" si="212">SUM(H287:H289)</f>
        <v>6066392</v>
      </c>
      <c r="I290" s="183">
        <f t="shared" si="212"/>
        <v>4066392</v>
      </c>
      <c r="J290" s="183">
        <f t="shared" si="212"/>
        <v>3066392</v>
      </c>
      <c r="K290" s="183">
        <f t="shared" si="212"/>
        <v>3066392</v>
      </c>
    </row>
    <row r="291" spans="3:11" x14ac:dyDescent="0.25">
      <c r="D291" s="205"/>
      <c r="E291" s="205"/>
      <c r="F291" s="205"/>
      <c r="G291" s="206"/>
      <c r="H291" s="206"/>
      <c r="I291" s="206"/>
      <c r="J291" s="206"/>
      <c r="K291" s="206"/>
    </row>
    <row r="292" spans="3:11" x14ac:dyDescent="0.25">
      <c r="C292" s="6" t="s">
        <v>183</v>
      </c>
      <c r="D292" s="1">
        <f>D288/D$16</f>
        <v>4.3645385931290401E-3</v>
      </c>
      <c r="E292" s="1">
        <f t="shared" ref="E292:F292" si="213">E288/E$16</f>
        <v>1.0092172274202328E-4</v>
      </c>
      <c r="F292" s="1">
        <f t="shared" si="213"/>
        <v>0</v>
      </c>
      <c r="G292" s="209">
        <f>F292</f>
        <v>0</v>
      </c>
      <c r="H292" s="209">
        <f>G292</f>
        <v>0</v>
      </c>
      <c r="I292" s="209">
        <f t="shared" ref="I292:K292" si="214">H292</f>
        <v>0</v>
      </c>
      <c r="J292" s="209">
        <f t="shared" si="214"/>
        <v>0</v>
      </c>
      <c r="K292" s="209">
        <f t="shared" si="214"/>
        <v>0</v>
      </c>
    </row>
    <row r="293" spans="3:11" x14ac:dyDescent="0.25">
      <c r="C293" s="6" t="s">
        <v>192</v>
      </c>
      <c r="D293" s="1">
        <f>D289/D$16</f>
        <v>-3.0835535482009496E-3</v>
      </c>
      <c r="E293" s="1">
        <f t="shared" ref="E293:F293" si="215">E289/E$16</f>
        <v>-3.3564934423795508E-3</v>
      </c>
      <c r="F293" s="1">
        <f t="shared" si="215"/>
        <v>-2.4110873798325301E-3</v>
      </c>
      <c r="G293" s="209">
        <f>F293</f>
        <v>-2.4110873798325301E-3</v>
      </c>
      <c r="H293" s="209">
        <f>G293</f>
        <v>-2.4110873798325301E-3</v>
      </c>
      <c r="I293" s="209">
        <f t="shared" ref="I293:K293" si="216">H293</f>
        <v>-2.4110873798325301E-3</v>
      </c>
      <c r="J293" s="209">
        <f t="shared" si="216"/>
        <v>-2.4110873798325301E-3</v>
      </c>
      <c r="K293" s="209">
        <f t="shared" si="216"/>
        <v>-2.4110873798325301E-3</v>
      </c>
    </row>
  </sheetData>
  <pageMargins left="0.7" right="0.7" top="0.75" bottom="0.75" header="0.511811023622047" footer="0.511811023622047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131"/>
  <sheetViews>
    <sheetView showGridLines="0" topLeftCell="A96" zoomScaleNormal="100" workbookViewId="0">
      <selection activeCell="D23" sqref="D23"/>
    </sheetView>
  </sheetViews>
  <sheetFormatPr defaultColWidth="9.140625" defaultRowHeight="15" x14ac:dyDescent="0.25"/>
  <cols>
    <col min="1" max="1" width="1.42578125" style="50" customWidth="1"/>
    <col min="2" max="2" width="54.42578125" style="50" customWidth="1"/>
    <col min="3" max="3" width="16.7109375" style="50" customWidth="1"/>
    <col min="4" max="4" width="15.5703125" style="50" bestFit="1" customWidth="1"/>
    <col min="5" max="9" width="16.42578125" style="50" customWidth="1"/>
    <col min="10" max="10" width="1.7109375" style="50" customWidth="1"/>
    <col min="11" max="11" width="12.140625" style="50" bestFit="1" customWidth="1"/>
    <col min="12" max="16" width="9.42578125" style="50" customWidth="1"/>
    <col min="17" max="17" width="9.140625" style="50" customWidth="1"/>
    <col min="18" max="16384" width="9.140625" style="50"/>
  </cols>
  <sheetData>
    <row r="1" spans="2:10" ht="15.75" customHeight="1" thickBot="1" x14ac:dyDescent="0.3"/>
    <row r="2" spans="2:10" ht="15.75" customHeight="1" thickBot="1" x14ac:dyDescent="0.3">
      <c r="B2" s="51" t="s">
        <v>0</v>
      </c>
      <c r="C2" s="52"/>
      <c r="D2" s="52"/>
      <c r="E2" s="52"/>
      <c r="F2" s="52"/>
      <c r="G2" s="52"/>
      <c r="H2" s="52"/>
      <c r="I2" s="52"/>
    </row>
    <row r="3" spans="2:10" x14ac:dyDescent="0.25">
      <c r="B3" s="182" t="str">
        <f>FSM!C3</f>
        <v>All amounts are shown in EGP, except per-share data, ratios, and shares outstanding</v>
      </c>
    </row>
    <row r="4" spans="2:10" x14ac:dyDescent="0.25">
      <c r="B4" s="50" t="s">
        <v>1</v>
      </c>
      <c r="C4" s="54"/>
      <c r="D4" s="54">
        <v>46022</v>
      </c>
      <c r="F4" s="50" t="s">
        <v>2</v>
      </c>
      <c r="H4" s="55">
        <f>+WACC!E21</f>
        <v>0.26516740039140274</v>
      </c>
      <c r="I4" s="50" t="s">
        <v>3</v>
      </c>
    </row>
    <row r="5" spans="2:10" x14ac:dyDescent="0.25">
      <c r="B5" s="50" t="s">
        <v>4</v>
      </c>
      <c r="C5" s="56"/>
      <c r="D5" s="56">
        <f>EOMONTH(D4,12)</f>
        <v>46387</v>
      </c>
      <c r="F5" s="50" t="s">
        <v>5</v>
      </c>
      <c r="H5" s="287">
        <v>17.03</v>
      </c>
    </row>
    <row r="6" spans="2:10" x14ac:dyDescent="0.25">
      <c r="B6" s="50" t="s">
        <v>6</v>
      </c>
      <c r="C6" s="54"/>
      <c r="D6" s="54">
        <v>46022</v>
      </c>
      <c r="F6" s="50" t="s">
        <v>7</v>
      </c>
      <c r="H6" s="57">
        <v>46274</v>
      </c>
      <c r="J6" s="58"/>
    </row>
    <row r="7" spans="2:10" x14ac:dyDescent="0.25">
      <c r="B7" s="50" t="s">
        <v>8</v>
      </c>
      <c r="C7" s="54"/>
      <c r="D7" s="54">
        <v>46274</v>
      </c>
      <c r="E7" s="58"/>
      <c r="F7" s="211" t="s">
        <v>9</v>
      </c>
      <c r="G7" s="58"/>
      <c r="H7" s="286">
        <f>C72</f>
        <v>7.665137777983694</v>
      </c>
      <c r="J7" s="292"/>
    </row>
    <row r="8" spans="2:10" x14ac:dyDescent="0.25">
      <c r="B8" s="50" t="s">
        <v>10</v>
      </c>
      <c r="C8" s="136"/>
      <c r="D8" s="136">
        <f>YEARFRAC(D7,D5)</f>
        <v>0.31111111111111112</v>
      </c>
      <c r="F8" s="211" t="s">
        <v>11</v>
      </c>
      <c r="H8" s="205">
        <f>H7/H5-1</f>
        <v>-0.54990382983066977</v>
      </c>
      <c r="I8" s="290" t="str">
        <f t="array" ref="I8">_xlfn.IFS(H8&gt;15%,"BUY",H8&gt;=0,"HOLD",H8&lt;0,"SELL")</f>
        <v>SELL</v>
      </c>
    </row>
    <row r="9" spans="2:10" x14ac:dyDescent="0.25">
      <c r="D9" s="60"/>
      <c r="F9" t="s">
        <v>12</v>
      </c>
      <c r="H9" s="236">
        <v>1</v>
      </c>
    </row>
    <row r="10" spans="2:10" x14ac:dyDescent="0.25">
      <c r="B10" s="61" t="s">
        <v>13</v>
      </c>
      <c r="C10" s="62"/>
      <c r="D10" s="63"/>
      <c r="F10" s="62"/>
      <c r="G10" s="62"/>
      <c r="H10" s="62"/>
      <c r="I10" s="62"/>
    </row>
    <row r="11" spans="2:10" ht="17.25" customHeight="1" x14ac:dyDescent="0.4">
      <c r="C11" s="64" t="s">
        <v>14</v>
      </c>
      <c r="D11" s="64" t="s">
        <v>15</v>
      </c>
      <c r="E11" s="65" t="s">
        <v>16</v>
      </c>
      <c r="F11" s="64"/>
      <c r="G11" s="64"/>
      <c r="H11" s="64"/>
      <c r="I11" s="64"/>
    </row>
    <row r="12" spans="2:10" x14ac:dyDescent="0.25">
      <c r="B12" s="66" t="s">
        <v>17</v>
      </c>
      <c r="C12" s="67">
        <f>D7</f>
        <v>46274</v>
      </c>
      <c r="D12" s="226">
        <f>D4</f>
        <v>46022</v>
      </c>
      <c r="E12" s="226">
        <f>EOMONTH(D12,12)</f>
        <v>46387</v>
      </c>
      <c r="F12" s="226">
        <f>EOMONTH(E12,12)</f>
        <v>46752</v>
      </c>
      <c r="G12" s="226">
        <f>EOMONTH(F12,12)</f>
        <v>47118</v>
      </c>
      <c r="H12" s="226">
        <f>EOMONTH(G12,12)</f>
        <v>47483</v>
      </c>
      <c r="I12" s="226">
        <f>EOMONTH(H12,12)</f>
        <v>47848</v>
      </c>
    </row>
    <row r="13" spans="2:10" x14ac:dyDescent="0.25">
      <c r="B13" s="66"/>
      <c r="D13" s="174"/>
      <c r="E13" s="181"/>
      <c r="F13" s="181"/>
      <c r="G13" s="181"/>
      <c r="H13" s="181"/>
      <c r="I13" s="180"/>
    </row>
    <row r="14" spans="2:10" x14ac:dyDescent="0.25">
      <c r="B14" s="50" t="s">
        <v>18</v>
      </c>
      <c r="C14" s="154">
        <f>E14*(1-$D$8)+D14*$D$8</f>
        <v>3314814773.8868003</v>
      </c>
      <c r="D14" s="175">
        <f>FSM!F16</f>
        <v>2877655973</v>
      </c>
      <c r="E14" s="175">
        <f>FSM!G16</f>
        <v>3512241329.1259999</v>
      </c>
      <c r="F14" s="175">
        <f>FSM!H16</f>
        <v>4145670431.9135056</v>
      </c>
      <c r="G14" s="175">
        <f>FSM!I16</f>
        <v>4768537629.4373875</v>
      </c>
      <c r="H14" s="175">
        <f>FSM!J16</f>
        <v>5341560854.4633684</v>
      </c>
      <c r="I14" s="175">
        <f>FSM!K16</f>
        <v>5876369814.0254908</v>
      </c>
    </row>
    <row r="15" spans="2:10" x14ac:dyDescent="0.25">
      <c r="B15" s="70" t="s">
        <v>19</v>
      </c>
      <c r="D15" s="176"/>
      <c r="E15" s="176">
        <f>E14/D14-1</f>
        <v>0.22052161970717954</v>
      </c>
      <c r="F15" s="176">
        <f t="shared" ref="F15:I15" si="0">F14/E14-1</f>
        <v>0.18034896905706943</v>
      </c>
      <c r="G15" s="176">
        <f t="shared" si="0"/>
        <v>0.15024522758225789</v>
      </c>
      <c r="H15" s="176">
        <f t="shared" si="0"/>
        <v>0.12016749568852392</v>
      </c>
      <c r="I15" s="176">
        <f t="shared" si="0"/>
        <v>0.10012222534453397</v>
      </c>
    </row>
    <row r="16" spans="2:10" x14ac:dyDescent="0.25">
      <c r="B16" s="50" t="s">
        <v>20</v>
      </c>
      <c r="C16" s="154">
        <f>E16*(1-$D$8)+D16*$D$8</f>
        <v>427630582.17594457</v>
      </c>
      <c r="D16" s="175">
        <f>FSM!F20</f>
        <v>361759057</v>
      </c>
      <c r="E16" s="175">
        <f>FSM!G20</f>
        <v>457379012.90056467</v>
      </c>
      <c r="F16" s="175">
        <f>FSM!H20</f>
        <v>540613491.07741785</v>
      </c>
      <c r="G16" s="175">
        <f>FSM!I20</f>
        <v>622460103.32057405</v>
      </c>
      <c r="H16" s="175">
        <f>FSM!J20</f>
        <v>697757068.53477776</v>
      </c>
      <c r="I16" s="175">
        <f>FSM!K20</f>
        <v>768032564.99928451</v>
      </c>
    </row>
    <row r="17" spans="2:13" x14ac:dyDescent="0.25">
      <c r="B17" s="70" t="s">
        <v>21</v>
      </c>
      <c r="D17" s="176">
        <f>D16/D14</f>
        <v>0.12571310135549688</v>
      </c>
      <c r="E17" s="176">
        <f t="shared" ref="E17:I17" si="1">E16/E14</f>
        <v>0.13022425569326715</v>
      </c>
      <c r="F17" s="176">
        <f t="shared" si="1"/>
        <v>0.13040435798170488</v>
      </c>
      <c r="G17" s="176">
        <f t="shared" si="1"/>
        <v>0.13053479949030297</v>
      </c>
      <c r="H17" s="176">
        <f t="shared" si="1"/>
        <v>0.13062793583110396</v>
      </c>
      <c r="I17" s="176">
        <f t="shared" si="1"/>
        <v>0.13069847359949577</v>
      </c>
    </row>
    <row r="18" spans="2:13" x14ac:dyDescent="0.25">
      <c r="B18" s="50" t="s">
        <v>22</v>
      </c>
      <c r="C18" s="154">
        <f>E18*(1-$D$8)+D18*$D$8</f>
        <v>341534023.41993082</v>
      </c>
      <c r="D18" s="175">
        <f>FSM!F25</f>
        <v>277129999</v>
      </c>
      <c r="E18" s="175">
        <f>FSM!G25</f>
        <v>370619711.86764145</v>
      </c>
      <c r="F18" s="175">
        <f>FSM!H25</f>
        <v>447918963.85465056</v>
      </c>
      <c r="G18" s="175">
        <f>FSM!I25</f>
        <v>512576972.66717702</v>
      </c>
      <c r="H18" s="175">
        <f>FSM!J25</f>
        <v>570851632.33672833</v>
      </c>
      <c r="I18" s="175">
        <f>FSM!K25</f>
        <v>624441159.95683432</v>
      </c>
    </row>
    <row r="19" spans="2:13" x14ac:dyDescent="0.25">
      <c r="B19" s="70" t="s">
        <v>21</v>
      </c>
      <c r="D19" s="176">
        <f>D18/D14</f>
        <v>9.6304075817335369E-2</v>
      </c>
      <c r="E19" s="176">
        <f t="shared" ref="E19:I19" si="2">E18/E14</f>
        <v>0.10552227968909754</v>
      </c>
      <c r="F19" s="176">
        <f t="shared" si="2"/>
        <v>0.10804500049173128</v>
      </c>
      <c r="G19" s="176">
        <f t="shared" si="2"/>
        <v>0.10749143919991527</v>
      </c>
      <c r="H19" s="176">
        <f t="shared" si="2"/>
        <v>0.10686981724821669</v>
      </c>
      <c r="I19" s="176">
        <f t="shared" si="2"/>
        <v>0.10626308073165212</v>
      </c>
    </row>
    <row r="20" spans="2:13" x14ac:dyDescent="0.25">
      <c r="B20" s="70"/>
      <c r="D20" s="175"/>
      <c r="E20" s="175"/>
      <c r="F20" s="175"/>
      <c r="G20" s="175"/>
      <c r="H20" s="175"/>
      <c r="I20" s="175"/>
    </row>
    <row r="21" spans="2:13" x14ac:dyDescent="0.25">
      <c r="B21" s="50" t="s">
        <v>23</v>
      </c>
      <c r="D21" s="177">
        <f>D18*D22</f>
        <v>84205461.79266122</v>
      </c>
      <c r="E21" s="177">
        <f t="shared" ref="E21:I21" si="3">E18*E22</f>
        <v>83389435.170219332</v>
      </c>
      <c r="F21" s="177">
        <f t="shared" si="3"/>
        <v>100781766.86729638</v>
      </c>
      <c r="G21" s="177">
        <f t="shared" si="3"/>
        <v>115329818.85011484</v>
      </c>
      <c r="H21" s="177">
        <f t="shared" si="3"/>
        <v>128441617.27576388</v>
      </c>
      <c r="I21" s="177">
        <f t="shared" si="3"/>
        <v>140499260.99028772</v>
      </c>
    </row>
    <row r="22" spans="2:13" ht="15" customHeight="1" x14ac:dyDescent="0.25">
      <c r="B22" s="70" t="s">
        <v>24</v>
      </c>
      <c r="D22" s="178">
        <f>FSM!F40</f>
        <v>0.30384823763760493</v>
      </c>
      <c r="E22" s="178">
        <f>FSM!G40</f>
        <v>0.22500000000000001</v>
      </c>
      <c r="F22" s="178">
        <f>FSM!H40</f>
        <v>0.22500000000000001</v>
      </c>
      <c r="G22" s="178">
        <f>FSM!I40</f>
        <v>0.22500000000000001</v>
      </c>
      <c r="H22" s="178">
        <f>FSM!J40</f>
        <v>0.22500000000000001</v>
      </c>
      <c r="I22" s="178">
        <f>FSM!K40</f>
        <v>0.22500000000000001</v>
      </c>
    </row>
    <row r="23" spans="2:13" x14ac:dyDescent="0.25">
      <c r="B23" s="71" t="s">
        <v>25</v>
      </c>
      <c r="C23" s="71"/>
      <c r="D23" s="179">
        <f>D18*(1-D22)</f>
        <v>192924537.20733878</v>
      </c>
      <c r="E23" s="179">
        <f t="shared" ref="E23:I23" si="4">E18*(1-E22)</f>
        <v>287230276.69742215</v>
      </c>
      <c r="F23" s="179">
        <f t="shared" si="4"/>
        <v>347137196.98735422</v>
      </c>
      <c r="G23" s="179">
        <f t="shared" si="4"/>
        <v>397247153.8170622</v>
      </c>
      <c r="H23" s="179">
        <f t="shared" si="4"/>
        <v>442410015.06096447</v>
      </c>
      <c r="I23" s="179">
        <f t="shared" si="4"/>
        <v>483941898.9665466</v>
      </c>
    </row>
    <row r="24" spans="2:13" x14ac:dyDescent="0.25">
      <c r="D24" s="68"/>
      <c r="E24" s="68"/>
      <c r="F24" s="68"/>
      <c r="G24" s="68"/>
      <c r="H24" s="68"/>
      <c r="I24" s="68"/>
    </row>
    <row r="25" spans="2:13" x14ac:dyDescent="0.25">
      <c r="B25" s="50" t="s">
        <v>26</v>
      </c>
      <c r="D25" s="69"/>
      <c r="E25" s="69">
        <f>FSM!G167</f>
        <v>86759301.032923192</v>
      </c>
      <c r="F25" s="69">
        <f>FSM!H167</f>
        <v>92694527.222767293</v>
      </c>
      <c r="G25" s="69">
        <f>FSM!I167</f>
        <v>109883130.65339704</v>
      </c>
      <c r="H25" s="69">
        <f>FSM!J167</f>
        <v>126905436.19804949</v>
      </c>
      <c r="I25" s="69">
        <f>FSM!K167</f>
        <v>143591405.04245025</v>
      </c>
      <c r="M25" s="73"/>
    </row>
    <row r="26" spans="2:13" x14ac:dyDescent="0.25">
      <c r="B26" s="50" t="s">
        <v>27</v>
      </c>
      <c r="D26" s="68"/>
      <c r="E26" s="68">
        <f>D32-E32</f>
        <v>62636242.114557087</v>
      </c>
      <c r="F26" s="68">
        <f t="shared" ref="F26:I26" si="5">E32-F32</f>
        <v>56618525.295861065</v>
      </c>
      <c r="G26" s="68">
        <f t="shared" si="5"/>
        <v>43667983.638173819</v>
      </c>
      <c r="H26" s="68">
        <f t="shared" si="5"/>
        <v>38805908.84193635</v>
      </c>
      <c r="I26" s="68">
        <f t="shared" si="5"/>
        <v>38589847.266882658</v>
      </c>
      <c r="M26" s="73"/>
    </row>
    <row r="27" spans="2:13" x14ac:dyDescent="0.25">
      <c r="B27" s="50" t="s">
        <v>28</v>
      </c>
      <c r="D27" s="69"/>
      <c r="E27" s="69">
        <f>-FSM!G156</f>
        <v>-35122413.291259997</v>
      </c>
      <c r="F27" s="69">
        <f>-FSM!H156</f>
        <v>-82913408.63827011</v>
      </c>
      <c r="G27" s="69">
        <f>-FSM!I156</f>
        <v>-95370752.588747755</v>
      </c>
      <c r="H27" s="69">
        <f>-FSM!J156</f>
        <v>-106831217.08926737</v>
      </c>
      <c r="I27" s="69">
        <f>-FSM!K156</f>
        <v>-117527396.28050981</v>
      </c>
      <c r="M27" s="73"/>
    </row>
    <row r="28" spans="2:13" x14ac:dyDescent="0.25">
      <c r="B28" s="70" t="s">
        <v>29</v>
      </c>
      <c r="D28" s="1"/>
      <c r="E28" s="1">
        <f t="shared" ref="E28" si="6">E27/E14</f>
        <v>-9.9999999999999985E-3</v>
      </c>
      <c r="F28" s="1">
        <f t="shared" ref="F28" si="7">F27/F14</f>
        <v>-0.02</v>
      </c>
      <c r="G28" s="1">
        <f t="shared" ref="G28" si="8">G27/G14</f>
        <v>-0.02</v>
      </c>
      <c r="H28" s="1">
        <f t="shared" ref="H28" si="9">H27/H14</f>
        <v>-0.02</v>
      </c>
      <c r="I28" s="1">
        <f t="shared" ref="I28" si="10">I27/I14</f>
        <v>-0.02</v>
      </c>
      <c r="M28" s="73"/>
    </row>
    <row r="29" spans="2:13" x14ac:dyDescent="0.25">
      <c r="B29" s="211"/>
      <c r="D29" s="69"/>
      <c r="E29" s="69"/>
      <c r="F29" s="69"/>
      <c r="G29" s="69"/>
      <c r="H29" s="69"/>
      <c r="I29" s="69"/>
      <c r="M29" s="73"/>
    </row>
    <row r="30" spans="2:13" x14ac:dyDescent="0.25">
      <c r="B30" s="71" t="s">
        <v>30</v>
      </c>
      <c r="C30" s="71"/>
      <c r="D30" s="72"/>
      <c r="E30" s="72">
        <f>E23+E25+E26+E27</f>
        <v>401503406.55364245</v>
      </c>
      <c r="F30" s="72">
        <f t="shared" ref="F30:I30" si="11">F23+F25+F26+F27</f>
        <v>413536840.8677125</v>
      </c>
      <c r="G30" s="72">
        <f t="shared" si="11"/>
        <v>455427515.5198853</v>
      </c>
      <c r="H30" s="72">
        <f t="shared" si="11"/>
        <v>501290143.01168287</v>
      </c>
      <c r="I30" s="72">
        <f t="shared" si="11"/>
        <v>548595754.99536967</v>
      </c>
      <c r="M30" s="72"/>
    </row>
    <row r="31" spans="2:13" x14ac:dyDescent="0.25">
      <c r="D31" s="69"/>
      <c r="E31" s="69"/>
      <c r="F31" s="69"/>
      <c r="G31" s="69"/>
      <c r="H31" s="69"/>
      <c r="I31" s="69"/>
      <c r="M31" s="73"/>
    </row>
    <row r="32" spans="2:13" x14ac:dyDescent="0.25">
      <c r="B32" s="50" t="s">
        <v>31</v>
      </c>
      <c r="C32" s="69"/>
      <c r="D32" s="69">
        <f>FSM!F204</f>
        <v>-172187341</v>
      </c>
      <c r="E32" s="69">
        <f>FSM!G204</f>
        <v>-234823583.11455709</v>
      </c>
      <c r="F32" s="69">
        <f>FSM!H204</f>
        <v>-291442108.41041815</v>
      </c>
      <c r="G32" s="69">
        <f>FSM!I204</f>
        <v>-335110092.04859197</v>
      </c>
      <c r="H32" s="69">
        <f>FSM!J204</f>
        <v>-373916000.89052832</v>
      </c>
      <c r="I32" s="69">
        <f>FSM!K204</f>
        <v>-412505848.15741098</v>
      </c>
    </row>
    <row r="33" spans="2:13" x14ac:dyDescent="0.25">
      <c r="B33" s="70" t="s">
        <v>29</v>
      </c>
      <c r="D33" s="59">
        <f>D32/D14</f>
        <v>-5.9835971573937691E-2</v>
      </c>
      <c r="E33" s="59">
        <f t="shared" ref="E33:I33" si="12">E32/E14</f>
        <v>-6.6858612808645329E-2</v>
      </c>
      <c r="F33" s="59">
        <f t="shared" si="12"/>
        <v>-7.0300356286618279E-2</v>
      </c>
      <c r="G33" s="59">
        <f t="shared" si="12"/>
        <v>-7.027523280509998E-2</v>
      </c>
      <c r="H33" s="59">
        <f t="shared" si="12"/>
        <v>-7.0001262005296994E-2</v>
      </c>
      <c r="I33" s="59">
        <f t="shared" si="12"/>
        <v>-7.0197394175713398E-2</v>
      </c>
      <c r="J33" s="69"/>
    </row>
    <row r="34" spans="2:13" x14ac:dyDescent="0.25">
      <c r="E34" s="345"/>
      <c r="F34" s="345"/>
      <c r="G34" s="345"/>
      <c r="H34" s="345"/>
      <c r="I34" s="345"/>
      <c r="J34" s="69"/>
      <c r="K34" s="74"/>
      <c r="M34" s="59"/>
    </row>
    <row r="35" spans="2:13" x14ac:dyDescent="0.25">
      <c r="B35" s="61" t="str">
        <f>"Present value of UFCF on "&amp;TEXT(D7,"mmm dd, yyyy")&amp;" valuation date"</f>
        <v>Present value of UFCF on Sep 09, 2026 valuation date</v>
      </c>
      <c r="C35" s="62"/>
      <c r="D35" s="75"/>
      <c r="E35" s="62"/>
      <c r="F35" s="75"/>
      <c r="G35" s="75"/>
      <c r="H35" s="75"/>
      <c r="I35" s="75"/>
      <c r="J35" s="69"/>
    </row>
    <row r="36" spans="2:13" ht="17.25" customHeight="1" x14ac:dyDescent="0.4">
      <c r="B36" s="71"/>
      <c r="D36" s="76" t="s">
        <v>32</v>
      </c>
      <c r="E36" s="76" t="s">
        <v>33</v>
      </c>
      <c r="F36" s="77" t="s">
        <v>34</v>
      </c>
      <c r="G36" s="77" t="s">
        <v>35</v>
      </c>
      <c r="H36" s="77" t="s">
        <v>36</v>
      </c>
      <c r="I36" s="77" t="s">
        <v>37</v>
      </c>
      <c r="J36" s="69"/>
    </row>
    <row r="37" spans="2:13" x14ac:dyDescent="0.25">
      <c r="B37" s="50" t="s">
        <v>38</v>
      </c>
      <c r="D37" s="78">
        <f>D7</f>
        <v>46274</v>
      </c>
      <c r="E37" s="155">
        <f>IF($H$9=1,AVERAGE(E12,D37),E12)</f>
        <v>46330.5</v>
      </c>
      <c r="F37" s="155">
        <f>IF($H$9=1,AVERAGE(F12,E12),F12)</f>
        <v>46569.5</v>
      </c>
      <c r="G37" s="155">
        <f>IF($H$9=1,AVERAGE(G12,F12),G12)</f>
        <v>46935</v>
      </c>
      <c r="H37" s="155">
        <f>IF($H$9=1,AVERAGE(H12,G12),H12)</f>
        <v>47300.5</v>
      </c>
      <c r="I37" s="155">
        <f>IF($H$9=1,AVERAGE(I12,H12),I12)</f>
        <v>47665.5</v>
      </c>
      <c r="J37" s="69"/>
    </row>
    <row r="38" spans="2:13" x14ac:dyDescent="0.25">
      <c r="B38" s="50" t="s">
        <v>39</v>
      </c>
      <c r="C38" s="79">
        <f>D8</f>
        <v>0.31111111111111112</v>
      </c>
      <c r="D38" s="73"/>
      <c r="E38" s="80">
        <f>E30*C38</f>
        <v>124912170.92779988</v>
      </c>
      <c r="F38" s="80">
        <f>F30</f>
        <v>413536840.8677125</v>
      </c>
      <c r="G38" s="80">
        <f t="shared" ref="G38:I38" si="13">G30</f>
        <v>455427515.5198853</v>
      </c>
      <c r="H38" s="80">
        <f t="shared" si="13"/>
        <v>501290143.01168287</v>
      </c>
      <c r="I38" s="80">
        <f t="shared" si="13"/>
        <v>548595754.99536967</v>
      </c>
      <c r="J38" s="68"/>
    </row>
    <row r="39" spans="2:13" ht="15" customHeight="1" x14ac:dyDescent="0.25">
      <c r="B39" s="71" t="s">
        <v>40</v>
      </c>
      <c r="C39" s="81"/>
      <c r="D39" s="72"/>
      <c r="E39" s="72">
        <f>E38/(1+WACC!D$78)^((E37-$D$37)/365)</f>
        <v>120852736.77852477</v>
      </c>
      <c r="F39" s="72">
        <f>F38/(1+WACC!E$78)^((F37-$D$37)/365)</f>
        <v>346566489.66428405</v>
      </c>
      <c r="G39" s="72">
        <f>G38/(1+WACC!F$78)^((G37-$D$37)/365)</f>
        <v>305306570.16997343</v>
      </c>
      <c r="H39" s="72">
        <f>H38/(1+WACC!G$78)^((H37-$D$37)/365)</f>
        <v>268034938.03129101</v>
      </c>
      <c r="I39" s="72">
        <f>I38/(1+WACC!H$78)^((I37-$D$37)/365)</f>
        <v>233555114.01481897</v>
      </c>
      <c r="J39" s="68"/>
    </row>
    <row r="40" spans="2:13" x14ac:dyDescent="0.25">
      <c r="B40" s="61" t="s">
        <v>41</v>
      </c>
      <c r="C40" s="61"/>
      <c r="E40" s="61" t="s">
        <v>42</v>
      </c>
      <c r="F40" s="62"/>
      <c r="G40" s="62"/>
      <c r="H40" s="62"/>
      <c r="I40" s="62"/>
    </row>
    <row r="41" spans="2:13" x14ac:dyDescent="0.25">
      <c r="B41" s="50" t="s">
        <v>43</v>
      </c>
      <c r="C41" s="82">
        <v>0.1</v>
      </c>
      <c r="E41" s="50" t="s">
        <v>44</v>
      </c>
      <c r="I41" s="73">
        <f>I16</f>
        <v>768032564.99928451</v>
      </c>
      <c r="J41" s="73"/>
    </row>
    <row r="42" spans="2:13" x14ac:dyDescent="0.25">
      <c r="B42" s="83" t="str">
        <f>YEAR(I12)&amp;" FCF x (1+g)"</f>
        <v>2030 FCF x (1+g)</v>
      </c>
      <c r="C42" s="73">
        <f>I38*(1+C41)</f>
        <v>603455330.49490666</v>
      </c>
      <c r="E42" s="50" t="s">
        <v>45</v>
      </c>
      <c r="I42" s="258">
        <v>9.1999999999999993</v>
      </c>
      <c r="J42" s="84"/>
    </row>
    <row r="43" spans="2:13" x14ac:dyDescent="0.25">
      <c r="B43" s="50" t="str">
        <f>"Terminal value in "&amp;YEAR(I12)</f>
        <v>Terminal value in 2030</v>
      </c>
      <c r="C43" s="73">
        <f>C42/(WACC!H78-C41)</f>
        <v>3994669399.3734574</v>
      </c>
      <c r="E43" s="50" t="str">
        <f>"Terminal value in "&amp;YEAR(I12)</f>
        <v>Terminal value in 2030</v>
      </c>
      <c r="I43" s="73">
        <f>I41*I42</f>
        <v>7065899597.9934168</v>
      </c>
      <c r="J43" s="73"/>
    </row>
    <row r="44" spans="2:13" x14ac:dyDescent="0.25">
      <c r="B44" s="50" t="s">
        <v>46</v>
      </c>
      <c r="C44" s="73">
        <f>C43/(1+WACC!H78)^((I37-$D$37)/365)</f>
        <v>1700661112.5345855</v>
      </c>
      <c r="E44" s="50" t="s">
        <v>46</v>
      </c>
      <c r="I44" s="73">
        <f>I43/(1+WACC!H78)^((I37-D37)/365)</f>
        <v>3008184024.7570724</v>
      </c>
      <c r="J44" s="73"/>
    </row>
    <row r="45" spans="2:13" x14ac:dyDescent="0.25">
      <c r="B45" s="50" t="s">
        <v>47</v>
      </c>
      <c r="C45" s="68">
        <f>SUM(E39:I39)</f>
        <v>1274315848.6588922</v>
      </c>
      <c r="E45" s="50" t="s">
        <v>47</v>
      </c>
      <c r="I45" s="73">
        <f>C45</f>
        <v>1274315848.6588922</v>
      </c>
      <c r="J45" s="73"/>
    </row>
    <row r="46" spans="2:13" x14ac:dyDescent="0.25">
      <c r="B46" s="71" t="s">
        <v>48</v>
      </c>
      <c r="C46" s="85">
        <f>SUM(C44:C45)</f>
        <v>2974976961.1934776</v>
      </c>
      <c r="E46" s="71" t="s">
        <v>49</v>
      </c>
      <c r="I46" s="85">
        <f>SUM(I44:I45)</f>
        <v>4282499873.4159646</v>
      </c>
      <c r="J46" s="85"/>
    </row>
    <row r="48" spans="2:13" x14ac:dyDescent="0.25">
      <c r="B48" s="86" t="s">
        <v>50</v>
      </c>
      <c r="C48" s="87">
        <f>C44/C46</f>
        <v>0.57165522110541922</v>
      </c>
      <c r="E48" s="86" t="s">
        <v>50</v>
      </c>
      <c r="I48" s="87">
        <f>I44/I46</f>
        <v>0.70243645386440479</v>
      </c>
      <c r="J48" s="87"/>
    </row>
    <row r="49" spans="2:10" x14ac:dyDescent="0.25">
      <c r="B49" s="86" t="s">
        <v>51</v>
      </c>
      <c r="C49" s="87">
        <f>C48-1</f>
        <v>-0.42834477889458078</v>
      </c>
      <c r="E49" s="86" t="s">
        <v>52</v>
      </c>
      <c r="G49" s="88"/>
      <c r="I49" s="89">
        <f>1-I48</f>
        <v>0.29756354613559521</v>
      </c>
      <c r="J49" s="89"/>
    </row>
    <row r="50" spans="2:10" x14ac:dyDescent="0.25">
      <c r="B50" s="86" t="s">
        <v>53</v>
      </c>
      <c r="C50" s="321">
        <f>C43/I16</f>
        <v>5.2011719052266736</v>
      </c>
      <c r="E50" s="50" t="s">
        <v>54</v>
      </c>
      <c r="I50" s="216">
        <f>(H4-I38/I43)/(1+I38/I43)</f>
        <v>0.17401684700104297</v>
      </c>
      <c r="J50" s="91"/>
    </row>
    <row r="51" spans="2:10" x14ac:dyDescent="0.25">
      <c r="B51" s="86"/>
      <c r="C51" s="66"/>
      <c r="D51" s="90"/>
      <c r="I51" s="91"/>
      <c r="J51" s="91"/>
    </row>
    <row r="52" spans="2:10" x14ac:dyDescent="0.25">
      <c r="B52" s="61" t="s">
        <v>55</v>
      </c>
      <c r="C52" s="62"/>
      <c r="E52" s="61" t="s">
        <v>56</v>
      </c>
      <c r="F52" s="62"/>
      <c r="G52" s="61"/>
      <c r="H52" s="62"/>
      <c r="I52" s="62"/>
    </row>
    <row r="53" spans="2:10" x14ac:dyDescent="0.25">
      <c r="B53" s="50" t="s">
        <v>57</v>
      </c>
      <c r="C53" s="188" t="s">
        <v>58</v>
      </c>
    </row>
    <row r="54" spans="2:10" x14ac:dyDescent="0.25">
      <c r="B54" s="92" t="s">
        <v>59</v>
      </c>
      <c r="C54" s="57" t="s">
        <v>60</v>
      </c>
      <c r="G54" s="93" t="s">
        <v>57</v>
      </c>
      <c r="H54" s="94" t="s">
        <v>61</v>
      </c>
      <c r="I54" s="94" t="s">
        <v>62</v>
      </c>
    </row>
    <row r="55" spans="2:10" x14ac:dyDescent="0.25">
      <c r="B55" s="95" t="s">
        <v>63</v>
      </c>
      <c r="C55" s="96"/>
      <c r="E55" s="50" t="s">
        <v>64</v>
      </c>
      <c r="G55" s="189" t="s">
        <v>58</v>
      </c>
      <c r="H55" s="57" t="s">
        <v>60</v>
      </c>
      <c r="I55" s="186">
        <v>400000000</v>
      </c>
      <c r="J55" s="97"/>
    </row>
    <row r="56" spans="2:10" x14ac:dyDescent="0.25">
      <c r="B56" s="70" t="s">
        <v>65</v>
      </c>
      <c r="C56" s="99">
        <f>FSM!F92+FSM!F93+FSM!F94+FSM!F101+FSM!F102+FSM!F103</f>
        <v>215342632</v>
      </c>
      <c r="E56" s="92" t="s">
        <v>66</v>
      </c>
      <c r="G56" s="189"/>
      <c r="H56" s="57"/>
      <c r="I56" s="183"/>
      <c r="J56" s="98"/>
    </row>
    <row r="57" spans="2:10" x14ac:dyDescent="0.25">
      <c r="B57" s="70" t="s">
        <v>67</v>
      </c>
      <c r="C57" s="183"/>
      <c r="E57" s="92" t="s">
        <v>68</v>
      </c>
      <c r="G57" s="57"/>
      <c r="H57" s="57"/>
      <c r="I57" s="183"/>
    </row>
    <row r="58" spans="2:10" ht="15" customHeight="1" x14ac:dyDescent="0.25">
      <c r="B58" s="70" t="s">
        <v>69</v>
      </c>
      <c r="C58" s="183"/>
      <c r="E58" s="50" t="s">
        <v>67</v>
      </c>
      <c r="G58" s="57"/>
      <c r="H58" s="57"/>
      <c r="I58" s="183"/>
    </row>
    <row r="59" spans="2:10" x14ac:dyDescent="0.25">
      <c r="B59" s="100" t="s">
        <v>70</v>
      </c>
      <c r="C59" s="99">
        <f>FSM!F114</f>
        <v>-417023</v>
      </c>
      <c r="E59" s="50" t="s">
        <v>71</v>
      </c>
      <c r="G59" s="57"/>
      <c r="H59" s="57"/>
      <c r="I59" s="183"/>
    </row>
    <row r="60" spans="2:10" ht="15" customHeight="1" x14ac:dyDescent="0.25">
      <c r="B60" s="95" t="s">
        <v>72</v>
      </c>
      <c r="C60" s="99"/>
      <c r="E60" s="101" t="s">
        <v>73</v>
      </c>
      <c r="I60" s="187">
        <f>SUM(I55:I59)</f>
        <v>400000000</v>
      </c>
      <c r="J60" s="102"/>
    </row>
    <row r="61" spans="2:10" x14ac:dyDescent="0.25">
      <c r="B61" s="103" t="s">
        <v>74</v>
      </c>
      <c r="C61" s="99">
        <f>FSM!F73</f>
        <v>104342521</v>
      </c>
      <c r="J61" s="104"/>
    </row>
    <row r="62" spans="2:10" x14ac:dyDescent="0.25">
      <c r="B62" s="103" t="s">
        <v>75</v>
      </c>
      <c r="C62" s="99"/>
      <c r="J62" s="104"/>
    </row>
    <row r="63" spans="2:10" x14ac:dyDescent="0.25">
      <c r="B63" s="103" t="s">
        <v>76</v>
      </c>
      <c r="C63" s="99">
        <f>FSM!F68</f>
        <v>201661238</v>
      </c>
      <c r="J63" s="105"/>
    </row>
    <row r="64" spans="2:10" x14ac:dyDescent="0.25">
      <c r="B64" s="106" t="s">
        <v>55</v>
      </c>
      <c r="C64" s="14">
        <f>SUM(C56:C59)-SUM(C61:C63)</f>
        <v>-91078150</v>
      </c>
    </row>
    <row r="66" spans="2:6" x14ac:dyDescent="0.25">
      <c r="B66" s="61" t="s">
        <v>77</v>
      </c>
      <c r="C66" s="62"/>
      <c r="D66" s="62"/>
    </row>
    <row r="67" spans="2:6" ht="17.25" customHeight="1" x14ac:dyDescent="0.4">
      <c r="C67" s="107" t="s">
        <v>78</v>
      </c>
      <c r="D67" s="107" t="s">
        <v>20</v>
      </c>
    </row>
    <row r="68" spans="2:6" x14ac:dyDescent="0.25">
      <c r="B68" s="50" t="s">
        <v>79</v>
      </c>
      <c r="C68" s="108">
        <f>C46</f>
        <v>2974976961.1934776</v>
      </c>
      <c r="D68" s="108">
        <f>I46</f>
        <v>4282499873.4159646</v>
      </c>
    </row>
    <row r="69" spans="2:6" x14ac:dyDescent="0.25">
      <c r="B69" s="50" t="s">
        <v>55</v>
      </c>
      <c r="C69" s="109">
        <f>C64</f>
        <v>-91078150</v>
      </c>
      <c r="D69" s="109">
        <f>C64</f>
        <v>-91078150</v>
      </c>
    </row>
    <row r="70" spans="2:6" x14ac:dyDescent="0.25">
      <c r="B70" s="50" t="s">
        <v>80</v>
      </c>
      <c r="C70" s="110">
        <f>C68-C69</f>
        <v>3066055111.1934776</v>
      </c>
      <c r="D70" s="110">
        <f>D68-D69</f>
        <v>4373578023.4159641</v>
      </c>
    </row>
    <row r="71" spans="2:6" x14ac:dyDescent="0.25">
      <c r="B71" s="50" t="s">
        <v>56</v>
      </c>
      <c r="C71" s="212">
        <f>$I$60</f>
        <v>400000000</v>
      </c>
      <c r="D71" s="212">
        <f>$I$60</f>
        <v>400000000</v>
      </c>
    </row>
    <row r="72" spans="2:6" x14ac:dyDescent="0.25">
      <c r="B72" s="71" t="s">
        <v>81</v>
      </c>
      <c r="C72" s="286">
        <f>C70/C71</f>
        <v>7.665137777983694</v>
      </c>
      <c r="D72" s="286">
        <f>D70/D71</f>
        <v>10.93394505853991</v>
      </c>
    </row>
    <row r="74" spans="2:6" ht="17.25" customHeight="1" x14ac:dyDescent="0.4">
      <c r="C74" s="64" t="s">
        <v>82</v>
      </c>
      <c r="D74" s="64"/>
    </row>
    <row r="75" spans="2:6" x14ac:dyDescent="0.25">
      <c r="B75" s="93"/>
      <c r="C75" s="94" t="s">
        <v>78</v>
      </c>
      <c r="D75" s="94" t="s">
        <v>20</v>
      </c>
    </row>
    <row r="76" spans="2:6" x14ac:dyDescent="0.25">
      <c r="B76" s="50" t="s">
        <v>83</v>
      </c>
      <c r="C76" s="230">
        <f>C68/$C$14</f>
        <v>0.89747909434624473</v>
      </c>
      <c r="D76" s="230">
        <f>D68/$C$14</f>
        <v>1.2919273520657388</v>
      </c>
    </row>
    <row r="77" spans="2:6" x14ac:dyDescent="0.25">
      <c r="B77" s="50" t="s">
        <v>84</v>
      </c>
      <c r="C77" s="231">
        <f>C68/$C$16</f>
        <v>6.956885417445311</v>
      </c>
      <c r="D77" s="231">
        <f>D68/$C$16</f>
        <v>10.014484585328303</v>
      </c>
    </row>
    <row r="78" spans="2:6" x14ac:dyDescent="0.25">
      <c r="B78" s="68" t="s">
        <v>85</v>
      </c>
      <c r="C78" s="231">
        <f>C68/$C$18</f>
        <v>8.710631319842518</v>
      </c>
      <c r="D78" s="231">
        <f>D68/$C$18</f>
        <v>12.539013918828363</v>
      </c>
    </row>
    <row r="79" spans="2:6" ht="17.25" customHeight="1" x14ac:dyDescent="0.4">
      <c r="B79" s="68"/>
      <c r="C79" s="64" t="s">
        <v>86</v>
      </c>
      <c r="D79" s="64"/>
      <c r="E79" s="111"/>
      <c r="F79" s="111"/>
    </row>
    <row r="80" spans="2:6" x14ac:dyDescent="0.25">
      <c r="B80" s="93"/>
      <c r="C80" s="94" t="s">
        <v>78</v>
      </c>
      <c r="D80" s="94" t="s">
        <v>20</v>
      </c>
      <c r="E80" s="111"/>
      <c r="F80" s="111"/>
    </row>
    <row r="81" spans="2:17" x14ac:dyDescent="0.25">
      <c r="B81" s="50" t="s">
        <v>83</v>
      </c>
      <c r="C81" s="230">
        <f>C68/$E$14</f>
        <v>0.84703090773485734</v>
      </c>
      <c r="D81" s="230">
        <f>D68/$E$14</f>
        <v>1.2193068391691748</v>
      </c>
      <c r="E81" s="111"/>
      <c r="F81" s="111"/>
    </row>
    <row r="82" spans="2:17" x14ac:dyDescent="0.25">
      <c r="B82" s="50" t="s">
        <v>84</v>
      </c>
      <c r="C82" s="231">
        <f>C68/$E$16</f>
        <v>6.5044019889042106</v>
      </c>
      <c r="D82" s="231">
        <f>D68/$E$16</f>
        <v>9.3631315662203125</v>
      </c>
      <c r="E82" s="111"/>
      <c r="F82" s="111"/>
    </row>
    <row r="83" spans="2:17" x14ac:dyDescent="0.25">
      <c r="B83" s="68" t="s">
        <v>85</v>
      </c>
      <c r="C83" s="231">
        <f>C68/$E$18</f>
        <v>8.0270338191184081</v>
      </c>
      <c r="D83" s="231">
        <f>D68/$E$18</f>
        <v>11.554970597315029</v>
      </c>
      <c r="E83" s="111"/>
      <c r="F83" s="111"/>
    </row>
    <row r="85" spans="2:17" x14ac:dyDescent="0.25">
      <c r="B85" s="61" t="s">
        <v>87</v>
      </c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</row>
    <row r="86" spans="2:17" x14ac:dyDescent="0.25">
      <c r="B86" s="71"/>
    </row>
    <row r="87" spans="2:17" ht="17.25" customHeight="1" x14ac:dyDescent="0.4">
      <c r="B87" s="112"/>
      <c r="C87" s="71"/>
      <c r="D87" s="113" t="s">
        <v>81</v>
      </c>
      <c r="E87" s="64"/>
      <c r="F87" s="64"/>
      <c r="G87" s="64"/>
      <c r="H87" s="64"/>
      <c r="I87" s="64"/>
      <c r="J87" s="114"/>
      <c r="L87" s="113" t="s">
        <v>88</v>
      </c>
      <c r="M87" s="64"/>
      <c r="N87" s="64"/>
      <c r="O87" s="64"/>
      <c r="P87" s="64"/>
      <c r="Q87" s="64"/>
    </row>
    <row r="88" spans="2:17" ht="15" customHeight="1" x14ac:dyDescent="0.25">
      <c r="B88" s="112"/>
      <c r="D88" s="92"/>
      <c r="E88" s="115" t="s">
        <v>89</v>
      </c>
      <c r="F88" s="115"/>
      <c r="G88" s="115"/>
      <c r="H88" s="115"/>
      <c r="I88" s="115"/>
      <c r="J88" s="116"/>
      <c r="L88" s="115" t="s">
        <v>89</v>
      </c>
      <c r="M88" s="115"/>
      <c r="N88" s="115"/>
      <c r="O88" s="115"/>
      <c r="P88" s="115"/>
      <c r="Q88" s="115"/>
    </row>
    <row r="89" spans="2:17" ht="15" customHeight="1" x14ac:dyDescent="0.25">
      <c r="B89" s="112"/>
      <c r="C89" s="117"/>
      <c r="D89" s="158">
        <f>C72</f>
        <v>7.665137777983694</v>
      </c>
      <c r="E89" s="192">
        <f>F89-0.005</f>
        <v>0.09</v>
      </c>
      <c r="F89" s="193">
        <f>G89-0.005</f>
        <v>9.5000000000000001E-2</v>
      </c>
      <c r="G89" s="118">
        <v>0.1</v>
      </c>
      <c r="H89" s="193">
        <f>G89+0.005</f>
        <v>0.10500000000000001</v>
      </c>
      <c r="I89" s="217">
        <f>H89+0.005</f>
        <v>0.11000000000000001</v>
      </c>
      <c r="K89" s="122"/>
      <c r="L89" s="119">
        <f>C77</f>
        <v>6.956885417445311</v>
      </c>
      <c r="M89" s="192">
        <f>N89-0.005</f>
        <v>0.09</v>
      </c>
      <c r="N89" s="193">
        <f>O89-0.005</f>
        <v>9.5000000000000001E-2</v>
      </c>
      <c r="O89" s="118">
        <v>0.1</v>
      </c>
      <c r="P89" s="193">
        <f>O89+0.005</f>
        <v>0.10500000000000001</v>
      </c>
      <c r="Q89" s="217">
        <f>P89+0.005</f>
        <v>0.11000000000000001</v>
      </c>
    </row>
    <row r="90" spans="2:17" ht="15" customHeight="1" x14ac:dyDescent="0.25">
      <c r="B90" s="112"/>
      <c r="D90" s="190">
        <f>D91+0.01</f>
        <v>0.28516740039140276</v>
      </c>
      <c r="E90" s="120">
        <f t="dataTable" ref="E90:I94" dt2D="1" dtr="1" r1="C41" r2="H4" ca="1"/>
        <v>7.3649151303276907</v>
      </c>
      <c r="F90" s="120">
        <v>7.510217202244089</v>
      </c>
      <c r="G90" s="120">
        <v>7.665137777983694</v>
      </c>
      <c r="H90" s="120">
        <v>7.8306646192249394</v>
      </c>
      <c r="I90" s="120">
        <v>8.0079255309781612</v>
      </c>
      <c r="J90" s="121"/>
      <c r="L90" s="190">
        <f>L91+0.01</f>
        <v>0.28516740039140276</v>
      </c>
      <c r="M90" s="122">
        <f t="dataTable" ref="M90:Q94" dt2D="1" dtr="1" r1="C41" r2="H4"/>
        <v>6.6760611170612201</v>
      </c>
      <c r="N90" s="122">
        <v>6.8119747565180111</v>
      </c>
      <c r="O90" s="122">
        <v>6.956885417445311</v>
      </c>
      <c r="P90" s="122">
        <v>7.1117170390744127</v>
      </c>
      <c r="Q90" s="122">
        <v>7.2775245553200953</v>
      </c>
    </row>
    <row r="91" spans="2:17" ht="15" customHeight="1" x14ac:dyDescent="0.25">
      <c r="B91" s="112"/>
      <c r="D91" s="190">
        <f>D92+0.01</f>
        <v>0.27516740039140275</v>
      </c>
      <c r="E91" s="120">
        <v>7.3649151303276907</v>
      </c>
      <c r="F91" s="120">
        <v>7.510217202244089</v>
      </c>
      <c r="G91" s="120">
        <v>7.665137777983694</v>
      </c>
      <c r="H91" s="120">
        <v>7.8306646192249394</v>
      </c>
      <c r="I91" s="120">
        <v>8.0079255309781612</v>
      </c>
      <c r="J91" s="121"/>
      <c r="L91" s="190">
        <f>L92+0.01</f>
        <v>0.27516740039140275</v>
      </c>
      <c r="M91" s="122">
        <v>6.6760611170612201</v>
      </c>
      <c r="N91" s="122">
        <v>6.8119747565180111</v>
      </c>
      <c r="O91" s="122">
        <v>6.956885417445311</v>
      </c>
      <c r="P91" s="122">
        <v>7.1117170390744127</v>
      </c>
      <c r="Q91" s="122">
        <v>7.2775245553200953</v>
      </c>
    </row>
    <row r="92" spans="2:17" ht="15" customHeight="1" x14ac:dyDescent="0.25">
      <c r="B92" s="112"/>
      <c r="C92" s="117" t="s">
        <v>90</v>
      </c>
      <c r="D92" s="123">
        <v>0.26516740039140274</v>
      </c>
      <c r="E92" s="120">
        <v>7.3649151303276907</v>
      </c>
      <c r="F92" s="120">
        <v>7.510217202244089</v>
      </c>
      <c r="G92" s="120">
        <v>7.665137777983694</v>
      </c>
      <c r="H92" s="120">
        <v>7.8306646192249394</v>
      </c>
      <c r="I92" s="120">
        <v>8.0079255309781612</v>
      </c>
      <c r="J92" s="121"/>
      <c r="K92" s="117" t="s">
        <v>90</v>
      </c>
      <c r="L92" s="123">
        <f>WACC!$E$21</f>
        <v>0.26516740039140274</v>
      </c>
      <c r="M92" s="122">
        <v>6.6760611170612201</v>
      </c>
      <c r="N92" s="122">
        <v>6.8119747565180111</v>
      </c>
      <c r="O92" s="122">
        <v>6.956885417445311</v>
      </c>
      <c r="P92" s="122">
        <v>7.1117170390744127</v>
      </c>
      <c r="Q92" s="122">
        <v>7.2775245553200953</v>
      </c>
    </row>
    <row r="93" spans="2:17" ht="15" customHeight="1" x14ac:dyDescent="0.25">
      <c r="B93" s="112"/>
      <c r="D93" s="190">
        <f>D92-0.01</f>
        <v>0.25516740039140273</v>
      </c>
      <c r="E93" s="120">
        <v>7.3649151303276907</v>
      </c>
      <c r="F93" s="120">
        <v>7.510217202244089</v>
      </c>
      <c r="G93" s="120">
        <v>7.665137777983694</v>
      </c>
      <c r="H93" s="120">
        <v>7.8306646192249394</v>
      </c>
      <c r="I93" s="120">
        <v>8.0079255309781612</v>
      </c>
      <c r="J93" s="121"/>
      <c r="L93" s="190">
        <f>L92-0.01</f>
        <v>0.25516740039140273</v>
      </c>
      <c r="M93" s="122">
        <v>6.6760611170612201</v>
      </c>
      <c r="N93" s="122">
        <v>6.8119747565180111</v>
      </c>
      <c r="O93" s="122">
        <v>6.956885417445311</v>
      </c>
      <c r="P93" s="122">
        <v>7.1117170390744127</v>
      </c>
      <c r="Q93" s="122">
        <v>7.2775245553200953</v>
      </c>
    </row>
    <row r="94" spans="2:17" ht="15" customHeight="1" x14ac:dyDescent="0.25">
      <c r="B94" s="124" t="s">
        <v>91</v>
      </c>
      <c r="D94" s="191">
        <f>D93-0.01</f>
        <v>0.24516740039140272</v>
      </c>
      <c r="E94" s="120">
        <v>7.3649151303276907</v>
      </c>
      <c r="F94" s="120">
        <v>7.510217202244089</v>
      </c>
      <c r="G94" s="120">
        <v>7.665137777983694</v>
      </c>
      <c r="H94" s="120">
        <v>7.8306646192249394</v>
      </c>
      <c r="I94" s="120">
        <v>8.0079255309781612</v>
      </c>
      <c r="J94" s="121"/>
      <c r="L94" s="191">
        <f>L93-0.01</f>
        <v>0.24516740039140272</v>
      </c>
      <c r="M94" s="122">
        <v>6.6760611170612201</v>
      </c>
      <c r="N94" s="122">
        <v>6.8119747565180111</v>
      </c>
      <c r="O94" s="122">
        <v>6.956885417445311</v>
      </c>
      <c r="P94" s="122">
        <v>7.1117170390744127</v>
      </c>
      <c r="Q94" s="122">
        <v>7.2775245553200953</v>
      </c>
    </row>
    <row r="95" spans="2:17" ht="15" customHeight="1" x14ac:dyDescent="0.25">
      <c r="B95" s="124" t="s">
        <v>92</v>
      </c>
      <c r="E95" s="125"/>
      <c r="F95" s="125"/>
      <c r="G95" s="125"/>
      <c r="H95" s="125"/>
      <c r="I95" s="125"/>
      <c r="J95" s="125"/>
    </row>
    <row r="96" spans="2:17" ht="17.25" customHeight="1" x14ac:dyDescent="0.4">
      <c r="B96" s="112"/>
      <c r="D96" s="113" t="s">
        <v>81</v>
      </c>
      <c r="E96" s="64"/>
      <c r="F96" s="64"/>
      <c r="G96" s="64"/>
      <c r="H96" s="64"/>
      <c r="I96" s="64"/>
      <c r="J96" s="114"/>
      <c r="L96" s="113" t="s">
        <v>88</v>
      </c>
      <c r="M96" s="64"/>
      <c r="N96" s="64"/>
      <c r="O96" s="64"/>
      <c r="P96" s="64"/>
      <c r="Q96" s="64"/>
    </row>
    <row r="97" spans="2:17" ht="15" customHeight="1" x14ac:dyDescent="0.25">
      <c r="B97" s="112"/>
      <c r="E97" s="115" t="s">
        <v>93</v>
      </c>
      <c r="F97" s="115"/>
      <c r="G97" s="115"/>
      <c r="H97" s="115"/>
      <c r="I97" s="115"/>
      <c r="J97" s="116"/>
      <c r="M97" s="115" t="s">
        <v>93</v>
      </c>
      <c r="N97" s="115"/>
      <c r="O97" s="115"/>
      <c r="P97" s="115"/>
      <c r="Q97" s="115"/>
    </row>
    <row r="98" spans="2:17" ht="15" customHeight="1" x14ac:dyDescent="0.25">
      <c r="B98" s="112"/>
      <c r="D98" s="159">
        <f>D72</f>
        <v>10.93394505853991</v>
      </c>
      <c r="E98" s="160">
        <f>+F98-0.5</f>
        <v>8.1999999999999993</v>
      </c>
      <c r="F98" s="160">
        <f>+G98-0.5</f>
        <v>8.6999999999999993</v>
      </c>
      <c r="G98" s="126">
        <v>9.1999999999999993</v>
      </c>
      <c r="H98" s="160">
        <f>+G98+0.5</f>
        <v>9.6999999999999993</v>
      </c>
      <c r="I98" s="219">
        <f>+H98+0.5</f>
        <v>10.199999999999999</v>
      </c>
      <c r="J98" s="218"/>
      <c r="L98" s="119">
        <f>D77</f>
        <v>10.014484585328303</v>
      </c>
      <c r="M98" s="160">
        <f>+N98-0.5</f>
        <v>8.1999999999999993</v>
      </c>
      <c r="N98" s="160">
        <f>+O98-0.5</f>
        <v>8.6999999999999993</v>
      </c>
      <c r="O98" s="126">
        <v>9.1999999999999993</v>
      </c>
      <c r="P98" s="160">
        <f>+O98+0.5</f>
        <v>9.6999999999999993</v>
      </c>
      <c r="Q98" s="219">
        <f>+P98+0.5</f>
        <v>10.199999999999999</v>
      </c>
    </row>
    <row r="99" spans="2:17" ht="15" customHeight="1" x14ac:dyDescent="0.25">
      <c r="B99" s="112"/>
      <c r="D99" s="190">
        <f>D100+0.01</f>
        <v>0.28516740039140276</v>
      </c>
      <c r="E99" s="120">
        <f t="dataTable" ref="E99:I103" dt2D="1" dtr="1" r1="I42" r2="H4" ca="1"/>
        <v>10.11650374746462</v>
      </c>
      <c r="F99" s="120">
        <v>10.525224403002266</v>
      </c>
      <c r="G99" s="120">
        <v>10.93394505853991</v>
      </c>
      <c r="H99" s="120">
        <v>11.342665714077558</v>
      </c>
      <c r="I99" s="120">
        <v>11.751386369615203</v>
      </c>
      <c r="J99" s="121"/>
      <c r="L99" s="190">
        <f>L100+0.01</f>
        <v>0.28516740039140276</v>
      </c>
      <c r="M99" s="122">
        <f t="dataTable" ref="M99:Q103" dt2D="1" dtr="1" r1="I42" r2="H4"/>
        <v>9.2498607766981102</v>
      </c>
      <c r="N99" s="122">
        <v>9.6321726810132073</v>
      </c>
      <c r="O99" s="122">
        <v>10.014484585328303</v>
      </c>
      <c r="P99" s="122">
        <v>10.396796489643398</v>
      </c>
      <c r="Q99" s="122">
        <v>10.779108393958492</v>
      </c>
    </row>
    <row r="100" spans="2:17" ht="15" customHeight="1" x14ac:dyDescent="0.25">
      <c r="B100" s="112"/>
      <c r="D100" s="190">
        <f>D101+0.01</f>
        <v>0.27516740039140275</v>
      </c>
      <c r="E100" s="120">
        <v>10.11650374746462</v>
      </c>
      <c r="F100" s="120">
        <v>10.525224403002266</v>
      </c>
      <c r="G100" s="120">
        <v>10.93394505853991</v>
      </c>
      <c r="H100" s="120">
        <v>11.342665714077558</v>
      </c>
      <c r="I100" s="120">
        <v>11.751386369615203</v>
      </c>
      <c r="J100" s="121"/>
      <c r="L100" s="190">
        <f>L101+0.01</f>
        <v>0.27516740039140275</v>
      </c>
      <c r="M100" s="122">
        <v>9.2498607766981102</v>
      </c>
      <c r="N100" s="122">
        <v>9.6321726810132073</v>
      </c>
      <c r="O100" s="122">
        <v>10.014484585328303</v>
      </c>
      <c r="P100" s="122">
        <v>10.396796489643398</v>
      </c>
      <c r="Q100" s="122">
        <v>10.779108393958492</v>
      </c>
    </row>
    <row r="101" spans="2:17" ht="15" customHeight="1" x14ac:dyDescent="0.25">
      <c r="B101" s="112"/>
      <c r="C101" s="117" t="s">
        <v>90</v>
      </c>
      <c r="D101" s="123">
        <v>0.26516740039140274</v>
      </c>
      <c r="E101" s="120">
        <v>10.11650374746462</v>
      </c>
      <c r="F101" s="120">
        <v>10.525224403002266</v>
      </c>
      <c r="G101" s="120">
        <v>10.93394505853991</v>
      </c>
      <c r="H101" s="120">
        <v>11.342665714077558</v>
      </c>
      <c r="I101" s="120">
        <v>11.751386369615203</v>
      </c>
      <c r="J101" s="121"/>
      <c r="K101" s="117" t="s">
        <v>90</v>
      </c>
      <c r="L101" s="123">
        <f>WACC!$E$21</f>
        <v>0.26516740039140274</v>
      </c>
      <c r="M101" s="122">
        <v>9.2498607766981102</v>
      </c>
      <c r="N101" s="122">
        <v>9.6321726810132073</v>
      </c>
      <c r="O101" s="122">
        <v>10.014484585328303</v>
      </c>
      <c r="P101" s="122">
        <v>10.396796489643398</v>
      </c>
      <c r="Q101" s="122">
        <v>10.779108393958492</v>
      </c>
    </row>
    <row r="102" spans="2:17" ht="15" customHeight="1" x14ac:dyDescent="0.25">
      <c r="B102" s="112"/>
      <c r="D102" s="190">
        <f>D101-0.01</f>
        <v>0.25516740039140273</v>
      </c>
      <c r="E102" s="120">
        <v>10.11650374746462</v>
      </c>
      <c r="F102" s="120">
        <v>10.525224403002266</v>
      </c>
      <c r="G102" s="120">
        <v>10.93394505853991</v>
      </c>
      <c r="H102" s="120">
        <v>11.342665714077558</v>
      </c>
      <c r="I102" s="120">
        <v>11.751386369615203</v>
      </c>
      <c r="J102" s="121"/>
      <c r="L102" s="190">
        <f>L101-0.01</f>
        <v>0.25516740039140273</v>
      </c>
      <c r="M102" s="122">
        <v>9.2498607766981102</v>
      </c>
      <c r="N102" s="122">
        <v>9.6321726810132073</v>
      </c>
      <c r="O102" s="122">
        <v>10.014484585328303</v>
      </c>
      <c r="P102" s="122">
        <v>10.396796489643398</v>
      </c>
      <c r="Q102" s="122">
        <v>10.779108393958492</v>
      </c>
    </row>
    <row r="103" spans="2:17" ht="15" customHeight="1" x14ac:dyDescent="0.25">
      <c r="B103" s="112"/>
      <c r="D103" s="191">
        <f>D102-0.01</f>
        <v>0.24516740039140272</v>
      </c>
      <c r="E103" s="120">
        <v>10.11650374746462</v>
      </c>
      <c r="F103" s="120">
        <v>10.525224403002266</v>
      </c>
      <c r="G103" s="120">
        <v>10.93394505853991</v>
      </c>
      <c r="H103" s="120">
        <v>11.342665714077558</v>
      </c>
      <c r="I103" s="120">
        <v>11.751386369615203</v>
      </c>
      <c r="J103" s="121"/>
      <c r="L103" s="191">
        <f>L102-0.01</f>
        <v>0.24516740039140272</v>
      </c>
      <c r="M103" s="122">
        <v>9.2498607766981102</v>
      </c>
      <c r="N103" s="122">
        <v>9.6321726810132073</v>
      </c>
      <c r="O103" s="122">
        <v>10.014484585328303</v>
      </c>
      <c r="P103" s="122">
        <v>10.396796489643398</v>
      </c>
      <c r="Q103" s="122">
        <v>10.779108393958492</v>
      </c>
    </row>
    <row r="104" spans="2:17" x14ac:dyDescent="0.25">
      <c r="J104" s="127"/>
    </row>
    <row r="105" spans="2:17" x14ac:dyDescent="0.25">
      <c r="B105" s="128" t="s">
        <v>94</v>
      </c>
      <c r="C105" s="128"/>
      <c r="D105" s="128"/>
      <c r="E105" s="128"/>
      <c r="G105" s="128" t="s">
        <v>95</v>
      </c>
      <c r="H105" s="128"/>
      <c r="I105" s="128"/>
      <c r="J105" s="129"/>
      <c r="K105" s="128"/>
      <c r="L105" s="128"/>
      <c r="M105" s="128"/>
      <c r="N105" s="128"/>
      <c r="O105" s="128"/>
      <c r="P105" s="128"/>
    </row>
    <row r="106" spans="2:17" x14ac:dyDescent="0.25">
      <c r="J106" s="127"/>
    </row>
    <row r="107" spans="2:17" x14ac:dyDescent="0.25">
      <c r="J107" s="127"/>
    </row>
    <row r="108" spans="2:17" x14ac:dyDescent="0.25">
      <c r="J108" s="127"/>
    </row>
    <row r="109" spans="2:17" x14ac:dyDescent="0.25">
      <c r="J109" s="127"/>
    </row>
    <row r="110" spans="2:17" x14ac:dyDescent="0.25">
      <c r="J110" s="127"/>
    </row>
    <row r="111" spans="2:17" x14ac:dyDescent="0.25">
      <c r="J111" s="127"/>
    </row>
    <row r="112" spans="2:17" x14ac:dyDescent="0.25">
      <c r="J112" s="127"/>
    </row>
    <row r="113" spans="2:17" x14ac:dyDescent="0.25">
      <c r="J113" s="127"/>
    </row>
    <row r="114" spans="2:17" x14ac:dyDescent="0.25">
      <c r="J114" s="127"/>
    </row>
    <row r="115" spans="2:17" x14ac:dyDescent="0.25">
      <c r="J115" s="127"/>
    </row>
    <row r="116" spans="2:17" x14ac:dyDescent="0.25">
      <c r="J116" s="127"/>
    </row>
    <row r="117" spans="2:17" x14ac:dyDescent="0.25">
      <c r="J117" s="127"/>
    </row>
    <row r="118" spans="2:17" x14ac:dyDescent="0.25">
      <c r="J118" s="127"/>
    </row>
    <row r="119" spans="2:17" x14ac:dyDescent="0.25">
      <c r="J119" s="127"/>
      <c r="M119" s="130"/>
    </row>
    <row r="120" spans="2:17" x14ac:dyDescent="0.25">
      <c r="J120" s="127"/>
    </row>
    <row r="121" spans="2:17" x14ac:dyDescent="0.25">
      <c r="J121" s="127"/>
    </row>
    <row r="122" spans="2:17" x14ac:dyDescent="0.25">
      <c r="J122" s="127"/>
    </row>
    <row r="123" spans="2:17" x14ac:dyDescent="0.25">
      <c r="J123" s="127"/>
    </row>
    <row r="124" spans="2:17" x14ac:dyDescent="0.25">
      <c r="J124" s="127"/>
    </row>
    <row r="125" spans="2:17" x14ac:dyDescent="0.25">
      <c r="J125" s="127"/>
    </row>
    <row r="126" spans="2:17" x14ac:dyDescent="0.25">
      <c r="B126" s="131"/>
      <c r="C126" s="132" t="s">
        <v>96</v>
      </c>
      <c r="D126" s="132" t="s">
        <v>97</v>
      </c>
      <c r="E126" s="133" t="s">
        <v>98</v>
      </c>
      <c r="G126" s="131"/>
      <c r="H126" s="134"/>
      <c r="I126" s="134"/>
      <c r="J126" s="135"/>
      <c r="K126" s="134"/>
      <c r="L126" s="134"/>
      <c r="M126" s="134"/>
      <c r="N126" s="134"/>
      <c r="O126" s="132" t="s">
        <v>96</v>
      </c>
      <c r="P126" s="132" t="s">
        <v>97</v>
      </c>
      <c r="Q126" s="133" t="s">
        <v>98</v>
      </c>
    </row>
    <row r="127" spans="2:17" x14ac:dyDescent="0.25">
      <c r="B127" s="161" t="str">
        <f>"DCF Value at "&amp;TEXT(E98,"0.0x")&amp;"-"&amp;TEXT(I98,"0.0x")&amp;" Exit EBITDA Range at "&amp;TEXT(D101,"0.0%")&amp;" WACC"</f>
        <v>DCF Value at 8.2x-10.2x Exit EBITDA Range at 26.5% WACC</v>
      </c>
      <c r="C127" s="162">
        <f>E101</f>
        <v>10.11650374746462</v>
      </c>
      <c r="D127" s="162">
        <f>E127-C127</f>
        <v>1.6348826221505828</v>
      </c>
      <c r="E127" s="163">
        <f>I101</f>
        <v>11.751386369615203</v>
      </c>
      <c r="G127" s="161" t="str">
        <f>"LTM EBITDA Purchase Multiple at "&amp;TEXT(M89,"0.0%")&amp;"-"&amp;TEXT(Q89,"0.0%")&amp;" Perpetuity Growth at "&amp;TEXT(L92,"0.0%")&amp;" WACC"</f>
        <v>LTM EBITDA Purchase Multiple at 9.0%-11.0% Perpetuity Growth at 26.5% WACC</v>
      </c>
      <c r="J127" s="169"/>
      <c r="O127" s="170">
        <f>M92</f>
        <v>6.6760611170612201</v>
      </c>
      <c r="P127" s="170">
        <f>Q127-O127</f>
        <v>0.60146343825887527</v>
      </c>
      <c r="Q127" s="171">
        <f>Q92</f>
        <v>7.2775245553200953</v>
      </c>
    </row>
    <row r="128" spans="2:17" x14ac:dyDescent="0.25">
      <c r="B128" s="164" t="str">
        <f>"DCF Value at "&amp;TEXT(E89,"0.0%")&amp;"-"&amp;TEXT(I89,"0.0%")&amp;" Perpetuity Range at "&amp;TEXT(D101,"0.0%")&amp;" WACC"</f>
        <v>DCF Value at 9.0%-11.0% Perpetuity Range at 26.5% WACC</v>
      </c>
      <c r="C128" s="162">
        <f>E92</f>
        <v>7.3649151303276907</v>
      </c>
      <c r="D128" s="162">
        <f>E128-C128</f>
        <v>0.64301040065047044</v>
      </c>
      <c r="E128" s="163">
        <f>I92</f>
        <v>8.0079255309781612</v>
      </c>
      <c r="G128" s="164" t="str">
        <f>"LTM EBITDA Purchase Multiple at "&amp;TEXT(M101,"0.0x")&amp;"-"&amp;TEXT(Q101,"0.0x")&amp;" Exit EBITDA Multiple at "&amp;TEXT(L101,"0.0%")&amp;" WACC"</f>
        <v>LTM EBITDA Purchase Multiple at 9.2x-10.8x Exit EBITDA Multiple at 26.5% WACC</v>
      </c>
      <c r="J128" s="169"/>
      <c r="O128" s="170">
        <f>M101</f>
        <v>9.2498607766981102</v>
      </c>
      <c r="P128" s="170">
        <f>Q128-O128</f>
        <v>1.5292476172603813</v>
      </c>
      <c r="Q128" s="171">
        <f>Q101</f>
        <v>10.779108393958492</v>
      </c>
    </row>
    <row r="129" spans="2:17" x14ac:dyDescent="0.25">
      <c r="B129" s="165" t="s">
        <v>99</v>
      </c>
      <c r="C129" s="166">
        <v>0.25</v>
      </c>
      <c r="D129" s="167">
        <f>E129-C129</f>
        <v>18.899999999999999</v>
      </c>
      <c r="E129" s="168">
        <v>19.149999999999999</v>
      </c>
      <c r="G129" s="165" t="str">
        <f>"LTM EBITDA Purchase Multiple at "&amp;TEXT(L103,"0.0%")&amp;"-"&amp;TEXT(L99,"0.0%")&amp;" WACC at "&amp;TEXT(O98,"0.0x")&amp;" Exit EBITDA"</f>
        <v>LTM EBITDA Purchase Multiple at 24.5%-28.5% WACC at 9.2x Exit EBITDA</v>
      </c>
      <c r="H129" s="39"/>
      <c r="I129" s="39"/>
      <c r="J129" s="172"/>
      <c r="K129" s="39"/>
      <c r="L129" s="39"/>
      <c r="M129" s="39"/>
      <c r="N129" s="39"/>
      <c r="O129" s="167">
        <f>O99</f>
        <v>10.014484585328303</v>
      </c>
      <c r="P129" s="167">
        <f>Q129-O129</f>
        <v>0</v>
      </c>
      <c r="Q129" s="173">
        <f>O103</f>
        <v>10.014484585328303</v>
      </c>
    </row>
    <row r="130" spans="2:17" x14ac:dyDescent="0.25">
      <c r="J130" s="127"/>
    </row>
    <row r="131" spans="2:17" x14ac:dyDescent="0.25">
      <c r="J131" s="127"/>
    </row>
  </sheetData>
  <conditionalFormatting sqref="E90:J94 E99:J103">
    <cfRule type="cellIs" dxfId="4" priority="5" operator="lessThan">
      <formula>#REF!</formula>
    </cfRule>
  </conditionalFormatting>
  <conditionalFormatting sqref="I8">
    <cfRule type="expression" dxfId="3" priority="1">
      <formula>$I8="SELL"</formula>
    </cfRule>
    <cfRule type="expression" dxfId="2" priority="2">
      <formula>$I8="HOLD"</formula>
    </cfRule>
    <cfRule type="expression" dxfId="1" priority="3">
      <formula>$I8="BUY"</formula>
    </cfRule>
  </conditionalFormatting>
  <dataValidations count="1">
    <dataValidation type="list" allowBlank="1" showInputMessage="1" showErrorMessage="1" sqref="H9" xr:uid="{00000000-0002-0000-0100-000000000000}">
      <formula1>"0,1"</formula1>
    </dataValidation>
  </dataValidations>
  <pageMargins left="0.7" right="0.7" top="0.75" bottom="0.75" header="0.3" footer="0.3"/>
  <pageSetup orientation="portrait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78"/>
  <sheetViews>
    <sheetView zoomScaleNormal="100" workbookViewId="0">
      <selection activeCell="C35" sqref="C35"/>
    </sheetView>
  </sheetViews>
  <sheetFormatPr defaultColWidth="9.140625" defaultRowHeight="15" x14ac:dyDescent="0.25"/>
  <cols>
    <col min="1" max="1" width="1.42578125" style="50" customWidth="1"/>
    <col min="2" max="2" width="51.7109375" style="50" customWidth="1"/>
    <col min="3" max="3" width="15.5703125" style="50" bestFit="1" customWidth="1"/>
    <col min="4" max="4" width="12.7109375" style="50" customWidth="1"/>
    <col min="5" max="5" width="16.140625" style="50" bestFit="1" customWidth="1"/>
    <col min="6" max="6" width="14.5703125" style="50" bestFit="1" customWidth="1"/>
    <col min="7" max="8" width="13.5703125" style="50" bestFit="1" customWidth="1"/>
    <col min="9" max="10" width="12.7109375" style="50" customWidth="1"/>
    <col min="11" max="11" width="1.7109375" style="50" customWidth="1"/>
    <col min="12" max="16" width="9.42578125" style="50" customWidth="1"/>
    <col min="17" max="17" width="9.140625" style="50" customWidth="1"/>
    <col min="18" max="16384" width="9.140625" style="50"/>
  </cols>
  <sheetData>
    <row r="1" spans="2:9" ht="15.75" customHeight="1" thickBot="1" x14ac:dyDescent="0.3"/>
    <row r="2" spans="2:9" ht="15.75" customHeight="1" thickBot="1" x14ac:dyDescent="0.3">
      <c r="B2" s="51" t="s">
        <v>193</v>
      </c>
      <c r="C2" s="52"/>
      <c r="D2" s="52"/>
      <c r="E2" s="52"/>
      <c r="F2" s="52"/>
      <c r="G2" s="52"/>
      <c r="H2" s="52"/>
      <c r="I2" s="52"/>
    </row>
    <row r="3" spans="2:9" x14ac:dyDescent="0.25">
      <c r="B3" s="53" t="str">
        <f>DCF!B3</f>
        <v>All amounts are shown in EGP, except per-share data, ratios, and shares outstanding</v>
      </c>
    </row>
    <row r="4" spans="2:9" ht="15" customHeight="1" x14ac:dyDescent="0.25">
      <c r="B4" s="137" t="s">
        <v>194</v>
      </c>
      <c r="C4" s="138"/>
      <c r="D4" s="138"/>
      <c r="E4" s="139"/>
      <c r="F4" s="140"/>
    </row>
    <row r="5" spans="2:9" x14ac:dyDescent="0.25">
      <c r="E5" s="93"/>
    </row>
    <row r="6" spans="2:9" ht="15" customHeight="1" x14ac:dyDescent="0.25">
      <c r="B6" s="50" t="s">
        <v>195</v>
      </c>
      <c r="C6" s="341">
        <v>0.2</v>
      </c>
      <c r="D6" s="259"/>
    </row>
    <row r="7" spans="2:9" ht="15" customHeight="1" x14ac:dyDescent="0.25">
      <c r="B7" s="50" t="s">
        <v>24</v>
      </c>
      <c r="C7" s="254">
        <v>0.22500000000000001</v>
      </c>
    </row>
    <row r="8" spans="2:9" ht="15" customHeight="1" x14ac:dyDescent="0.25">
      <c r="B8" s="50" t="s">
        <v>196</v>
      </c>
      <c r="C8" s="143">
        <f>C6*(1-C7)</f>
        <v>0.15500000000000003</v>
      </c>
    </row>
    <row r="10" spans="2:9" x14ac:dyDescent="0.25">
      <c r="B10" s="50" t="s">
        <v>197</v>
      </c>
      <c r="C10" s="261">
        <v>0.23130000000000001</v>
      </c>
      <c r="D10" s="205"/>
      <c r="E10" s="205"/>
    </row>
    <row r="11" spans="2:9" x14ac:dyDescent="0.25">
      <c r="B11" s="50" t="s">
        <v>198</v>
      </c>
      <c r="C11" s="291">
        <f>IF(C32="Observed",(2/3)*C34+(1/3),C35)</f>
        <v>0.67909162821522862</v>
      </c>
    </row>
    <row r="12" spans="2:9" ht="15" customHeight="1" x14ac:dyDescent="0.25">
      <c r="B12" s="50" t="s">
        <v>199</v>
      </c>
      <c r="C12" s="144">
        <v>5.5E-2</v>
      </c>
      <c r="D12" s="205"/>
    </row>
    <row r="13" spans="2:9" x14ac:dyDescent="0.25">
      <c r="B13" s="50" t="s">
        <v>200</v>
      </c>
      <c r="C13" s="145">
        <f>C10+C11*(C12)</f>
        <v>0.26865003955183758</v>
      </c>
      <c r="D13" s="255"/>
    </row>
    <row r="14" spans="2:9" x14ac:dyDescent="0.25">
      <c r="C14" s="146"/>
    </row>
    <row r="15" spans="2:9" x14ac:dyDescent="0.25">
      <c r="B15" s="141" t="s">
        <v>201</v>
      </c>
      <c r="C15" s="147"/>
      <c r="D15" s="147"/>
      <c r="E15" s="147"/>
    </row>
    <row r="16" spans="2:9" x14ac:dyDescent="0.25">
      <c r="B16" s="71"/>
      <c r="C16" s="117"/>
      <c r="D16" s="117" t="s">
        <v>202</v>
      </c>
    </row>
    <row r="17" spans="2:6" ht="17.25" customHeight="1" x14ac:dyDescent="0.4">
      <c r="C17" s="148" t="s">
        <v>203</v>
      </c>
      <c r="D17" s="148" t="s">
        <v>204</v>
      </c>
      <c r="E17" s="148" t="s">
        <v>205</v>
      </c>
    </row>
    <row r="18" spans="2:6" x14ac:dyDescent="0.25">
      <c r="B18" s="50" t="s">
        <v>127</v>
      </c>
      <c r="C18" s="69">
        <f>DCF!I60*DCF!H5</f>
        <v>6812000000</v>
      </c>
      <c r="D18" s="149"/>
      <c r="E18" s="150">
        <f>C18/(C18+C19)</f>
        <v>0.96935646327825165</v>
      </c>
    </row>
    <row r="19" spans="2:6" x14ac:dyDescent="0.25">
      <c r="B19" s="50" t="s">
        <v>65</v>
      </c>
      <c r="C19" s="69">
        <f>DCF!C56</f>
        <v>215342632</v>
      </c>
      <c r="D19" s="151"/>
      <c r="E19" s="150">
        <f>C19/(C19+C18)</f>
        <v>3.0643536721748393E-2</v>
      </c>
    </row>
    <row r="21" spans="2:6" x14ac:dyDescent="0.25">
      <c r="B21" s="142" t="s">
        <v>206</v>
      </c>
      <c r="C21" s="152"/>
      <c r="D21" s="134"/>
      <c r="E21" s="153">
        <f>E18*C13+E19*C8</f>
        <v>0.26516740039140274</v>
      </c>
    </row>
    <row r="22" spans="2:6" x14ac:dyDescent="0.25">
      <c r="B22" s="70"/>
      <c r="C22" s="98"/>
    </row>
    <row r="23" spans="2:6" x14ac:dyDescent="0.25">
      <c r="B23" s="38" t="s">
        <v>207</v>
      </c>
      <c r="C23" s="39"/>
      <c r="D23" s="39"/>
      <c r="E23" s="39"/>
      <c r="F23" s="39"/>
    </row>
    <row r="24" spans="2:6" x14ac:dyDescent="0.25">
      <c r="D24" s="262" t="s">
        <v>208</v>
      </c>
      <c r="E24" s="263"/>
      <c r="F24" s="262"/>
    </row>
    <row r="25" spans="2:6" x14ac:dyDescent="0.25">
      <c r="C25" s="264">
        <f>E21</f>
        <v>0.26516740039140274</v>
      </c>
      <c r="D25" s="265">
        <f>E25-0.1</f>
        <v>0.57909162821522864</v>
      </c>
      <c r="E25" s="266">
        <v>0.67909162821522862</v>
      </c>
      <c r="F25" s="267">
        <f>E25+0.1</f>
        <v>0.77909162821522859</v>
      </c>
    </row>
    <row r="26" spans="2:6" x14ac:dyDescent="0.25">
      <c r="C26" s="268">
        <f>C27-0.005</f>
        <v>4.5000000000000005E-2</v>
      </c>
      <c r="D26" s="269">
        <f t="dataTable" ref="D26:F30" dt2D="1" dtr="1" r1="C11" r2="C12"/>
        <v>0.25422247771696471</v>
      </c>
      <c r="E26" s="270">
        <v>0.2585845818017169</v>
      </c>
      <c r="F26" s="270">
        <v>0.26294668588646902</v>
      </c>
    </row>
    <row r="27" spans="2:6" x14ac:dyDescent="0.25">
      <c r="B27" s="271" t="s">
        <v>209</v>
      </c>
      <c r="C27" s="268">
        <f>C28-0.005</f>
        <v>0.05</v>
      </c>
      <c r="D27" s="270">
        <v>0.25702920878016849</v>
      </c>
      <c r="E27" s="270">
        <v>0.26187599109655979</v>
      </c>
      <c r="F27" s="270">
        <v>0.26672277341295103</v>
      </c>
    </row>
    <row r="28" spans="2:6" x14ac:dyDescent="0.25">
      <c r="B28" s="271" t="s">
        <v>210</v>
      </c>
      <c r="C28" s="272">
        <v>5.5E-2</v>
      </c>
      <c r="D28" s="270">
        <v>0.25983593984337233</v>
      </c>
      <c r="E28" s="270">
        <v>0.26516740039140274</v>
      </c>
      <c r="F28" s="270">
        <v>0.27049886093943309</v>
      </c>
    </row>
    <row r="29" spans="2:6" x14ac:dyDescent="0.25">
      <c r="B29" s="271" t="s">
        <v>211</v>
      </c>
      <c r="C29" s="268">
        <f>C28+0.005</f>
        <v>0.06</v>
      </c>
      <c r="D29" s="270">
        <v>0.26264267090657617</v>
      </c>
      <c r="E29" s="270">
        <v>0.26845880968624564</v>
      </c>
      <c r="F29" s="270">
        <v>0.2742749484659151</v>
      </c>
    </row>
    <row r="30" spans="2:6" x14ac:dyDescent="0.25">
      <c r="C30" s="268">
        <f>C29+0.005</f>
        <v>6.5000000000000002E-2</v>
      </c>
      <c r="D30" s="270">
        <v>0.2654494019697799</v>
      </c>
      <c r="E30" s="270">
        <v>0.27175021898108853</v>
      </c>
      <c r="F30" s="270">
        <v>0.27805103599239717</v>
      </c>
    </row>
    <row r="31" spans="2:6" x14ac:dyDescent="0.25">
      <c r="C31" s="273"/>
      <c r="D31" s="270"/>
      <c r="E31" s="270"/>
      <c r="F31" s="270"/>
    </row>
    <row r="32" spans="2:6" x14ac:dyDescent="0.25">
      <c r="B32" t="s">
        <v>212</v>
      </c>
      <c r="C32" s="274" t="s">
        <v>279</v>
      </c>
    </row>
    <row r="34" spans="2:9" x14ac:dyDescent="0.25">
      <c r="B34" s="275" t="s">
        <v>213</v>
      </c>
      <c r="C34" s="282">
        <v>1.18</v>
      </c>
    </row>
    <row r="35" spans="2:9" x14ac:dyDescent="0.25">
      <c r="B35" s="275" t="s">
        <v>214</v>
      </c>
      <c r="C35" s="282">
        <f>C47</f>
        <v>0.67909162821522862</v>
      </c>
    </row>
    <row r="37" spans="2:9" x14ac:dyDescent="0.25">
      <c r="B37" s="38" t="s">
        <v>214</v>
      </c>
      <c r="C37" s="38"/>
      <c r="D37" s="39"/>
      <c r="E37" s="39"/>
      <c r="F37" s="39"/>
      <c r="G37" s="39"/>
      <c r="H37" s="39"/>
      <c r="I37" s="39"/>
    </row>
    <row r="38" spans="2:9" x14ac:dyDescent="0.25">
      <c r="H38" s="277"/>
    </row>
    <row r="39" spans="2:9" ht="15.75" customHeight="1" thickBot="1" x14ac:dyDescent="0.3">
      <c r="C39" s="278" t="s">
        <v>215</v>
      </c>
      <c r="D39" s="278" t="s">
        <v>216</v>
      </c>
      <c r="E39" s="278" t="s">
        <v>217</v>
      </c>
      <c r="F39" s="278" t="s">
        <v>218</v>
      </c>
      <c r="G39" s="279" t="s">
        <v>219</v>
      </c>
      <c r="H39" s="278" t="s">
        <v>24</v>
      </c>
      <c r="I39" s="278" t="s">
        <v>220</v>
      </c>
    </row>
    <row r="40" spans="2:9" x14ac:dyDescent="0.25">
      <c r="B40" s="322" t="s">
        <v>358</v>
      </c>
      <c r="C40" s="283">
        <v>0.85</v>
      </c>
      <c r="D40" s="283">
        <v>29.5</v>
      </c>
      <c r="E40" s="283">
        <v>941405082</v>
      </c>
      <c r="F40" s="344">
        <f>E40*D40</f>
        <v>27771449919</v>
      </c>
      <c r="G40" s="342">
        <v>3431200000</v>
      </c>
      <c r="H40" s="284">
        <v>0.22500000000000001</v>
      </c>
      <c r="I40" s="162">
        <f>C40/(1+(1-H40)*(G40/F40))</f>
        <v>0.77572276663294648</v>
      </c>
    </row>
    <row r="41" spans="2:9" x14ac:dyDescent="0.25">
      <c r="B41" s="322" t="s">
        <v>359</v>
      </c>
      <c r="C41" s="283">
        <v>0.78</v>
      </c>
      <c r="D41" s="283">
        <v>30.4</v>
      </c>
      <c r="E41" s="283">
        <v>1387500000</v>
      </c>
      <c r="F41" s="344">
        <f t="shared" ref="F41:F43" si="0">E41*D41</f>
        <v>42180000000</v>
      </c>
      <c r="G41" s="342">
        <v>1370000000</v>
      </c>
      <c r="H41" s="284">
        <v>0.22500000000000001</v>
      </c>
      <c r="I41" s="162">
        <f t="shared" ref="I41:I43" si="1">C41/(1+(1-H41)*(G41/F41))</f>
        <v>0.76084802303329535</v>
      </c>
    </row>
    <row r="42" spans="2:9" x14ac:dyDescent="0.25">
      <c r="B42" s="322" t="s">
        <v>360</v>
      </c>
      <c r="C42" s="283">
        <v>0.72</v>
      </c>
      <c r="D42" s="283">
        <v>1.45</v>
      </c>
      <c r="E42" s="283">
        <v>3600000000</v>
      </c>
      <c r="F42" s="344">
        <f t="shared" si="0"/>
        <v>5220000000</v>
      </c>
      <c r="G42" s="342">
        <v>678000000</v>
      </c>
      <c r="H42" s="284">
        <v>0.09</v>
      </c>
      <c r="I42" s="162">
        <f t="shared" si="1"/>
        <v>0.6438946167367372</v>
      </c>
    </row>
    <row r="43" spans="2:9" x14ac:dyDescent="0.25">
      <c r="B43" s="50" t="s">
        <v>361</v>
      </c>
      <c r="C43" s="283">
        <v>0.68</v>
      </c>
      <c r="D43" s="283">
        <v>7.65</v>
      </c>
      <c r="E43" s="283">
        <v>1143000000</v>
      </c>
      <c r="F43" s="344">
        <f t="shared" si="0"/>
        <v>8743950000</v>
      </c>
      <c r="G43" s="343">
        <v>2240000000</v>
      </c>
      <c r="H43" s="284">
        <v>0.2</v>
      </c>
      <c r="I43" s="162">
        <f t="shared" si="1"/>
        <v>0.56434265538465922</v>
      </c>
    </row>
    <row r="44" spans="2:9" x14ac:dyDescent="0.25">
      <c r="B44" s="50" t="s">
        <v>282</v>
      </c>
      <c r="C44" s="283">
        <v>1.18</v>
      </c>
      <c r="D44" s="283">
        <v>17.03</v>
      </c>
      <c r="E44" s="283">
        <v>400000000</v>
      </c>
      <c r="F44" s="344">
        <f>E44*D44</f>
        <v>6812000000</v>
      </c>
      <c r="G44" s="343">
        <f>DCF!C64</f>
        <v>-91078150</v>
      </c>
      <c r="H44" s="284">
        <v>0.22500000000000001</v>
      </c>
      <c r="I44" s="162"/>
    </row>
    <row r="45" spans="2:9" x14ac:dyDescent="0.25">
      <c r="C45" s="276"/>
      <c r="F45" s="280"/>
      <c r="G45" s="280"/>
      <c r="H45" s="280"/>
      <c r="I45" s="281"/>
    </row>
    <row r="46" spans="2:9" x14ac:dyDescent="0.25">
      <c r="B46" t="s">
        <v>221</v>
      </c>
      <c r="C46" s="162">
        <f>AVERAGE(I40:I43)</f>
        <v>0.68620201544690962</v>
      </c>
    </row>
    <row r="47" spans="2:9" x14ac:dyDescent="0.25">
      <c r="B47" s="220" t="str">
        <f>FSM!Company_Name&amp;" beta"</f>
        <v>Gourmet Egypt beta</v>
      </c>
      <c r="C47" s="285">
        <f>C46*(1+(1-H44)*(G44/F44))</f>
        <v>0.67909162821522862</v>
      </c>
    </row>
    <row r="49" spans="2:8" x14ac:dyDescent="0.25">
      <c r="B49" s="38" t="s">
        <v>389</v>
      </c>
      <c r="C49" s="241"/>
      <c r="D49" s="45"/>
      <c r="E49" s="45"/>
      <c r="F49" s="39"/>
      <c r="G49" s="39"/>
      <c r="H49" s="39"/>
    </row>
    <row r="50" spans="2:8" x14ac:dyDescent="0.25">
      <c r="B50" t="s">
        <v>107</v>
      </c>
      <c r="C50" s="40">
        <f>FSM!F$13</f>
        <v>2025</v>
      </c>
      <c r="D50" s="41">
        <f>FSM!G$13</f>
        <v>2026</v>
      </c>
      <c r="E50" s="41">
        <f>FSM!H$13</f>
        <v>2027</v>
      </c>
      <c r="F50" s="41">
        <f>FSM!I$13</f>
        <v>2028</v>
      </c>
      <c r="G50" s="41">
        <f>FSM!J$13</f>
        <v>2029</v>
      </c>
      <c r="H50" s="41">
        <f>FSM!K$13</f>
        <v>2030</v>
      </c>
    </row>
    <row r="51" spans="2:8" x14ac:dyDescent="0.25">
      <c r="B51" s="42" t="s">
        <v>108</v>
      </c>
      <c r="C51" s="240">
        <f>FSM!F$14</f>
        <v>46022</v>
      </c>
      <c r="D51" s="240">
        <f>FSM!G$14</f>
        <v>46387</v>
      </c>
      <c r="E51" s="240">
        <f>FSM!H$14</f>
        <v>46752</v>
      </c>
      <c r="F51" s="240">
        <f>FSM!I$14</f>
        <v>47118</v>
      </c>
      <c r="G51" s="240">
        <f>FSM!J$14</f>
        <v>47483</v>
      </c>
      <c r="H51" s="240">
        <f>FSM!K$14</f>
        <v>47848</v>
      </c>
    </row>
    <row r="52" spans="2:8" x14ac:dyDescent="0.25">
      <c r="B52" s="354"/>
      <c r="C52" s="354"/>
      <c r="D52" s="354"/>
      <c r="E52" s="354"/>
      <c r="F52" s="354"/>
      <c r="G52" s="354"/>
      <c r="H52" s="354"/>
    </row>
    <row r="53" spans="2:8" x14ac:dyDescent="0.25">
      <c r="B53" s="354" t="s">
        <v>379</v>
      </c>
      <c r="C53" s="354"/>
      <c r="D53" s="354"/>
      <c r="E53" s="354"/>
      <c r="F53" s="354"/>
      <c r="G53" s="354"/>
      <c r="H53" s="354"/>
    </row>
    <row r="54" spans="2:8" x14ac:dyDescent="0.25">
      <c r="B54" s="354"/>
      <c r="C54" s="354"/>
      <c r="D54" s="354"/>
      <c r="E54" s="354"/>
      <c r="F54" s="354"/>
      <c r="G54" s="354"/>
      <c r="H54" s="354"/>
    </row>
    <row r="55" spans="2:8" x14ac:dyDescent="0.25">
      <c r="B55" s="352" t="s">
        <v>377</v>
      </c>
      <c r="C55" s="353">
        <f>$C$47</f>
        <v>0.67909162821522862</v>
      </c>
      <c r="D55" s="353">
        <f t="shared" ref="D55:H55" si="2">$C$47</f>
        <v>0.67909162821522862</v>
      </c>
      <c r="E55" s="353">
        <f t="shared" si="2"/>
        <v>0.67909162821522862</v>
      </c>
      <c r="F55" s="353">
        <f t="shared" si="2"/>
        <v>0.67909162821522862</v>
      </c>
      <c r="G55" s="353">
        <f t="shared" si="2"/>
        <v>0.67909162821522862</v>
      </c>
      <c r="H55" s="353">
        <f t="shared" si="2"/>
        <v>0.67909162821522862</v>
      </c>
    </row>
    <row r="56" spans="2:8" x14ac:dyDescent="0.25">
      <c r="B56" s="352" t="s">
        <v>374</v>
      </c>
      <c r="C56" s="99">
        <f>FSM!F92+FSM!F93+FSM!F94+FSM!F101+FSM!F102+FSM!F103</f>
        <v>215342632</v>
      </c>
      <c r="D56" s="99">
        <f>FSM!G92+FSM!G93+FSM!G94+FSM!G101+FSM!G102+FSM!G103</f>
        <v>228320444.0647364</v>
      </c>
      <c r="E56" s="99">
        <f>FSM!H92+FSM!H93+FSM!H94+FSM!H101+FSM!H102+FSM!H103</f>
        <v>244039566.24198246</v>
      </c>
      <c r="F56" s="99">
        <f>FSM!I92+FSM!I93+FSM!I94+FSM!I101+FSM!I102+FSM!I103</f>
        <v>262454289.45778006</v>
      </c>
      <c r="G56" s="99">
        <f>FSM!J92+FSM!J93+FSM!J94+FSM!J101+FSM!J102+FSM!J103</f>
        <v>283348902.45848638</v>
      </c>
      <c r="H56" s="99">
        <f>FSM!K92+FSM!K93+FSM!K94+FSM!K101+FSM!K102+FSM!K103</f>
        <v>306558024.22214127</v>
      </c>
    </row>
    <row r="57" spans="2:8" x14ac:dyDescent="0.25">
      <c r="B57" s="352" t="s">
        <v>375</v>
      </c>
      <c r="C57" s="99">
        <f>FSM!F115</f>
        <v>274599160</v>
      </c>
      <c r="D57" s="99">
        <f>FSM!G115</f>
        <v>401004270.91125381</v>
      </c>
      <c r="E57" s="99">
        <f>FSM!H115</f>
        <v>590004793.58449244</v>
      </c>
      <c r="F57" s="99">
        <f>FSM!I115</f>
        <v>769885913.87247622</v>
      </c>
      <c r="G57" s="99">
        <f>FSM!J115</f>
        <v>959564928.92353904</v>
      </c>
      <c r="H57" s="99">
        <f>FSM!K115</f>
        <v>1170085677.9297352</v>
      </c>
    </row>
    <row r="58" spans="2:8" x14ac:dyDescent="0.25">
      <c r="B58" s="352" t="s">
        <v>376</v>
      </c>
      <c r="C58" s="205">
        <f>C56/C57</f>
        <v>0.78420717674445906</v>
      </c>
      <c r="D58" s="205">
        <f t="shared" ref="D58:H58" si="3">D56/D57</f>
        <v>0.56937160181834068</v>
      </c>
      <c r="E58" s="205">
        <f t="shared" si="3"/>
        <v>0.41362302288995628</v>
      </c>
      <c r="F58" s="205">
        <f t="shared" si="3"/>
        <v>0.34090023564355398</v>
      </c>
      <c r="G58" s="205">
        <f t="shared" si="3"/>
        <v>0.29528893138722084</v>
      </c>
      <c r="H58" s="205">
        <f t="shared" si="3"/>
        <v>0.2619962195969639</v>
      </c>
    </row>
    <row r="59" spans="2:8" x14ac:dyDescent="0.25">
      <c r="B59" s="352" t="s">
        <v>24</v>
      </c>
      <c r="C59" s="355">
        <v>0.22500000000000001</v>
      </c>
      <c r="D59" s="355">
        <v>0.22500000000000001</v>
      </c>
      <c r="E59" s="355">
        <v>0.22500000000000001</v>
      </c>
      <c r="F59" s="355">
        <v>0.22500000000000001</v>
      </c>
      <c r="G59" s="355">
        <v>0.22500000000000001</v>
      </c>
      <c r="H59" s="355">
        <v>0.22500000000000001</v>
      </c>
    </row>
    <row r="60" spans="2:8" x14ac:dyDescent="0.25">
      <c r="B60" s="352" t="s">
        <v>378</v>
      </c>
      <c r="C60" s="353">
        <f>C55*(1+(1-C59)*(C58))</f>
        <v>1.091816737813162</v>
      </c>
      <c r="D60" s="353">
        <f t="shared" ref="D60:H60" si="4">D55*(1+(1-D59)*(D58))</f>
        <v>0.97874963152243422</v>
      </c>
      <c r="E60" s="353">
        <f t="shared" si="4"/>
        <v>0.89677977557850375</v>
      </c>
      <c r="F60" s="353">
        <f t="shared" si="4"/>
        <v>0.85850606267888419</v>
      </c>
      <c r="G60" s="353">
        <f t="shared" si="4"/>
        <v>0.83450101515273278</v>
      </c>
      <c r="H60" s="353">
        <f t="shared" si="4"/>
        <v>0.81697919371328964</v>
      </c>
    </row>
    <row r="62" spans="2:8" s="71" customFormat="1" x14ac:dyDescent="0.25">
      <c r="B62" s="71" t="s">
        <v>390</v>
      </c>
    </row>
    <row r="64" spans="2:8" x14ac:dyDescent="0.25">
      <c r="B64" s="50" t="s">
        <v>380</v>
      </c>
      <c r="C64" s="356">
        <f>C10</f>
        <v>0.23130000000000001</v>
      </c>
      <c r="D64" s="356">
        <f>C64</f>
        <v>0.23130000000000001</v>
      </c>
      <c r="E64" s="356">
        <f t="shared" ref="E64:H64" si="5">D64</f>
        <v>0.23130000000000001</v>
      </c>
      <c r="F64" s="356">
        <f t="shared" si="5"/>
        <v>0.23130000000000001</v>
      </c>
      <c r="G64" s="356">
        <f t="shared" si="5"/>
        <v>0.23130000000000001</v>
      </c>
      <c r="H64" s="356">
        <f t="shared" si="5"/>
        <v>0.23130000000000001</v>
      </c>
    </row>
    <row r="65" spans="2:8" x14ac:dyDescent="0.25">
      <c r="B65" s="50" t="s">
        <v>381</v>
      </c>
      <c r="C65" s="357">
        <f>C12</f>
        <v>5.5E-2</v>
      </c>
      <c r="D65" s="356">
        <f>C65</f>
        <v>5.5E-2</v>
      </c>
      <c r="E65" s="356">
        <f t="shared" ref="E65:H65" si="6">D65</f>
        <v>5.5E-2</v>
      </c>
      <c r="F65" s="356">
        <f t="shared" si="6"/>
        <v>5.5E-2</v>
      </c>
      <c r="G65" s="356">
        <f t="shared" si="6"/>
        <v>5.5E-2</v>
      </c>
      <c r="H65" s="356">
        <f t="shared" si="6"/>
        <v>5.5E-2</v>
      </c>
    </row>
    <row r="66" spans="2:8" s="71" customFormat="1" x14ac:dyDescent="0.25">
      <c r="B66" s="71" t="s">
        <v>391</v>
      </c>
      <c r="C66" s="359">
        <f>C64+C60*(C65)</f>
        <v>0.29134992057972392</v>
      </c>
      <c r="D66" s="359">
        <f t="shared" ref="D66:H66" si="7">D64+D60*(D65)</f>
        <v>0.28513122973373389</v>
      </c>
      <c r="E66" s="359">
        <f t="shared" si="7"/>
        <v>0.2806228876568177</v>
      </c>
      <c r="F66" s="359">
        <f t="shared" si="7"/>
        <v>0.27851783344733866</v>
      </c>
      <c r="G66" s="359">
        <f t="shared" si="7"/>
        <v>0.27719755583340033</v>
      </c>
      <c r="H66" s="359">
        <f t="shared" si="7"/>
        <v>0.27623385565423092</v>
      </c>
    </row>
    <row r="68" spans="2:8" s="71" customFormat="1" x14ac:dyDescent="0.25">
      <c r="B68" s="71" t="s">
        <v>383</v>
      </c>
    </row>
    <row r="70" spans="2:8" x14ac:dyDescent="0.25">
      <c r="B70" s="358" t="s">
        <v>385</v>
      </c>
      <c r="C70" s="89">
        <f>C6</f>
        <v>0.2</v>
      </c>
      <c r="D70" s="89">
        <f>C70</f>
        <v>0.2</v>
      </c>
      <c r="E70" s="89">
        <f t="shared" ref="E70:H70" si="8">D70</f>
        <v>0.2</v>
      </c>
      <c r="F70" s="89">
        <f t="shared" si="8"/>
        <v>0.2</v>
      </c>
      <c r="G70" s="89">
        <f t="shared" si="8"/>
        <v>0.2</v>
      </c>
      <c r="H70" s="89">
        <f t="shared" si="8"/>
        <v>0.2</v>
      </c>
    </row>
    <row r="71" spans="2:8" s="71" customFormat="1" x14ac:dyDescent="0.25">
      <c r="B71" s="71" t="s">
        <v>384</v>
      </c>
      <c r="C71" s="359">
        <f>C70*(1-C59)</f>
        <v>0.15500000000000003</v>
      </c>
      <c r="D71" s="359">
        <f t="shared" ref="D71:H71" si="9">D70*(1-D59)</f>
        <v>0.15500000000000003</v>
      </c>
      <c r="E71" s="359">
        <f t="shared" si="9"/>
        <v>0.15500000000000003</v>
      </c>
      <c r="F71" s="359">
        <f t="shared" si="9"/>
        <v>0.15500000000000003</v>
      </c>
      <c r="G71" s="359">
        <f t="shared" si="9"/>
        <v>0.15500000000000003</v>
      </c>
      <c r="H71" s="359">
        <f t="shared" si="9"/>
        <v>0.15500000000000003</v>
      </c>
    </row>
    <row r="73" spans="2:8" s="71" customFormat="1" x14ac:dyDescent="0.25">
      <c r="B73" s="71" t="s">
        <v>382</v>
      </c>
    </row>
    <row r="75" spans="2:8" x14ac:dyDescent="0.25">
      <c r="B75" s="50" t="s">
        <v>386</v>
      </c>
      <c r="C75" s="1">
        <f>C57/(C57+C56)</f>
        <v>0.56047302860009951</v>
      </c>
      <c r="D75" s="1">
        <f>D57/(D57+D56)</f>
        <v>0.6371977158509543</v>
      </c>
      <c r="E75" s="1">
        <f t="shared" ref="E75:H75" si="10">E57/(E57+E56)</f>
        <v>0.70740217427673091</v>
      </c>
      <c r="F75" s="1">
        <f t="shared" si="10"/>
        <v>0.74576763685932113</v>
      </c>
      <c r="G75" s="1">
        <f t="shared" si="10"/>
        <v>0.77202852256988397</v>
      </c>
      <c r="H75" s="1">
        <f t="shared" si="10"/>
        <v>0.79239540061329494</v>
      </c>
    </row>
    <row r="76" spans="2:8" x14ac:dyDescent="0.25">
      <c r="B76" s="50" t="s">
        <v>387</v>
      </c>
      <c r="C76" s="1">
        <f>C56/(C56+C57)</f>
        <v>0.43952697139990049</v>
      </c>
      <c r="D76" s="1">
        <f>D56/(D56+D57)</f>
        <v>0.3628022841490457</v>
      </c>
      <c r="E76" s="1">
        <f t="shared" ref="E76:H76" si="11">E56/(E56+E57)</f>
        <v>0.29259782572326909</v>
      </c>
      <c r="F76" s="1">
        <f t="shared" si="11"/>
        <v>0.25423236314067899</v>
      </c>
      <c r="G76" s="1">
        <f t="shared" si="11"/>
        <v>0.22797147743011595</v>
      </c>
      <c r="H76" s="1">
        <f t="shared" si="11"/>
        <v>0.207604599386705</v>
      </c>
    </row>
    <row r="78" spans="2:8" s="71" customFormat="1" x14ac:dyDescent="0.25">
      <c r="B78" s="71" t="s">
        <v>388</v>
      </c>
      <c r="C78" s="359">
        <f>E18*C13+E19*C8</f>
        <v>0.26516740039140274</v>
      </c>
      <c r="D78" s="359">
        <f>D75*D66+D76*D71</f>
        <v>0.23791932234721103</v>
      </c>
      <c r="E78" s="359">
        <f t="shared" ref="E78:H78" si="12">E75*E66+E76*E71</f>
        <v>0.24386590386735435</v>
      </c>
      <c r="F78" s="359">
        <f t="shared" si="12"/>
        <v>0.24711560276000499</v>
      </c>
      <c r="G78" s="359">
        <f t="shared" si="12"/>
        <v>0.24933999849171096</v>
      </c>
      <c r="H78" s="359">
        <f t="shared" si="12"/>
        <v>0.25106514961902865</v>
      </c>
    </row>
  </sheetData>
  <conditionalFormatting sqref="B22:C24">
    <cfRule type="expression" dxfId="0" priority="1">
      <formula>#REF!="Industry"</formula>
    </cfRule>
  </conditionalFormatting>
  <dataValidations count="1">
    <dataValidation type="list" allowBlank="1" showInputMessage="1" showErrorMessage="1" sqref="C32" xr:uid="{00000000-0002-0000-0200-000000000000}">
      <formula1>"Industry, Observed"</formula1>
    </dataValidation>
  </dataValidations>
  <pageMargins left="0.7" right="0.7" top="0.75" bottom="0.75" header="0.3" footer="0.3"/>
  <pageSetup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5CE90-F6E2-454D-A2F3-2AF81EFF437C}">
  <dimension ref="B1:I73"/>
  <sheetViews>
    <sheetView showGridLines="0" zoomScaleNormal="100" workbookViewId="0">
      <selection activeCell="F23" sqref="F23"/>
    </sheetView>
  </sheetViews>
  <sheetFormatPr defaultRowHeight="15" x14ac:dyDescent="0.25"/>
  <cols>
    <col min="1" max="1" width="2" style="6" customWidth="1"/>
    <col min="2" max="2" width="38" style="6" customWidth="1"/>
    <col min="3" max="7" width="16" style="6" customWidth="1"/>
    <col min="8" max="8" width="2" style="6" customWidth="1"/>
    <col min="9" max="9" width="46" style="6" customWidth="1"/>
    <col min="10" max="16384" width="9.140625" style="6"/>
  </cols>
  <sheetData>
    <row r="1" spans="2:9" ht="15.75" thickBot="1" x14ac:dyDescent="0.3"/>
    <row r="2" spans="2:9" s="307" customFormat="1" ht="15.75" customHeight="1" thickBot="1" x14ac:dyDescent="0.3">
      <c r="B2" s="305" t="s">
        <v>235</v>
      </c>
      <c r="C2" s="306"/>
    </row>
    <row r="3" spans="2:9" x14ac:dyDescent="0.25">
      <c r="B3" s="308"/>
    </row>
    <row r="4" spans="2:9" x14ac:dyDescent="0.25">
      <c r="B4" s="44" t="s">
        <v>236</v>
      </c>
      <c r="C4" s="309">
        <v>46213</v>
      </c>
      <c r="I4" s="308"/>
    </row>
    <row r="6" spans="2:9" x14ac:dyDescent="0.25">
      <c r="B6" s="310" t="s">
        <v>237</v>
      </c>
      <c r="C6" s="311"/>
      <c r="D6" s="311"/>
      <c r="E6" s="311"/>
      <c r="F6" s="311"/>
      <c r="G6" s="311"/>
    </row>
    <row r="7" spans="2:9" x14ac:dyDescent="0.25">
      <c r="B7" s="35" t="s">
        <v>102</v>
      </c>
      <c r="C7" s="347" t="s">
        <v>362</v>
      </c>
      <c r="D7" s="347" t="s">
        <v>363</v>
      </c>
      <c r="E7" s="347" t="s">
        <v>364</v>
      </c>
      <c r="F7" s="347" t="s">
        <v>365</v>
      </c>
      <c r="G7" s="347" t="s">
        <v>283</v>
      </c>
    </row>
    <row r="8" spans="2:9" x14ac:dyDescent="0.25">
      <c r="B8" s="35" t="s">
        <v>238</v>
      </c>
      <c r="C8" s="348" t="s">
        <v>366</v>
      </c>
      <c r="D8" s="348" t="s">
        <v>367</v>
      </c>
      <c r="E8" s="348" t="s">
        <v>368</v>
      </c>
      <c r="F8" s="348" t="s">
        <v>369</v>
      </c>
      <c r="G8" s="348" t="s">
        <v>373</v>
      </c>
    </row>
    <row r="9" spans="2:9" x14ac:dyDescent="0.25">
      <c r="B9" s="35" t="s">
        <v>239</v>
      </c>
      <c r="C9" s="347" t="s">
        <v>370</v>
      </c>
      <c r="D9" s="347" t="s">
        <v>370</v>
      </c>
      <c r="E9" s="347" t="s">
        <v>371</v>
      </c>
      <c r="F9" s="347" t="s">
        <v>372</v>
      </c>
      <c r="G9" s="347" t="s">
        <v>370</v>
      </c>
    </row>
    <row r="10" spans="2:9" x14ac:dyDescent="0.25">
      <c r="B10" s="35" t="s">
        <v>240</v>
      </c>
      <c r="C10" s="349">
        <v>46387</v>
      </c>
      <c r="D10" s="349">
        <v>46387</v>
      </c>
      <c r="E10" s="349">
        <v>46387</v>
      </c>
      <c r="F10" s="349">
        <v>46387</v>
      </c>
      <c r="G10" s="349">
        <v>46387</v>
      </c>
    </row>
    <row r="11" spans="2:9" x14ac:dyDescent="0.25">
      <c r="B11" s="35" t="s">
        <v>241</v>
      </c>
      <c r="C11" s="350">
        <v>29.5</v>
      </c>
      <c r="D11" s="350">
        <v>30.4</v>
      </c>
      <c r="E11" s="350">
        <v>1.45</v>
      </c>
      <c r="F11" s="350">
        <v>7.65</v>
      </c>
      <c r="G11" s="350">
        <v>17.03</v>
      </c>
      <c r="I11" s="308"/>
    </row>
    <row r="12" spans="2:9" x14ac:dyDescent="0.25">
      <c r="B12" s="308" t="s">
        <v>242</v>
      </c>
      <c r="C12" s="312">
        <v>46213</v>
      </c>
      <c r="D12" s="312">
        <v>46213</v>
      </c>
      <c r="E12" s="312">
        <v>46213</v>
      </c>
      <c r="F12" s="312">
        <v>46213</v>
      </c>
      <c r="G12" s="351">
        <v>46274</v>
      </c>
    </row>
    <row r="14" spans="2:9" x14ac:dyDescent="0.25">
      <c r="B14" s="310" t="s">
        <v>243</v>
      </c>
      <c r="C14" s="311"/>
      <c r="D14" s="311"/>
      <c r="E14" s="311"/>
      <c r="F14" s="311"/>
      <c r="G14" s="311"/>
    </row>
    <row r="15" spans="2:9" x14ac:dyDescent="0.25">
      <c r="B15" s="35" t="s">
        <v>244</v>
      </c>
      <c r="C15" s="346">
        <v>941405082</v>
      </c>
      <c r="D15" s="346">
        <v>1387500000</v>
      </c>
      <c r="E15" s="346">
        <v>3600000000</v>
      </c>
      <c r="F15" s="346">
        <v>1143000000</v>
      </c>
      <c r="G15" s="313">
        <f>FSM!D10</f>
        <v>400000000</v>
      </c>
    </row>
    <row r="16" spans="2:9" x14ac:dyDescent="0.25">
      <c r="B16" s="35" t="s">
        <v>245</v>
      </c>
      <c r="C16" s="346">
        <v>0</v>
      </c>
      <c r="D16" s="346">
        <v>0</v>
      </c>
      <c r="E16" s="346">
        <v>0</v>
      </c>
      <c r="F16" s="346">
        <v>0</v>
      </c>
      <c r="G16" s="313"/>
      <c r="I16" s="308"/>
    </row>
    <row r="17" spans="2:7" x14ac:dyDescent="0.25">
      <c r="B17" s="44" t="s">
        <v>246</v>
      </c>
      <c r="C17" s="314">
        <f>SUM(C15:C16)</f>
        <v>941405082</v>
      </c>
      <c r="D17" s="314">
        <f t="shared" ref="D17:G17" si="0">SUM(D15:D16)</f>
        <v>1387500000</v>
      </c>
      <c r="E17" s="314">
        <f t="shared" si="0"/>
        <v>3600000000</v>
      </c>
      <c r="F17" s="314">
        <f t="shared" si="0"/>
        <v>1143000000</v>
      </c>
      <c r="G17" s="314">
        <f t="shared" si="0"/>
        <v>400000000</v>
      </c>
    </row>
    <row r="19" spans="2:7" x14ac:dyDescent="0.25">
      <c r="B19" s="310" t="s">
        <v>247</v>
      </c>
      <c r="C19" s="311"/>
      <c r="D19" s="311"/>
      <c r="E19" s="311"/>
      <c r="F19" s="311"/>
      <c r="G19" s="311"/>
    </row>
    <row r="20" spans="2:7" x14ac:dyDescent="0.25">
      <c r="B20" s="35" t="s">
        <v>248</v>
      </c>
      <c r="C20" s="346">
        <v>4850000000</v>
      </c>
      <c r="D20" s="346">
        <v>3620000000</v>
      </c>
      <c r="E20" s="346">
        <v>1068000000</v>
      </c>
      <c r="F20" s="346">
        <v>2850000000</v>
      </c>
      <c r="G20" s="313">
        <f>DCF!C56</f>
        <v>215342632</v>
      </c>
    </row>
    <row r="21" spans="2:7" x14ac:dyDescent="0.25">
      <c r="B21" s="35" t="s">
        <v>249</v>
      </c>
      <c r="C21" s="346">
        <v>1200000</v>
      </c>
      <c r="D21" s="346">
        <v>0</v>
      </c>
      <c r="E21" s="346">
        <v>0</v>
      </c>
      <c r="F21" s="346">
        <v>0</v>
      </c>
      <c r="G21" s="313">
        <f>DCF!C59</f>
        <v>-417023</v>
      </c>
    </row>
    <row r="22" spans="2:7" x14ac:dyDescent="0.25">
      <c r="B22" s="35" t="s">
        <v>250</v>
      </c>
      <c r="C22" s="346">
        <v>1420000000</v>
      </c>
      <c r="D22" s="346">
        <v>2250000000</v>
      </c>
      <c r="E22" s="346">
        <v>390000000</v>
      </c>
      <c r="F22" s="346">
        <v>610000000</v>
      </c>
      <c r="G22" s="313">
        <f>DCF!C61+DCF!C63</f>
        <v>306003759</v>
      </c>
    </row>
    <row r="23" spans="2:7" x14ac:dyDescent="0.25">
      <c r="B23" s="44" t="s">
        <v>251</v>
      </c>
      <c r="C23" s="314">
        <f>SUM(C20:C21)-C22</f>
        <v>3431200000</v>
      </c>
      <c r="D23" s="314">
        <f t="shared" ref="D23:G23" si="1">SUM(D20:D21)-D22</f>
        <v>1370000000</v>
      </c>
      <c r="E23" s="314">
        <f t="shared" si="1"/>
        <v>678000000</v>
      </c>
      <c r="F23" s="314">
        <f t="shared" si="1"/>
        <v>2240000000</v>
      </c>
      <c r="G23" s="314">
        <f t="shared" si="1"/>
        <v>-91078150</v>
      </c>
    </row>
    <row r="25" spans="2:7" x14ac:dyDescent="0.25">
      <c r="B25" s="310" t="s">
        <v>252</v>
      </c>
      <c r="C25" s="311"/>
      <c r="D25" s="311"/>
      <c r="E25" s="311"/>
      <c r="F25" s="311"/>
      <c r="G25" s="311"/>
    </row>
    <row r="26" spans="2:7" ht="15.75" thickBot="1" x14ac:dyDescent="0.3">
      <c r="B26" s="44" t="s">
        <v>253</v>
      </c>
      <c r="C26" s="314">
        <f>C11*C17</f>
        <v>27771449919</v>
      </c>
      <c r="D26" s="314">
        <f t="shared" ref="D26:G26" si="2">D11*D17</f>
        <v>42180000000</v>
      </c>
      <c r="E26" s="314">
        <f t="shared" si="2"/>
        <v>5220000000</v>
      </c>
      <c r="F26" s="314">
        <f t="shared" si="2"/>
        <v>8743950000</v>
      </c>
      <c r="G26" s="314">
        <f>G11*G17</f>
        <v>6812000000</v>
      </c>
    </row>
    <row r="27" spans="2:7" ht="15.75" thickTop="1" x14ac:dyDescent="0.25">
      <c r="B27" s="44" t="s">
        <v>254</v>
      </c>
      <c r="C27" s="315">
        <f>C26+C23</f>
        <v>31202649919</v>
      </c>
      <c r="D27" s="315">
        <f t="shared" ref="D27:G27" si="3">D26+D23</f>
        <v>43550000000</v>
      </c>
      <c r="E27" s="315">
        <f t="shared" si="3"/>
        <v>5898000000</v>
      </c>
      <c r="F27" s="315">
        <f>F26+F23</f>
        <v>10983950000</v>
      </c>
      <c r="G27" s="315">
        <f>G26+G23</f>
        <v>6720921850</v>
      </c>
    </row>
    <row r="29" spans="2:7" x14ac:dyDescent="0.25">
      <c r="B29" s="310" t="s">
        <v>281</v>
      </c>
      <c r="C29" s="311"/>
      <c r="D29" s="311"/>
      <c r="E29" s="311"/>
      <c r="F29" s="311"/>
      <c r="G29" s="311"/>
    </row>
    <row r="30" spans="2:7" x14ac:dyDescent="0.25">
      <c r="B30" s="35" t="s">
        <v>18</v>
      </c>
      <c r="C30" s="346">
        <v>19500000000</v>
      </c>
      <c r="D30" s="346">
        <v>23900000000</v>
      </c>
      <c r="E30" s="346">
        <v>3620000000</v>
      </c>
      <c r="F30" s="346">
        <v>5850000000</v>
      </c>
      <c r="G30" s="313">
        <f>FSM!F16</f>
        <v>2877655973</v>
      </c>
    </row>
    <row r="31" spans="2:7" x14ac:dyDescent="0.25">
      <c r="B31" s="35" t="s">
        <v>20</v>
      </c>
      <c r="C31" s="346">
        <v>3350000000</v>
      </c>
      <c r="D31" s="346">
        <v>4750000000</v>
      </c>
      <c r="E31" s="346">
        <v>732000000</v>
      </c>
      <c r="F31" s="346">
        <v>1080000000</v>
      </c>
      <c r="G31" s="313">
        <f>FSM!F20</f>
        <v>361759057</v>
      </c>
    </row>
    <row r="32" spans="2:7" x14ac:dyDescent="0.25">
      <c r="B32" s="35" t="s">
        <v>22</v>
      </c>
      <c r="C32" s="346">
        <v>2720000000</v>
      </c>
      <c r="D32" s="346">
        <v>4240000000</v>
      </c>
      <c r="E32" s="346">
        <v>415000000</v>
      </c>
      <c r="F32" s="346">
        <v>490000000</v>
      </c>
      <c r="G32" s="313">
        <f>FSM!F25</f>
        <v>277129999</v>
      </c>
    </row>
    <row r="33" spans="2:7" x14ac:dyDescent="0.25">
      <c r="B33" s="35" t="s">
        <v>132</v>
      </c>
      <c r="C33" s="346">
        <v>1850000000</v>
      </c>
      <c r="D33" s="346">
        <v>3140000000</v>
      </c>
      <c r="E33" s="346">
        <v>350000000</v>
      </c>
      <c r="F33" s="346">
        <v>312000000</v>
      </c>
      <c r="G33" s="313">
        <f>FSM!F31</f>
        <v>211212632</v>
      </c>
    </row>
    <row r="34" spans="2:7" x14ac:dyDescent="0.25">
      <c r="B34" s="308" t="s">
        <v>255</v>
      </c>
      <c r="C34" s="316">
        <f>C31/C30</f>
        <v>0.1717948717948718</v>
      </c>
      <c r="D34" s="316">
        <f t="shared" ref="D34:G34" si="4">D31/D30</f>
        <v>0.19874476987447698</v>
      </c>
      <c r="E34" s="316">
        <f t="shared" si="4"/>
        <v>0.20220994475138121</v>
      </c>
      <c r="F34" s="316">
        <f t="shared" si="4"/>
        <v>0.18461538461538463</v>
      </c>
      <c r="G34" s="316">
        <f t="shared" si="4"/>
        <v>0.12571310135549688</v>
      </c>
    </row>
    <row r="36" spans="2:7" x14ac:dyDescent="0.25">
      <c r="B36" s="310" t="s">
        <v>256</v>
      </c>
      <c r="C36" s="311"/>
      <c r="D36" s="311"/>
      <c r="E36" s="311"/>
      <c r="F36" s="311"/>
      <c r="G36" s="311"/>
    </row>
    <row r="37" spans="2:7" x14ac:dyDescent="0.25">
      <c r="B37" s="35" t="s">
        <v>257</v>
      </c>
      <c r="C37" s="317">
        <f>C27/C30</f>
        <v>1.6001358932820513</v>
      </c>
      <c r="D37" s="317">
        <f t="shared" ref="D37:G37" si="5">D27/D30</f>
        <v>1.8221757322175731</v>
      </c>
      <c r="E37" s="317">
        <f t="shared" si="5"/>
        <v>1.6292817679558012</v>
      </c>
      <c r="F37" s="317">
        <f t="shared" si="5"/>
        <v>1.8775982905982906</v>
      </c>
      <c r="G37" s="317">
        <f t="shared" si="5"/>
        <v>2.3355543237482057</v>
      </c>
    </row>
    <row r="38" spans="2:7" x14ac:dyDescent="0.25">
      <c r="B38" s="44" t="s">
        <v>258</v>
      </c>
      <c r="C38" s="318">
        <f>C27/C31</f>
        <v>9.314223856417911</v>
      </c>
      <c r="D38" s="318">
        <f t="shared" ref="D38:G38" si="6">D27/D31</f>
        <v>9.1684210526315795</v>
      </c>
      <c r="E38" s="318">
        <f t="shared" si="6"/>
        <v>8.057377049180328</v>
      </c>
      <c r="F38" s="318">
        <f t="shared" si="6"/>
        <v>10.170324074074074</v>
      </c>
      <c r="G38" s="318">
        <f t="shared" si="6"/>
        <v>18.578448058039914</v>
      </c>
    </row>
    <row r="39" spans="2:7" x14ac:dyDescent="0.25">
      <c r="B39" s="35" t="s">
        <v>259</v>
      </c>
      <c r="C39" s="317">
        <f>C27/C32</f>
        <v>11.471562470220588</v>
      </c>
      <c r="D39" s="317">
        <f t="shared" ref="D39:G39" si="7">D27/D32</f>
        <v>10.27122641509434</v>
      </c>
      <c r="E39" s="317">
        <f t="shared" si="7"/>
        <v>14.212048192771084</v>
      </c>
      <c r="F39" s="317">
        <f t="shared" si="7"/>
        <v>22.416224489795919</v>
      </c>
      <c r="G39" s="317">
        <f t="shared" si="7"/>
        <v>24.251874117749338</v>
      </c>
    </row>
    <row r="40" spans="2:7" x14ac:dyDescent="0.25">
      <c r="B40" s="44" t="s">
        <v>260</v>
      </c>
      <c r="C40" s="318">
        <f>C26/C33</f>
        <v>15.011594550810811</v>
      </c>
      <c r="D40" s="318">
        <f t="shared" ref="D40:G40" si="8">D26/D33</f>
        <v>13.433121019108281</v>
      </c>
      <c r="E40" s="318">
        <f t="shared" si="8"/>
        <v>14.914285714285715</v>
      </c>
      <c r="F40" s="318">
        <f t="shared" si="8"/>
        <v>28.025480769230768</v>
      </c>
      <c r="G40" s="318">
        <f t="shared" si="8"/>
        <v>32.25185887556195</v>
      </c>
    </row>
    <row r="42" spans="2:7" x14ac:dyDescent="0.25">
      <c r="B42" s="310" t="s">
        <v>280</v>
      </c>
      <c r="C42" s="311"/>
      <c r="D42" s="311"/>
      <c r="E42" s="311"/>
      <c r="F42" s="311"/>
      <c r="G42" s="311"/>
    </row>
    <row r="43" spans="2:7" x14ac:dyDescent="0.25">
      <c r="C43" s="44" t="s">
        <v>261</v>
      </c>
      <c r="D43" s="44" t="s">
        <v>262</v>
      </c>
      <c r="E43" s="44" t="s">
        <v>263</v>
      </c>
      <c r="F43" s="44" t="s">
        <v>264</v>
      </c>
      <c r="G43" s="44"/>
    </row>
    <row r="44" spans="2:7" x14ac:dyDescent="0.25">
      <c r="B44" s="35" t="s">
        <v>265</v>
      </c>
      <c r="C44" s="317">
        <f>AVERAGE(C37:F37)</f>
        <v>1.7322979210134291</v>
      </c>
      <c r="D44" s="317">
        <f>AVERAGE(C38:F38)</f>
        <v>9.1775865080759722</v>
      </c>
      <c r="E44" s="317">
        <f>AVERAGE(C39:F39)</f>
        <v>14.592765391970485</v>
      </c>
      <c r="F44" s="317">
        <f>AVERAGE(C40:F40)</f>
        <v>17.846120513358894</v>
      </c>
      <c r="G44" s="317"/>
    </row>
    <row r="45" spans="2:7" x14ac:dyDescent="0.25">
      <c r="B45" s="44" t="s">
        <v>266</v>
      </c>
      <c r="C45" s="318">
        <f>MEDIAN(C37:F37)</f>
        <v>1.7257287500866871</v>
      </c>
      <c r="D45" s="318">
        <f>MEDIAN(C38:F38)</f>
        <v>9.2413224545247452</v>
      </c>
      <c r="E45" s="318">
        <f>MEDIAN(C39:F39)</f>
        <v>12.841805331495836</v>
      </c>
      <c r="F45" s="318">
        <f>MEDIAN(C40:F40)</f>
        <v>14.962940132548262</v>
      </c>
      <c r="G45" s="318"/>
    </row>
    <row r="46" spans="2:7" x14ac:dyDescent="0.25">
      <c r="B46" s="35" t="s">
        <v>98</v>
      </c>
      <c r="C46" s="317">
        <f>MAX(C37:F37)</f>
        <v>1.8775982905982906</v>
      </c>
      <c r="D46" s="317">
        <f>MAX(C38:F38)</f>
        <v>10.170324074074074</v>
      </c>
      <c r="E46" s="317">
        <f>MAX(C39:F39)</f>
        <v>22.416224489795919</v>
      </c>
      <c r="F46" s="317">
        <f>MAX(C40:F40)</f>
        <v>28.025480769230768</v>
      </c>
      <c r="G46" s="317"/>
    </row>
    <row r="47" spans="2:7" x14ac:dyDescent="0.25">
      <c r="B47" s="35" t="s">
        <v>96</v>
      </c>
      <c r="C47" s="317">
        <f>MIN(C37:F37)</f>
        <v>1.6001358932820513</v>
      </c>
      <c r="D47" s="317">
        <f>MIN(C38:F38)</f>
        <v>8.057377049180328</v>
      </c>
      <c r="E47" s="317">
        <f>MIN(C39:F39)</f>
        <v>10.27122641509434</v>
      </c>
      <c r="F47" s="317">
        <f>MIN(C40:F40)</f>
        <v>13.433121019108281</v>
      </c>
      <c r="G47" s="317"/>
    </row>
    <row r="49" spans="2:7" x14ac:dyDescent="0.25">
      <c r="B49" s="310" t="s">
        <v>267</v>
      </c>
      <c r="C49" s="311"/>
      <c r="D49" s="311"/>
      <c r="E49" s="311"/>
      <c r="F49" s="311"/>
      <c r="G49" s="311"/>
    </row>
    <row r="50" spans="2:7" x14ac:dyDescent="0.25">
      <c r="B50" s="44" t="s">
        <v>268</v>
      </c>
    </row>
    <row r="51" spans="2:7" x14ac:dyDescent="0.25">
      <c r="B51" s="35" t="s">
        <v>269</v>
      </c>
      <c r="C51" s="317">
        <f>D45</f>
        <v>9.2413224545247452</v>
      </c>
    </row>
    <row r="52" spans="2:7" x14ac:dyDescent="0.25">
      <c r="B52" s="35" t="s">
        <v>270</v>
      </c>
      <c r="C52" s="319">
        <f>G31</f>
        <v>361759057</v>
      </c>
    </row>
    <row r="53" spans="2:7" x14ac:dyDescent="0.25">
      <c r="B53" s="35" t="s">
        <v>271</v>
      </c>
      <c r="C53" s="319">
        <f>C51*C52</f>
        <v>3343132096.5817971</v>
      </c>
    </row>
    <row r="54" spans="2:7" x14ac:dyDescent="0.25">
      <c r="B54" s="35" t="s">
        <v>272</v>
      </c>
      <c r="C54" s="319">
        <f>G23</f>
        <v>-91078150</v>
      </c>
    </row>
    <row r="55" spans="2:7" x14ac:dyDescent="0.25">
      <c r="B55" s="35" t="s">
        <v>273</v>
      </c>
      <c r="C55" s="319">
        <f>C53-C54</f>
        <v>3434210246.5817971</v>
      </c>
    </row>
    <row r="56" spans="2:7" ht="15.75" thickBot="1" x14ac:dyDescent="0.3">
      <c r="B56" s="35" t="s">
        <v>246</v>
      </c>
      <c r="C56" s="319">
        <f>G17</f>
        <v>400000000</v>
      </c>
    </row>
    <row r="57" spans="2:7" ht="15.75" thickTop="1" x14ac:dyDescent="0.25">
      <c r="B57" s="44" t="s">
        <v>274</v>
      </c>
      <c r="C57" s="320">
        <f>C55/C56</f>
        <v>8.5855256164544933</v>
      </c>
    </row>
    <row r="59" spans="2:7" x14ac:dyDescent="0.25">
      <c r="B59" s="44" t="s">
        <v>275</v>
      </c>
    </row>
    <row r="60" spans="2:7" x14ac:dyDescent="0.25">
      <c r="B60" s="35" t="s">
        <v>276</v>
      </c>
      <c r="C60" s="317">
        <f>F45</f>
        <v>14.962940132548262</v>
      </c>
    </row>
    <row r="61" spans="2:7" x14ac:dyDescent="0.25">
      <c r="B61" s="35" t="s">
        <v>277</v>
      </c>
      <c r="C61" s="319">
        <f>G33</f>
        <v>211212632</v>
      </c>
    </row>
    <row r="62" spans="2:7" x14ac:dyDescent="0.25">
      <c r="B62" s="35" t="s">
        <v>273</v>
      </c>
      <c r="C62" s="319">
        <f>C60*C61</f>
        <v>3160361967.8539472</v>
      </c>
    </row>
    <row r="63" spans="2:7" ht="15.75" thickBot="1" x14ac:dyDescent="0.3">
      <c r="B63" s="35" t="s">
        <v>246</v>
      </c>
      <c r="C63" s="319">
        <f>C56</f>
        <v>400000000</v>
      </c>
    </row>
    <row r="64" spans="2:7" ht="15.75" thickTop="1" x14ac:dyDescent="0.25">
      <c r="B64" s="44" t="s">
        <v>274</v>
      </c>
      <c r="C64" s="320">
        <f>C62/C63</f>
        <v>7.9009049196348675</v>
      </c>
    </row>
    <row r="66" spans="2:3" x14ac:dyDescent="0.25">
      <c r="B66" s="44" t="s">
        <v>278</v>
      </c>
    </row>
    <row r="67" spans="2:3" x14ac:dyDescent="0.25">
      <c r="B67" s="35" t="s">
        <v>262</v>
      </c>
      <c r="C67" s="317">
        <f>D38</f>
        <v>9.1684210526315795</v>
      </c>
    </row>
    <row r="68" spans="2:3" x14ac:dyDescent="0.25">
      <c r="B68" s="35" t="s">
        <v>270</v>
      </c>
      <c r="C68" s="19">
        <f>C52</f>
        <v>361759057</v>
      </c>
    </row>
    <row r="69" spans="2:3" x14ac:dyDescent="0.25">
      <c r="B69" s="35" t="s">
        <v>271</v>
      </c>
      <c r="C69" s="19">
        <f>C67*C68</f>
        <v>3316759354.1789474</v>
      </c>
    </row>
    <row r="70" spans="2:3" x14ac:dyDescent="0.25">
      <c r="B70" s="35" t="s">
        <v>272</v>
      </c>
      <c r="C70" s="19">
        <f>C54</f>
        <v>-91078150</v>
      </c>
    </row>
    <row r="71" spans="2:3" x14ac:dyDescent="0.25">
      <c r="B71" s="35" t="s">
        <v>273</v>
      </c>
      <c r="C71" s="19">
        <f>C69-C70</f>
        <v>3407837504.1789474</v>
      </c>
    </row>
    <row r="72" spans="2:3" ht="15.75" thickBot="1" x14ac:dyDescent="0.3">
      <c r="B72" s="35" t="s">
        <v>246</v>
      </c>
      <c r="C72" s="319">
        <f>C63</f>
        <v>400000000</v>
      </c>
    </row>
    <row r="73" spans="2:3" ht="15.75" thickTop="1" x14ac:dyDescent="0.25">
      <c r="B73" s="44" t="s">
        <v>274</v>
      </c>
      <c r="C73" s="320">
        <f>C71/C72</f>
        <v>8.5195937604473695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FSM</vt:lpstr>
      <vt:lpstr>DCF</vt:lpstr>
      <vt:lpstr>WACC</vt:lpstr>
      <vt:lpstr>Trading Comps</vt:lpstr>
      <vt:lpstr>FSM!Company_Name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WAEL</dc:creator>
  <cp:lastModifiedBy>Ahmed Wael</cp:lastModifiedBy>
  <cp:revision>0</cp:revision>
  <dcterms:created xsi:type="dcterms:W3CDTF">2015-06-05T18:17:20Z</dcterms:created>
  <dcterms:modified xsi:type="dcterms:W3CDTF">2026-09-17T01:20:00Z</dcterms:modified>
  <dc:language>en-US</dc:language>
</cp:coreProperties>
</file>