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ser\Desktop\ISPH - CA\"/>
    </mc:Choice>
  </mc:AlternateContent>
  <xr:revisionPtr revIDLastSave="0" documentId="13_ncr:1_{5877E463-FDE5-49E5-B2CC-DA3C00E5A39A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SM" sheetId="1" r:id="rId1"/>
    <sheet name="DCF" sheetId="2" r:id="rId2"/>
    <sheet name="WACC" sheetId="3" r:id="rId3"/>
  </sheets>
  <definedNames>
    <definedName name="CIQWBGuid" localSheetId="1" hidden="1">"DCF_complete.xlsx"</definedName>
    <definedName name="CIQWBGuid" localSheetId="2" hidden="1">"DCF_complete.xlsx"</definedName>
    <definedName name="CIQWBGuid" hidden="1">"a611639b-bab1-425e-aaa5-008c326fdfdb"</definedName>
    <definedName name="Company_Name">FSM!$D$5</definedName>
    <definedName name="Hist_Yr">FSM!#REF!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localSheetId="1" hidden="1">43549.6880671296</definedName>
    <definedName name="IQ_NAMES_REVISION_DATE_" localSheetId="2" hidden="1">43549.6880671296</definedName>
    <definedName name="IQ_NAMES_REVISION_DATE_" hidden="1">43588.5561574074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MLNK841c85bef3244d5c8fb6b3f84988d79e" localSheetId="1" hidden="1">#REF!</definedName>
    <definedName name="MLNK841c85bef3244d5c8fb6b3f84988d79e" localSheetId="2" hidden="1">#REF!</definedName>
    <definedName name="MLNK841c85bef3244d5c8fb6b3f84988d79e" hidden="1">#REF!</definedName>
    <definedName name="MLNKa7775792bf444a4785f8ed5c82461a24" localSheetId="1" hidden="1">#REF!</definedName>
    <definedName name="MLNKa7775792bf444a4785f8ed5c82461a24" localSheetId="2" hidden="1">#REF!</definedName>
    <definedName name="MLNKa7775792bf444a4785f8ed5c82461a24" hidden="1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25" i="2" l="1"/>
  <c r="H25" i="2"/>
  <c r="G25" i="2"/>
  <c r="F25" i="2"/>
  <c r="E25" i="2"/>
  <c r="D25" i="2"/>
  <c r="K177" i="1"/>
  <c r="J177" i="1"/>
  <c r="I177" i="1"/>
  <c r="H177" i="1"/>
  <c r="G177" i="1"/>
  <c r="F177" i="1"/>
  <c r="E177" i="1"/>
  <c r="D177" i="1"/>
  <c r="I37" i="2"/>
  <c r="H37" i="2"/>
  <c r="G37" i="2"/>
  <c r="F37" i="2"/>
  <c r="E37" i="2"/>
  <c r="I27" i="2"/>
  <c r="H27" i="2"/>
  <c r="G27" i="2"/>
  <c r="F27" i="2"/>
  <c r="E27" i="2"/>
  <c r="D27" i="2"/>
  <c r="I22" i="2"/>
  <c r="H22" i="2"/>
  <c r="G22" i="2"/>
  <c r="F22" i="2"/>
  <c r="E22" i="2"/>
  <c r="D22" i="2"/>
  <c r="D72" i="2" l="1"/>
  <c r="C72" i="2"/>
  <c r="D70" i="2"/>
  <c r="C70" i="2"/>
  <c r="C18" i="2"/>
  <c r="C14" i="2"/>
  <c r="C8" i="3"/>
  <c r="E21" i="3" s="1"/>
  <c r="C19" i="3"/>
  <c r="C18" i="3"/>
  <c r="E19" i="3" s="1"/>
  <c r="C65" i="2"/>
  <c r="C63" i="2"/>
  <c r="C62" i="2"/>
  <c r="C60" i="2"/>
  <c r="C57" i="2"/>
  <c r="I61" i="2"/>
  <c r="C13" i="3"/>
  <c r="C11" i="3"/>
  <c r="I26" i="2"/>
  <c r="H26" i="2"/>
  <c r="G26" i="2"/>
  <c r="F26" i="2"/>
  <c r="E26" i="2"/>
  <c r="F33" i="2"/>
  <c r="I32" i="2"/>
  <c r="I33" i="2" s="1"/>
  <c r="H32" i="2"/>
  <c r="H33" i="2" s="1"/>
  <c r="G32" i="2"/>
  <c r="G33" i="2" s="1"/>
  <c r="F32" i="2"/>
  <c r="E32" i="2"/>
  <c r="E33" i="2" s="1"/>
  <c r="H28" i="2"/>
  <c r="I28" i="2"/>
  <c r="G28" i="2"/>
  <c r="F28" i="2"/>
  <c r="E28" i="2"/>
  <c r="D33" i="2"/>
  <c r="D32" i="2"/>
  <c r="D28" i="2"/>
  <c r="F19" i="2"/>
  <c r="I18" i="2"/>
  <c r="I19" i="2" s="1"/>
  <c r="H18" i="2"/>
  <c r="H19" i="2" s="1"/>
  <c r="G18" i="2"/>
  <c r="G21" i="2" s="1"/>
  <c r="F18" i="2"/>
  <c r="E18" i="2"/>
  <c r="E19" i="2" s="1"/>
  <c r="D19" i="2"/>
  <c r="E15" i="2"/>
  <c r="F23" i="2"/>
  <c r="F30" i="2" s="1"/>
  <c r="F38" i="2" s="1"/>
  <c r="H21" i="2"/>
  <c r="I23" i="2"/>
  <c r="I30" i="2" s="1"/>
  <c r="I38" i="2" s="1"/>
  <c r="C43" i="2" s="1"/>
  <c r="H23" i="2"/>
  <c r="H30" i="2" s="1"/>
  <c r="H38" i="2" s="1"/>
  <c r="F21" i="2"/>
  <c r="E23" i="2"/>
  <c r="E30" i="2" s="1"/>
  <c r="I14" i="2"/>
  <c r="H14" i="2"/>
  <c r="G14" i="2"/>
  <c r="F14" i="2"/>
  <c r="E14" i="2"/>
  <c r="D23" i="2"/>
  <c r="D21" i="2"/>
  <c r="D18" i="2"/>
  <c r="D14" i="2"/>
  <c r="D8" i="2"/>
  <c r="E18" i="3" l="1"/>
  <c r="G19" i="2"/>
  <c r="E21" i="2"/>
  <c r="I21" i="2"/>
  <c r="G23" i="2"/>
  <c r="G30" i="2" s="1"/>
  <c r="G38" i="2" s="1"/>
  <c r="G241" i="1" l="1"/>
  <c r="F242" i="1"/>
  <c r="E242" i="1"/>
  <c r="D242" i="1"/>
  <c r="D272" i="1"/>
  <c r="G156" i="1"/>
  <c r="F296" i="1"/>
  <c r="E296" i="1"/>
  <c r="F295" i="1" s="1"/>
  <c r="D296" i="1"/>
  <c r="E295" i="1" s="1"/>
  <c r="E298" i="1"/>
  <c r="E293" i="1" s="1"/>
  <c r="D298" i="1"/>
  <c r="D293" i="1" s="1"/>
  <c r="F298" i="1"/>
  <c r="G298" i="1" s="1"/>
  <c r="H298" i="1" s="1"/>
  <c r="F231" i="1"/>
  <c r="E231" i="1"/>
  <c r="F287" i="1"/>
  <c r="G287" i="1" s="1"/>
  <c r="E287" i="1"/>
  <c r="F286" i="1"/>
  <c r="G286" i="1" s="1"/>
  <c r="H286" i="1" s="1"/>
  <c r="I286" i="1" s="1"/>
  <c r="J286" i="1" s="1"/>
  <c r="K286" i="1" s="1"/>
  <c r="E286" i="1"/>
  <c r="D287" i="1"/>
  <c r="D286" i="1"/>
  <c r="E285" i="1"/>
  <c r="D285" i="1"/>
  <c r="F285" i="1"/>
  <c r="F284" i="1"/>
  <c r="G283" i="1" s="1"/>
  <c r="E284" i="1"/>
  <c r="F283" i="1" s="1"/>
  <c r="D284" i="1"/>
  <c r="E283" i="1" s="1"/>
  <c r="F282" i="1"/>
  <c r="G279" i="1" s="1"/>
  <c r="E282" i="1"/>
  <c r="F279" i="1" s="1"/>
  <c r="D282" i="1"/>
  <c r="E279" i="1" s="1"/>
  <c r="F273" i="1"/>
  <c r="E273" i="1"/>
  <c r="F272" i="1"/>
  <c r="E272" i="1"/>
  <c r="D273" i="1"/>
  <c r="F271" i="1"/>
  <c r="G268" i="1" s="1"/>
  <c r="E271" i="1"/>
  <c r="F268" i="1" s="1"/>
  <c r="D271" i="1"/>
  <c r="E268" i="1" s="1"/>
  <c r="F54" i="1"/>
  <c r="E54" i="1"/>
  <c r="G78" i="1"/>
  <c r="H78" i="1" s="1"/>
  <c r="I78" i="1" s="1"/>
  <c r="J78" i="1" s="1"/>
  <c r="K78" i="1" s="1"/>
  <c r="G83" i="1"/>
  <c r="H83" i="1" s="1"/>
  <c r="I83" i="1" s="1"/>
  <c r="J83" i="1" s="1"/>
  <c r="K83" i="1" s="1"/>
  <c r="G82" i="1"/>
  <c r="H82" i="1" s="1"/>
  <c r="I82" i="1" s="1"/>
  <c r="J82" i="1" s="1"/>
  <c r="K82" i="1" s="1"/>
  <c r="G73" i="1"/>
  <c r="H73" i="1" s="1"/>
  <c r="I73" i="1" s="1"/>
  <c r="J73" i="1" s="1"/>
  <c r="K73" i="1" s="1"/>
  <c r="G70" i="1"/>
  <c r="H70" i="1" s="1"/>
  <c r="I70" i="1" s="1"/>
  <c r="J70" i="1" s="1"/>
  <c r="K70" i="1" s="1"/>
  <c r="G68" i="1"/>
  <c r="H68" i="1" s="1"/>
  <c r="I68" i="1" s="1"/>
  <c r="J68" i="1" s="1"/>
  <c r="K68" i="1" s="1"/>
  <c r="G31" i="1"/>
  <c r="H31" i="1" s="1"/>
  <c r="I31" i="1" s="1"/>
  <c r="J31" i="1" s="1"/>
  <c r="K31" i="1" s="1"/>
  <c r="G39" i="1"/>
  <c r="H39" i="1" s="1"/>
  <c r="K44" i="1"/>
  <c r="J44" i="1"/>
  <c r="I44" i="1"/>
  <c r="H44" i="1"/>
  <c r="G44" i="1"/>
  <c r="F257" i="1"/>
  <c r="E257" i="1"/>
  <c r="D257" i="1"/>
  <c r="F259" i="1"/>
  <c r="G256" i="1" s="1"/>
  <c r="E259" i="1"/>
  <c r="F256" i="1" s="1"/>
  <c r="D259" i="1"/>
  <c r="E256" i="1" s="1"/>
  <c r="D297" i="1" l="1"/>
  <c r="G273" i="1"/>
  <c r="H273" i="1" s="1"/>
  <c r="E297" i="1"/>
  <c r="H143" i="1"/>
  <c r="G285" i="1"/>
  <c r="I143" i="1"/>
  <c r="F297" i="1"/>
  <c r="G295" i="1"/>
  <c r="G144" i="1"/>
  <c r="H144" i="1"/>
  <c r="G272" i="1"/>
  <c r="I144" i="1"/>
  <c r="H285" i="1"/>
  <c r="H287" i="1"/>
  <c r="I287" i="1" s="1"/>
  <c r="J287" i="1" s="1"/>
  <c r="K287" i="1" s="1"/>
  <c r="J143" i="1"/>
  <c r="J144" i="1"/>
  <c r="F293" i="1"/>
  <c r="G143" i="1"/>
  <c r="K143" i="1"/>
  <c r="K144" i="1"/>
  <c r="I298" i="1"/>
  <c r="I39" i="1"/>
  <c r="I257" i="1" s="1"/>
  <c r="H257" i="1"/>
  <c r="G257" i="1"/>
  <c r="H272" i="1" l="1"/>
  <c r="I272" i="1"/>
  <c r="I285" i="1"/>
  <c r="I273" i="1"/>
  <c r="J298" i="1"/>
  <c r="J39" i="1"/>
  <c r="K39" i="1" s="1"/>
  <c r="K257" i="1" s="1"/>
  <c r="J285" i="1" l="1"/>
  <c r="J273" i="1"/>
  <c r="J272" i="1"/>
  <c r="K298" i="1"/>
  <c r="J257" i="1"/>
  <c r="F253" i="1"/>
  <c r="G249" i="1" s="1"/>
  <c r="E253" i="1"/>
  <c r="F249" i="1" s="1"/>
  <c r="D253" i="1"/>
  <c r="E249" i="1" s="1"/>
  <c r="F175" i="1"/>
  <c r="F176" i="1" s="1"/>
  <c r="E175" i="1"/>
  <c r="E176" i="1" s="1"/>
  <c r="D175" i="1"/>
  <c r="D176" i="1" s="1"/>
  <c r="K273" i="1" l="1"/>
  <c r="G176" i="1"/>
  <c r="H176" i="1" s="1"/>
  <c r="K272" i="1"/>
  <c r="K285" i="1"/>
  <c r="F171" i="1"/>
  <c r="G171" i="1" s="1"/>
  <c r="E171" i="1"/>
  <c r="F170" i="1"/>
  <c r="G170" i="1" s="1"/>
  <c r="E170" i="1"/>
  <c r="D171" i="1"/>
  <c r="D170" i="1"/>
  <c r="H171" i="1" l="1"/>
  <c r="I176" i="1"/>
  <c r="H170" i="1"/>
  <c r="F168" i="1"/>
  <c r="G165" i="1" s="1"/>
  <c r="E168" i="1"/>
  <c r="F165" i="1" s="1"/>
  <c r="D168" i="1"/>
  <c r="E165" i="1" s="1"/>
  <c r="G81" i="1"/>
  <c r="H81" i="1" s="1"/>
  <c r="I81" i="1" s="1"/>
  <c r="J81" i="1" s="1"/>
  <c r="K81" i="1" s="1"/>
  <c r="G115" i="1"/>
  <c r="H115" i="1" s="1"/>
  <c r="I115" i="1" s="1"/>
  <c r="J115" i="1" s="1"/>
  <c r="K115" i="1" s="1"/>
  <c r="G114" i="1"/>
  <c r="H114" i="1" s="1"/>
  <c r="I114" i="1" s="1"/>
  <c r="J114" i="1" s="1"/>
  <c r="K114" i="1" s="1"/>
  <c r="G113" i="1"/>
  <c r="H113" i="1" s="1"/>
  <c r="I113" i="1" s="1"/>
  <c r="J113" i="1" s="1"/>
  <c r="K113" i="1" s="1"/>
  <c r="G112" i="1"/>
  <c r="H112" i="1" s="1"/>
  <c r="I112" i="1" s="1"/>
  <c r="J112" i="1" s="1"/>
  <c r="K112" i="1" s="1"/>
  <c r="G111" i="1"/>
  <c r="H111" i="1" s="1"/>
  <c r="I111" i="1" s="1"/>
  <c r="J111" i="1" s="1"/>
  <c r="K111" i="1" s="1"/>
  <c r="G110" i="1"/>
  <c r="H110" i="1" s="1"/>
  <c r="I110" i="1" s="1"/>
  <c r="J110" i="1" s="1"/>
  <c r="K110" i="1" s="1"/>
  <c r="G104" i="1"/>
  <c r="H104" i="1" s="1"/>
  <c r="I104" i="1" s="1"/>
  <c r="J104" i="1" s="1"/>
  <c r="K104" i="1" s="1"/>
  <c r="G102" i="1"/>
  <c r="H102" i="1" s="1"/>
  <c r="G92" i="1"/>
  <c r="F213" i="1"/>
  <c r="G213" i="1" s="1"/>
  <c r="H213" i="1" s="1"/>
  <c r="I213" i="1" s="1"/>
  <c r="J213" i="1" s="1"/>
  <c r="K213" i="1" s="1"/>
  <c r="E213" i="1"/>
  <c r="F212" i="1"/>
  <c r="E212" i="1"/>
  <c r="F211" i="1"/>
  <c r="E211" i="1"/>
  <c r="F210" i="1"/>
  <c r="E210" i="1"/>
  <c r="F209" i="1"/>
  <c r="F223" i="1" s="1"/>
  <c r="E209" i="1"/>
  <c r="E223" i="1" s="1"/>
  <c r="F205" i="1"/>
  <c r="E205" i="1"/>
  <c r="F204" i="1"/>
  <c r="E204" i="1"/>
  <c r="F203" i="1"/>
  <c r="E203" i="1"/>
  <c r="F202" i="1"/>
  <c r="F222" i="1" s="1"/>
  <c r="E202" i="1"/>
  <c r="E222" i="1" s="1"/>
  <c r="F201" i="1"/>
  <c r="F221" i="1" s="1"/>
  <c r="E201" i="1"/>
  <c r="E221" i="1" s="1"/>
  <c r="D201" i="1"/>
  <c r="D221" i="1" s="1"/>
  <c r="D213" i="1"/>
  <c r="D212" i="1"/>
  <c r="D211" i="1"/>
  <c r="D210" i="1"/>
  <c r="D209" i="1"/>
  <c r="D223" i="1" s="1"/>
  <c r="D205" i="1"/>
  <c r="D204" i="1"/>
  <c r="D203" i="1"/>
  <c r="D202" i="1"/>
  <c r="D222" i="1" s="1"/>
  <c r="F241" i="1"/>
  <c r="E241" i="1"/>
  <c r="D241" i="1"/>
  <c r="F236" i="1"/>
  <c r="G237" i="1" s="1"/>
  <c r="E236" i="1"/>
  <c r="D236" i="1"/>
  <c r="F240" i="1"/>
  <c r="E240" i="1"/>
  <c r="D240" i="1"/>
  <c r="G222" i="1" l="1"/>
  <c r="H222" i="1" s="1"/>
  <c r="G223" i="1"/>
  <c r="H223" i="1" s="1"/>
  <c r="G221" i="1"/>
  <c r="H221" i="1" s="1"/>
  <c r="E237" i="1"/>
  <c r="E238" i="1" s="1"/>
  <c r="H92" i="1"/>
  <c r="G149" i="1"/>
  <c r="D214" i="1"/>
  <c r="F214" i="1"/>
  <c r="E206" i="1"/>
  <c r="I170" i="1"/>
  <c r="F206" i="1"/>
  <c r="E214" i="1"/>
  <c r="J176" i="1"/>
  <c r="I171" i="1"/>
  <c r="I102" i="1"/>
  <c r="D206" i="1"/>
  <c r="F237" i="1"/>
  <c r="F238" i="1" s="1"/>
  <c r="G238" i="1" s="1"/>
  <c r="D216" i="1" l="1"/>
  <c r="E216" i="1"/>
  <c r="E217" i="1" s="1"/>
  <c r="I221" i="1"/>
  <c r="I222" i="1"/>
  <c r="I92" i="1"/>
  <c r="H149" i="1"/>
  <c r="I223" i="1"/>
  <c r="F216" i="1"/>
  <c r="F218" i="1" s="1"/>
  <c r="J170" i="1"/>
  <c r="J171" i="1"/>
  <c r="K176" i="1"/>
  <c r="D217" i="1"/>
  <c r="J102" i="1"/>
  <c r="H238" i="1"/>
  <c r="E218" i="1" l="1"/>
  <c r="F217" i="1"/>
  <c r="J222" i="1"/>
  <c r="J223" i="1"/>
  <c r="J92" i="1"/>
  <c r="I149" i="1"/>
  <c r="J221" i="1"/>
  <c r="K171" i="1"/>
  <c r="K170" i="1"/>
  <c r="K102" i="1"/>
  <c r="I238" i="1"/>
  <c r="J238" i="1" s="1"/>
  <c r="K238" i="1" s="1"/>
  <c r="K221" i="1" l="1"/>
  <c r="K223" i="1"/>
  <c r="K92" i="1"/>
  <c r="K149" i="1" s="1"/>
  <c r="J149" i="1"/>
  <c r="K222" i="1"/>
  <c r="F230" i="1"/>
  <c r="D231" i="1"/>
  <c r="E230" i="1" s="1"/>
  <c r="E232" i="1" s="1"/>
  <c r="E233" i="1" s="1"/>
  <c r="G30" i="1"/>
  <c r="H30" i="1" s="1"/>
  <c r="I30" i="1" s="1"/>
  <c r="J30" i="1" s="1"/>
  <c r="K30" i="1" s="1"/>
  <c r="G29" i="1"/>
  <c r="H29" i="1" s="1"/>
  <c r="I29" i="1" s="1"/>
  <c r="J29" i="1" s="1"/>
  <c r="K29" i="1" s="1"/>
  <c r="F232" i="1" l="1"/>
  <c r="F233" i="1" s="1"/>
  <c r="G233" i="1" s="1"/>
  <c r="G230" i="1"/>
  <c r="H233" i="1" l="1"/>
  <c r="I233" i="1" s="1"/>
  <c r="G240" i="1"/>
  <c r="J233" i="1" l="1"/>
  <c r="K233" i="1" l="1"/>
  <c r="F55" i="1" l="1"/>
  <c r="E55" i="1"/>
  <c r="D55" i="1"/>
  <c r="D54" i="1"/>
  <c r="F53" i="1"/>
  <c r="E53" i="1"/>
  <c r="H53" i="1"/>
  <c r="I53" i="1" s="1"/>
  <c r="J53" i="1" s="1"/>
  <c r="K53" i="1" s="1"/>
  <c r="D53" i="1"/>
  <c r="F56" i="1"/>
  <c r="E56" i="1"/>
  <c r="F52" i="1"/>
  <c r="E52" i="1"/>
  <c r="D56" i="1"/>
  <c r="D52" i="1"/>
  <c r="F51" i="1"/>
  <c r="E51" i="1"/>
  <c r="D51" i="1"/>
  <c r="F50" i="1"/>
  <c r="E50" i="1"/>
  <c r="D50" i="1"/>
  <c r="F48" i="1"/>
  <c r="E48" i="1"/>
  <c r="G186" i="1"/>
  <c r="H186" i="1" s="1"/>
  <c r="I186" i="1" s="1"/>
  <c r="J186" i="1" s="1"/>
  <c r="K186" i="1" s="1"/>
  <c r="G185" i="1"/>
  <c r="H185" i="1" s="1"/>
  <c r="I185" i="1" s="1"/>
  <c r="J185" i="1" s="1"/>
  <c r="K185" i="1" s="1"/>
  <c r="G184" i="1"/>
  <c r="H184" i="1" s="1"/>
  <c r="I184" i="1" s="1"/>
  <c r="J184" i="1" s="1"/>
  <c r="K184" i="1" s="1"/>
  <c r="G183" i="1"/>
  <c r="H183" i="1" s="1"/>
  <c r="I183" i="1" s="1"/>
  <c r="J183" i="1" s="1"/>
  <c r="K183" i="1" s="1"/>
  <c r="G50" i="1" l="1"/>
  <c r="H50" i="1" s="1"/>
  <c r="I50" i="1" s="1"/>
  <c r="J50" i="1" s="1"/>
  <c r="K50" i="1" s="1"/>
  <c r="G52" i="1"/>
  <c r="H52" i="1" s="1"/>
  <c r="I52" i="1" s="1"/>
  <c r="J52" i="1" s="1"/>
  <c r="K52" i="1" s="1"/>
  <c r="G51" i="1"/>
  <c r="H51" i="1" s="1"/>
  <c r="I51" i="1" s="1"/>
  <c r="J51" i="1" s="1"/>
  <c r="K51" i="1" s="1"/>
  <c r="H56" i="1"/>
  <c r="I56" i="1" s="1"/>
  <c r="J56" i="1" s="1"/>
  <c r="K56" i="1" s="1"/>
  <c r="H55" i="1"/>
  <c r="I55" i="1" s="1"/>
  <c r="J55" i="1" s="1"/>
  <c r="K55" i="1" s="1"/>
  <c r="F194" i="1"/>
  <c r="E194" i="1"/>
  <c r="F193" i="1"/>
  <c r="E193" i="1"/>
  <c r="F192" i="1"/>
  <c r="E192" i="1"/>
  <c r="F191" i="1"/>
  <c r="E191" i="1"/>
  <c r="K187" i="1"/>
  <c r="J187" i="1"/>
  <c r="J16" i="1" s="1"/>
  <c r="J269" i="1" s="1"/>
  <c r="I187" i="1"/>
  <c r="H187" i="1"/>
  <c r="G187" i="1"/>
  <c r="F187" i="1"/>
  <c r="F189" i="1" s="1"/>
  <c r="E187" i="1"/>
  <c r="E189" i="1" s="1"/>
  <c r="D187" i="1"/>
  <c r="D189" i="1" s="1"/>
  <c r="J280" i="1" l="1"/>
  <c r="J281" i="1"/>
  <c r="J151" i="1" s="1"/>
  <c r="J293" i="1"/>
  <c r="J270" i="1"/>
  <c r="J142" i="1"/>
  <c r="J202" i="1"/>
  <c r="J66" i="1" s="1"/>
  <c r="J22" i="1"/>
  <c r="J204" i="1"/>
  <c r="J69" i="1" s="1"/>
  <c r="J211" i="1"/>
  <c r="J95" i="1" s="1"/>
  <c r="J205" i="1"/>
  <c r="J71" i="1" s="1"/>
  <c r="J210" i="1"/>
  <c r="J94" i="1" s="1"/>
  <c r="J98" i="1"/>
  <c r="J203" i="1"/>
  <c r="J67" i="1" s="1"/>
  <c r="J175" i="1"/>
  <c r="J167" i="1"/>
  <c r="J130" i="1" s="1"/>
  <c r="J166" i="1"/>
  <c r="J141" i="1" s="1"/>
  <c r="J189" i="1"/>
  <c r="J24" i="1"/>
  <c r="J21" i="1"/>
  <c r="J20" i="1"/>
  <c r="J25" i="1"/>
  <c r="J19" i="1"/>
  <c r="G16" i="1"/>
  <c r="G269" i="1" s="1"/>
  <c r="H16" i="1"/>
  <c r="H269" i="1" s="1"/>
  <c r="I16" i="1"/>
  <c r="I269" i="1" s="1"/>
  <c r="K16" i="1"/>
  <c r="K269" i="1" s="1"/>
  <c r="H54" i="1"/>
  <c r="J131" i="1" l="1"/>
  <c r="J145" i="1"/>
  <c r="I280" i="1"/>
  <c r="I281" i="1"/>
  <c r="I151" i="1" s="1"/>
  <c r="I293" i="1"/>
  <c r="I142" i="1"/>
  <c r="I270" i="1"/>
  <c r="I202" i="1"/>
  <c r="I66" i="1" s="1"/>
  <c r="K280" i="1"/>
  <c r="K281" i="1"/>
  <c r="K151" i="1" s="1"/>
  <c r="K293" i="1"/>
  <c r="K142" i="1"/>
  <c r="K270" i="1"/>
  <c r="K202" i="1"/>
  <c r="K66" i="1" s="1"/>
  <c r="H293" i="1"/>
  <c r="H281" i="1"/>
  <c r="H151" i="1" s="1"/>
  <c r="H280" i="1"/>
  <c r="H270" i="1"/>
  <c r="H142" i="1"/>
  <c r="H202" i="1"/>
  <c r="H66" i="1" s="1"/>
  <c r="G270" i="1"/>
  <c r="G281" i="1"/>
  <c r="G151" i="1" s="1"/>
  <c r="G280" i="1"/>
  <c r="G202" i="1"/>
  <c r="G66" i="1" s="1"/>
  <c r="H175" i="1"/>
  <c r="H203" i="1"/>
  <c r="H67" i="1" s="1"/>
  <c r="H205" i="1"/>
  <c r="H71" i="1" s="1"/>
  <c r="H210" i="1"/>
  <c r="H94" i="1" s="1"/>
  <c r="H167" i="1"/>
  <c r="H130" i="1" s="1"/>
  <c r="H211" i="1"/>
  <c r="H95" i="1" s="1"/>
  <c r="H98" i="1"/>
  <c r="H166" i="1"/>
  <c r="H141" i="1" s="1"/>
  <c r="H145" i="1" s="1"/>
  <c r="H204" i="1"/>
  <c r="H69" i="1" s="1"/>
  <c r="H189" i="1"/>
  <c r="I204" i="1"/>
  <c r="I69" i="1" s="1"/>
  <c r="I211" i="1"/>
  <c r="I95" i="1" s="1"/>
  <c r="I210" i="1"/>
  <c r="I94" i="1" s="1"/>
  <c r="I98" i="1"/>
  <c r="I203" i="1"/>
  <c r="I67" i="1" s="1"/>
  <c r="I175" i="1"/>
  <c r="I205" i="1"/>
  <c r="I71" i="1" s="1"/>
  <c r="I166" i="1"/>
  <c r="I141" i="1" s="1"/>
  <c r="I167" i="1"/>
  <c r="G23" i="1"/>
  <c r="G175" i="1"/>
  <c r="G167" i="1"/>
  <c r="G203" i="1"/>
  <c r="G67" i="1" s="1"/>
  <c r="G166" i="1"/>
  <c r="G204" i="1"/>
  <c r="G69" i="1" s="1"/>
  <c r="G205" i="1"/>
  <c r="G71" i="1" s="1"/>
  <c r="G211" i="1"/>
  <c r="G95" i="1" s="1"/>
  <c r="G98" i="1"/>
  <c r="G210" i="1"/>
  <c r="G94" i="1" s="1"/>
  <c r="K210" i="1"/>
  <c r="K94" i="1" s="1"/>
  <c r="K98" i="1"/>
  <c r="K211" i="1"/>
  <c r="K95" i="1" s="1"/>
  <c r="K204" i="1"/>
  <c r="K69" i="1" s="1"/>
  <c r="K203" i="1"/>
  <c r="K67" i="1" s="1"/>
  <c r="K205" i="1"/>
  <c r="K71" i="1" s="1"/>
  <c r="K175" i="1"/>
  <c r="K166" i="1"/>
  <c r="K141" i="1" s="1"/>
  <c r="K167" i="1"/>
  <c r="K130" i="1" s="1"/>
  <c r="G189" i="1"/>
  <c r="K24" i="1"/>
  <c r="K21" i="1"/>
  <c r="K48" i="1"/>
  <c r="K20" i="1"/>
  <c r="K25" i="1"/>
  <c r="K19" i="1"/>
  <c r="K22" i="1"/>
  <c r="K189" i="1"/>
  <c r="I25" i="1"/>
  <c r="I24" i="1"/>
  <c r="I21" i="1"/>
  <c r="I48" i="1"/>
  <c r="I22" i="1"/>
  <c r="I20" i="1"/>
  <c r="I19" i="1"/>
  <c r="I189" i="1"/>
  <c r="J48" i="1"/>
  <c r="H20" i="1"/>
  <c r="H25" i="1"/>
  <c r="H24" i="1"/>
  <c r="H21" i="1"/>
  <c r="H48" i="1"/>
  <c r="H19" i="1"/>
  <c r="H22" i="1"/>
  <c r="G20" i="1"/>
  <c r="G48" i="1"/>
  <c r="G21" i="1"/>
  <c r="G19" i="1"/>
  <c r="G25" i="1"/>
  <c r="G22" i="1"/>
  <c r="G24" i="1"/>
  <c r="I54" i="1"/>
  <c r="H23" i="1"/>
  <c r="K145" i="1" l="1"/>
  <c r="G131" i="1"/>
  <c r="I131" i="1"/>
  <c r="H131" i="1"/>
  <c r="I130" i="1"/>
  <c r="G142" i="1"/>
  <c r="G271" i="1"/>
  <c r="H268" i="1" s="1"/>
  <c r="K131" i="1"/>
  <c r="I145" i="1"/>
  <c r="G282" i="1"/>
  <c r="G284" i="1"/>
  <c r="G103" i="1" s="1"/>
  <c r="G141" i="1"/>
  <c r="G168" i="1"/>
  <c r="G130" i="1"/>
  <c r="J54" i="1"/>
  <c r="I23" i="1"/>
  <c r="G80" i="1" l="1"/>
  <c r="H279" i="1"/>
  <c r="H282" i="1" s="1"/>
  <c r="H271" i="1"/>
  <c r="I268" i="1" s="1"/>
  <c r="G79" i="1"/>
  <c r="G77" i="1"/>
  <c r="H165" i="1"/>
  <c r="H168" i="1" s="1"/>
  <c r="K54" i="1"/>
  <c r="K23" i="1" s="1"/>
  <c r="J23" i="1"/>
  <c r="I271" i="1" l="1"/>
  <c r="J268" i="1" s="1"/>
  <c r="H79" i="1"/>
  <c r="I279" i="1"/>
  <c r="I282" i="1" s="1"/>
  <c r="H80" i="1"/>
  <c r="G145" i="1"/>
  <c r="I165" i="1"/>
  <c r="I168" i="1" s="1"/>
  <c r="H77" i="1"/>
  <c r="F44" i="1"/>
  <c r="F117" i="1"/>
  <c r="F119" i="1" s="1"/>
  <c r="E117" i="1"/>
  <c r="E119" i="1" s="1"/>
  <c r="D117" i="1"/>
  <c r="D119" i="1" s="1"/>
  <c r="G105" i="1"/>
  <c r="F105" i="1"/>
  <c r="E105" i="1"/>
  <c r="D105" i="1"/>
  <c r="F99" i="1"/>
  <c r="E99" i="1"/>
  <c r="D99" i="1"/>
  <c r="G84" i="1"/>
  <c r="F84" i="1"/>
  <c r="E84" i="1"/>
  <c r="D84" i="1"/>
  <c r="F74" i="1"/>
  <c r="E74" i="1"/>
  <c r="D74" i="1"/>
  <c r="F33" i="1"/>
  <c r="E33" i="1"/>
  <c r="D33" i="1"/>
  <c r="F18" i="1"/>
  <c r="E18" i="1"/>
  <c r="D18" i="1"/>
  <c r="D107" i="1" l="1"/>
  <c r="D121" i="1" s="1"/>
  <c r="F86" i="1"/>
  <c r="D86" i="1"/>
  <c r="H84" i="1"/>
  <c r="I80" i="1"/>
  <c r="J279" i="1"/>
  <c r="J282" i="1" s="1"/>
  <c r="J271" i="1"/>
  <c r="K268" i="1" s="1"/>
  <c r="I79" i="1"/>
  <c r="E86" i="1"/>
  <c r="E107" i="1"/>
  <c r="E121" i="1" s="1"/>
  <c r="J165" i="1"/>
  <c r="J168" i="1" s="1"/>
  <c r="I77" i="1"/>
  <c r="D26" i="1"/>
  <c r="D41" i="1" s="1"/>
  <c r="D42" i="1" s="1"/>
  <c r="D49" i="1"/>
  <c r="E26" i="1"/>
  <c r="E41" i="1" s="1"/>
  <c r="E42" i="1" s="1"/>
  <c r="E49" i="1"/>
  <c r="F26" i="1"/>
  <c r="F49" i="1"/>
  <c r="F107" i="1"/>
  <c r="F121" i="1" s="1"/>
  <c r="F123" i="1" s="1"/>
  <c r="O90" i="2"/>
  <c r="P90" i="2" s="1"/>
  <c r="Q90" i="2" s="1"/>
  <c r="G90" i="2"/>
  <c r="F90" i="2" s="1"/>
  <c r="E90" i="2" s="1"/>
  <c r="E123" i="1" l="1"/>
  <c r="D123" i="1"/>
  <c r="I84" i="1"/>
  <c r="K271" i="1"/>
  <c r="K79" i="1" s="1"/>
  <c r="J79" i="1"/>
  <c r="K279" i="1"/>
  <c r="K282" i="1" s="1"/>
  <c r="K80" i="1" s="1"/>
  <c r="J80" i="1"/>
  <c r="D34" i="1"/>
  <c r="D57" i="1" s="1"/>
  <c r="F34" i="1"/>
  <c r="F37" i="1" s="1"/>
  <c r="F41" i="1"/>
  <c r="K165" i="1"/>
  <c r="K168" i="1" s="1"/>
  <c r="K77" i="1" s="1"/>
  <c r="J77" i="1"/>
  <c r="E34" i="1"/>
  <c r="E57" i="1" s="1"/>
  <c r="G49" i="1"/>
  <c r="H49" i="1" s="1"/>
  <c r="H90" i="2"/>
  <c r="I90" i="2" s="1"/>
  <c r="N90" i="2"/>
  <c r="M90" i="2" s="1"/>
  <c r="F42" i="1" l="1"/>
  <c r="D16" i="2"/>
  <c r="D17" i="2" s="1"/>
  <c r="D37" i="1"/>
  <c r="D38" i="1" s="1"/>
  <c r="D250" i="1" s="1"/>
  <c r="D261" i="1" s="1"/>
  <c r="J84" i="1"/>
  <c r="F57" i="1"/>
  <c r="K84" i="1"/>
  <c r="G18" i="1"/>
  <c r="G17" i="1" s="1"/>
  <c r="E37" i="1"/>
  <c r="E262" i="1" s="1"/>
  <c r="F38" i="1"/>
  <c r="F262" i="1"/>
  <c r="I49" i="1"/>
  <c r="H18" i="1"/>
  <c r="H4" i="2"/>
  <c r="D93" i="2"/>
  <c r="L102" i="2"/>
  <c r="D102" i="2"/>
  <c r="L93" i="2"/>
  <c r="B3" i="2"/>
  <c r="Q130" i="2"/>
  <c r="O130" i="2"/>
  <c r="Q129" i="2"/>
  <c r="O129" i="2"/>
  <c r="G129" i="2"/>
  <c r="Q128" i="2"/>
  <c r="O128" i="2"/>
  <c r="G128" i="2"/>
  <c r="D130" i="2"/>
  <c r="E129" i="2"/>
  <c r="C129" i="2"/>
  <c r="B129" i="2"/>
  <c r="E128" i="2"/>
  <c r="C128" i="2"/>
  <c r="C44" i="2" l="1"/>
  <c r="C51" i="2" s="1"/>
  <c r="D262" i="1"/>
  <c r="G262" i="1" s="1"/>
  <c r="H262" i="1" s="1"/>
  <c r="I262" i="1" s="1"/>
  <c r="J262" i="1" s="1"/>
  <c r="K262" i="1" s="1"/>
  <c r="G26" i="1"/>
  <c r="G41" i="1" s="1"/>
  <c r="E38" i="1"/>
  <c r="E250" i="1" s="1"/>
  <c r="E261" i="1" s="1"/>
  <c r="G209" i="1"/>
  <c r="G93" i="1" s="1"/>
  <c r="G201" i="1"/>
  <c r="F45" i="1"/>
  <c r="F250" i="1"/>
  <c r="F261" i="1" s="1"/>
  <c r="H261" i="1"/>
  <c r="I261" i="1" s="1"/>
  <c r="J261" i="1" s="1"/>
  <c r="K261" i="1" s="1"/>
  <c r="H17" i="1"/>
  <c r="H26" i="1"/>
  <c r="J49" i="1"/>
  <c r="I18" i="1"/>
  <c r="L94" i="2"/>
  <c r="L95" i="2" s="1"/>
  <c r="L92" i="2"/>
  <c r="L91" i="2" s="1"/>
  <c r="D103" i="2"/>
  <c r="D104" i="2" s="1"/>
  <c r="D101" i="2"/>
  <c r="D100" i="2" s="1"/>
  <c r="L101" i="2"/>
  <c r="L100" i="2" s="1"/>
  <c r="L103" i="2"/>
  <c r="L104" i="2" s="1"/>
  <c r="D94" i="2"/>
  <c r="D95" i="2" s="1"/>
  <c r="D92" i="2"/>
  <c r="D91" i="2" s="1"/>
  <c r="P129" i="2"/>
  <c r="D128" i="2"/>
  <c r="P128" i="2"/>
  <c r="P130" i="2"/>
  <c r="D129" i="2"/>
  <c r="G42" i="1" l="1"/>
  <c r="E16" i="2"/>
  <c r="G258" i="1"/>
  <c r="H258" i="1" s="1"/>
  <c r="I258" i="1" s="1"/>
  <c r="J258" i="1" s="1"/>
  <c r="K258" i="1" s="1"/>
  <c r="G206" i="1"/>
  <c r="G65" i="1"/>
  <c r="H201" i="1"/>
  <c r="H209" i="1"/>
  <c r="H93" i="1" s="1"/>
  <c r="H41" i="1"/>
  <c r="I17" i="1"/>
  <c r="I26" i="1"/>
  <c r="K49" i="1"/>
  <c r="K18" i="1" s="1"/>
  <c r="J18" i="1"/>
  <c r="B3" i="3"/>
  <c r="B35" i="2"/>
  <c r="H42" i="1" l="1"/>
  <c r="F16" i="2"/>
  <c r="F17" i="2" s="1"/>
  <c r="E17" i="2"/>
  <c r="C16" i="2"/>
  <c r="G259" i="1"/>
  <c r="G118" i="1" s="1"/>
  <c r="H65" i="1"/>
  <c r="H206" i="1"/>
  <c r="I201" i="1"/>
  <c r="I209" i="1"/>
  <c r="I93" i="1" s="1"/>
  <c r="I41" i="1"/>
  <c r="K17" i="1"/>
  <c r="K26" i="1"/>
  <c r="J17" i="1"/>
  <c r="J26" i="1"/>
  <c r="C12" i="2"/>
  <c r="D37" i="2"/>
  <c r="D12" i="2"/>
  <c r="E12" i="2" s="1"/>
  <c r="D5" i="2"/>
  <c r="I42" i="1" l="1"/>
  <c r="G16" i="2"/>
  <c r="G17" i="2" s="1"/>
  <c r="H256" i="1"/>
  <c r="H259" i="1" s="1"/>
  <c r="I65" i="1"/>
  <c r="I206" i="1"/>
  <c r="J201" i="1"/>
  <c r="J209" i="1"/>
  <c r="J93" i="1" s="1"/>
  <c r="K209" i="1"/>
  <c r="K93" i="1" s="1"/>
  <c r="K201" i="1"/>
  <c r="I256" i="1"/>
  <c r="I259" i="1" s="1"/>
  <c r="H118" i="1"/>
  <c r="J41" i="1"/>
  <c r="K41" i="1"/>
  <c r="F12" i="2"/>
  <c r="J42" i="1" l="1"/>
  <c r="H16" i="2"/>
  <c r="H17" i="2" s="1"/>
  <c r="K42" i="1"/>
  <c r="I16" i="2"/>
  <c r="J256" i="1"/>
  <c r="J259" i="1" s="1"/>
  <c r="I118" i="1"/>
  <c r="J65" i="1"/>
  <c r="J206" i="1"/>
  <c r="K65" i="1"/>
  <c r="K206" i="1"/>
  <c r="C38" i="2"/>
  <c r="E38" i="2" s="1"/>
  <c r="G12" i="2"/>
  <c r="I17" i="2" l="1"/>
  <c r="I42" i="2"/>
  <c r="I44" i="2" s="1"/>
  <c r="I51" i="2" s="1"/>
  <c r="K256" i="1"/>
  <c r="K259" i="1" s="1"/>
  <c r="K118" i="1" s="1"/>
  <c r="J118" i="1"/>
  <c r="H12" i="2"/>
  <c r="I12" i="2" l="1"/>
  <c r="B43" i="2" l="1"/>
  <c r="E44" i="2"/>
  <c r="B44" i="2"/>
  <c r="F13" i="1" l="1"/>
  <c r="F290" i="1" s="1"/>
  <c r="F14" i="1"/>
  <c r="F291" i="1" s="1"/>
  <c r="F265" i="1" l="1"/>
  <c r="F276" i="1"/>
  <c r="F266" i="1"/>
  <c r="F277" i="1"/>
  <c r="F60" i="1"/>
  <c r="F245" i="1"/>
  <c r="F246" i="1"/>
  <c r="F227" i="1"/>
  <c r="F198" i="1"/>
  <c r="F226" i="1"/>
  <c r="F197" i="1"/>
  <c r="F181" i="1"/>
  <c r="F163" i="1"/>
  <c r="F180" i="1"/>
  <c r="F162" i="1"/>
  <c r="F61" i="1"/>
  <c r="G13" i="1"/>
  <c r="G290" i="1" s="1"/>
  <c r="E13" i="1"/>
  <c r="E290" i="1" s="1"/>
  <c r="E265" i="1" l="1"/>
  <c r="E276" i="1"/>
  <c r="G265" i="1"/>
  <c r="G276" i="1"/>
  <c r="E60" i="1"/>
  <c r="G60" i="1"/>
  <c r="E245" i="1"/>
  <c r="G245" i="1"/>
  <c r="G226" i="1"/>
  <c r="G197" i="1"/>
  <c r="E226" i="1"/>
  <c r="E197" i="1"/>
  <c r="G180" i="1"/>
  <c r="E162" i="1"/>
  <c r="E180" i="1"/>
  <c r="D13" i="1"/>
  <c r="D290" i="1" s="1"/>
  <c r="H13" i="1"/>
  <c r="H290" i="1" s="1"/>
  <c r="G162" i="1"/>
  <c r="G126" i="1"/>
  <c r="H265" i="1" l="1"/>
  <c r="H276" i="1"/>
  <c r="D265" i="1"/>
  <c r="D276" i="1"/>
  <c r="D60" i="1"/>
  <c r="H60" i="1"/>
  <c r="D245" i="1"/>
  <c r="H245" i="1"/>
  <c r="D197" i="1"/>
  <c r="D226" i="1"/>
  <c r="H197" i="1"/>
  <c r="H226" i="1"/>
  <c r="H180" i="1"/>
  <c r="D180" i="1"/>
  <c r="D162" i="1"/>
  <c r="I13" i="1"/>
  <c r="I290" i="1" s="1"/>
  <c r="H162" i="1"/>
  <c r="H126" i="1"/>
  <c r="I265" i="1" l="1"/>
  <c r="I276" i="1"/>
  <c r="I60" i="1"/>
  <c r="I245" i="1"/>
  <c r="I226" i="1"/>
  <c r="I197" i="1"/>
  <c r="I180" i="1"/>
  <c r="J13" i="1"/>
  <c r="J290" i="1" s="1"/>
  <c r="I162" i="1"/>
  <c r="I126" i="1"/>
  <c r="J265" i="1" l="1"/>
  <c r="J276" i="1"/>
  <c r="J60" i="1"/>
  <c r="J245" i="1"/>
  <c r="J226" i="1"/>
  <c r="J197" i="1"/>
  <c r="J180" i="1"/>
  <c r="K13" i="1"/>
  <c r="K290" i="1" s="1"/>
  <c r="J162" i="1"/>
  <c r="J126" i="1"/>
  <c r="K265" i="1" l="1"/>
  <c r="K276" i="1"/>
  <c r="K60" i="1"/>
  <c r="K245" i="1"/>
  <c r="K226" i="1"/>
  <c r="K197" i="1"/>
  <c r="K180" i="1"/>
  <c r="K162" i="1"/>
  <c r="K126" i="1"/>
  <c r="C2" i="1" l="1"/>
  <c r="G14" i="1"/>
  <c r="G291" i="1" s="1"/>
  <c r="G266" i="1" l="1"/>
  <c r="G277" i="1"/>
  <c r="G246" i="1"/>
  <c r="G227" i="1"/>
  <c r="G198" i="1"/>
  <c r="G181" i="1"/>
  <c r="G163" i="1"/>
  <c r="G127" i="1"/>
  <c r="G61" i="1"/>
  <c r="H14" i="1"/>
  <c r="H291" i="1" s="1"/>
  <c r="E14" i="1"/>
  <c r="E291" i="1" s="1"/>
  <c r="H266" i="1" l="1"/>
  <c r="H277" i="1"/>
  <c r="E266" i="1"/>
  <c r="E277" i="1"/>
  <c r="E246" i="1"/>
  <c r="H246" i="1"/>
  <c r="E227" i="1"/>
  <c r="E198" i="1"/>
  <c r="H198" i="1"/>
  <c r="H227" i="1"/>
  <c r="H181" i="1"/>
  <c r="E181" i="1"/>
  <c r="E163" i="1"/>
  <c r="H163" i="1"/>
  <c r="H127" i="1"/>
  <c r="H61" i="1"/>
  <c r="E61" i="1"/>
  <c r="D14" i="1"/>
  <c r="D291" i="1" s="1"/>
  <c r="I14" i="1"/>
  <c r="I291" i="1" s="1"/>
  <c r="I266" i="1" l="1"/>
  <c r="I277" i="1"/>
  <c r="D266" i="1"/>
  <c r="D277" i="1"/>
  <c r="D246" i="1"/>
  <c r="I246" i="1"/>
  <c r="D198" i="1"/>
  <c r="D227" i="1"/>
  <c r="I227" i="1"/>
  <c r="I198" i="1"/>
  <c r="I181" i="1"/>
  <c r="D181" i="1"/>
  <c r="D163" i="1"/>
  <c r="I163" i="1"/>
  <c r="I127" i="1"/>
  <c r="I61" i="1"/>
  <c r="D61" i="1"/>
  <c r="J14" i="1"/>
  <c r="J291" i="1" s="1"/>
  <c r="J266" i="1" l="1"/>
  <c r="J277" i="1"/>
  <c r="J246" i="1"/>
  <c r="J227" i="1"/>
  <c r="J198" i="1"/>
  <c r="J181" i="1"/>
  <c r="J163" i="1"/>
  <c r="J127" i="1"/>
  <c r="J61" i="1"/>
  <c r="K14" i="1"/>
  <c r="K291" i="1" s="1"/>
  <c r="K266" i="1" l="1"/>
  <c r="K277" i="1"/>
  <c r="K246" i="1"/>
  <c r="K227" i="1"/>
  <c r="K198" i="1"/>
  <c r="K181" i="1"/>
  <c r="K163" i="1"/>
  <c r="K127" i="1"/>
  <c r="K61" i="1"/>
  <c r="G99" i="2" l="1"/>
  <c r="F99" i="2" s="1"/>
  <c r="E99" i="2" s="1"/>
  <c r="O99" i="2"/>
  <c r="P99" i="2" s="1"/>
  <c r="Q99" i="2" s="1"/>
  <c r="G130" i="2" l="1"/>
  <c r="N99" i="2"/>
  <c r="M99" i="2" s="1"/>
  <c r="H99" i="2"/>
  <c r="I99" i="2" s="1"/>
  <c r="B128" i="2" s="1"/>
  <c r="G97" i="1" l="1"/>
  <c r="H283" i="1"/>
  <c r="H284" i="1" s="1"/>
  <c r="I283" i="1" s="1"/>
  <c r="I284" i="1" s="1"/>
  <c r="G32" i="1"/>
  <c r="G293" i="1"/>
  <c r="I97" i="1" l="1"/>
  <c r="I103" i="1"/>
  <c r="I105" i="1" s="1"/>
  <c r="J283" i="1"/>
  <c r="J284" i="1" s="1"/>
  <c r="H97" i="1"/>
  <c r="H103" i="1"/>
  <c r="H105" i="1" s="1"/>
  <c r="J103" i="1" l="1"/>
  <c r="J105" i="1" s="1"/>
  <c r="K283" i="1"/>
  <c r="K284" i="1" s="1"/>
  <c r="J97" i="1"/>
  <c r="K97" i="1" l="1"/>
  <c r="K103" i="1"/>
  <c r="K105" i="1" s="1"/>
  <c r="G27" i="1"/>
  <c r="G33" i="1"/>
  <c r="G34" i="1"/>
  <c r="G37" i="1" s="1"/>
  <c r="G35" i="1"/>
  <c r="G212" i="1" s="1"/>
  <c r="G242" i="1"/>
  <c r="G214" i="1" l="1"/>
  <c r="G216" i="1" s="1"/>
  <c r="G96" i="1"/>
  <c r="G129" i="1"/>
  <c r="G132" i="1" s="1"/>
  <c r="G38" i="1"/>
  <c r="G45" i="1" l="1"/>
  <c r="G250" i="1"/>
  <c r="G136" i="1"/>
  <c r="G137" i="1" s="1"/>
  <c r="G217" i="1"/>
  <c r="G218" i="1"/>
  <c r="G135" i="1" s="1"/>
  <c r="G251" i="1" l="1"/>
  <c r="G150" i="1" s="1"/>
  <c r="G294" i="1" s="1"/>
  <c r="G296" i="1" s="1"/>
  <c r="G253" i="1"/>
  <c r="G91" i="1" l="1"/>
  <c r="H295" i="1"/>
  <c r="G297" i="1"/>
  <c r="G152" i="1" s="1"/>
  <c r="G153" i="1" s="1"/>
  <c r="G155" i="1" s="1"/>
  <c r="G157" i="1" s="1"/>
  <c r="G72" i="1" s="1"/>
  <c r="G116" i="1"/>
  <c r="G117" i="1" s="1"/>
  <c r="G119" i="1" s="1"/>
  <c r="H249" i="1"/>
  <c r="G74" i="1" l="1"/>
  <c r="G86" i="1" s="1"/>
  <c r="H156" i="1"/>
  <c r="G236" i="1"/>
  <c r="H237" i="1" s="1"/>
  <c r="H241" i="1" s="1"/>
  <c r="H27" i="1" s="1"/>
  <c r="G99" i="1"/>
  <c r="G107" i="1" s="1"/>
  <c r="G121" i="1" s="1"/>
  <c r="G231" i="1"/>
  <c r="G232" i="1" l="1"/>
  <c r="H230" i="1"/>
  <c r="G123" i="1"/>
  <c r="H240" i="1" l="1"/>
  <c r="H242" i="1" l="1"/>
  <c r="H32" i="1"/>
  <c r="H33" i="1" s="1"/>
  <c r="H34" i="1" s="1"/>
  <c r="H35" i="1" l="1"/>
  <c r="H212" i="1" s="1"/>
  <c r="H37" i="1"/>
  <c r="H38" i="1" l="1"/>
  <c r="H129" i="1"/>
  <c r="H132" i="1" s="1"/>
  <c r="H214" i="1"/>
  <c r="H216" i="1" s="1"/>
  <c r="H96" i="1"/>
  <c r="H217" i="1" l="1"/>
  <c r="H218" i="1"/>
  <c r="H135" i="1" s="1"/>
  <c r="H136" i="1"/>
  <c r="H137" i="1" s="1"/>
  <c r="H250" i="1"/>
  <c r="H45" i="1"/>
  <c r="H251" i="1" l="1"/>
  <c r="H150" i="1" s="1"/>
  <c r="H253" i="1"/>
  <c r="H116" i="1" l="1"/>
  <c r="H117" i="1" s="1"/>
  <c r="H119" i="1" s="1"/>
  <c r="I249" i="1"/>
  <c r="H294" i="1"/>
  <c r="H296" i="1" s="1"/>
  <c r="H91" i="1" l="1"/>
  <c r="H297" i="1"/>
  <c r="H152" i="1" s="1"/>
  <c r="H153" i="1" s="1"/>
  <c r="H155" i="1" s="1"/>
  <c r="H157" i="1" s="1"/>
  <c r="H72" i="1" s="1"/>
  <c r="I295" i="1"/>
  <c r="H74" i="1" l="1"/>
  <c r="H86" i="1" s="1"/>
  <c r="I156" i="1"/>
  <c r="H236" i="1"/>
  <c r="I237" i="1" s="1"/>
  <c r="I241" i="1" s="1"/>
  <c r="I27" i="1" s="1"/>
  <c r="H231" i="1"/>
  <c r="H99" i="1"/>
  <c r="H107" i="1" s="1"/>
  <c r="H121" i="1" s="1"/>
  <c r="H123" i="1" l="1"/>
  <c r="I230" i="1"/>
  <c r="H232" i="1"/>
  <c r="I240" i="1" l="1"/>
  <c r="I32" i="1" l="1"/>
  <c r="I33" i="1" s="1"/>
  <c r="I34" i="1" s="1"/>
  <c r="I242" i="1"/>
  <c r="I35" i="1" l="1"/>
  <c r="I212" i="1" s="1"/>
  <c r="I214" i="1" l="1"/>
  <c r="I216" i="1" s="1"/>
  <c r="I96" i="1"/>
  <c r="I37" i="1"/>
  <c r="I38" i="1" l="1"/>
  <c r="I129" i="1"/>
  <c r="I132" i="1" s="1"/>
  <c r="I136" i="1" s="1"/>
  <c r="I137" i="1" s="1"/>
  <c r="I217" i="1"/>
  <c r="I218" i="1"/>
  <c r="I135" i="1" s="1"/>
  <c r="I45" i="1" l="1"/>
  <c r="I250" i="1"/>
  <c r="I251" i="1" l="1"/>
  <c r="I150" i="1" s="1"/>
  <c r="I253" i="1"/>
  <c r="I116" i="1" l="1"/>
  <c r="I117" i="1" s="1"/>
  <c r="I119" i="1" s="1"/>
  <c r="J249" i="1"/>
  <c r="I294" i="1"/>
  <c r="I296" i="1" s="1"/>
  <c r="I91" i="1" l="1"/>
  <c r="J295" i="1"/>
  <c r="I297" i="1"/>
  <c r="I152" i="1" s="1"/>
  <c r="I153" i="1" s="1"/>
  <c r="I155" i="1" s="1"/>
  <c r="I157" i="1" s="1"/>
  <c r="I72" i="1" s="1"/>
  <c r="I74" i="1" l="1"/>
  <c r="I86" i="1" s="1"/>
  <c r="J156" i="1"/>
  <c r="I236" i="1"/>
  <c r="J237" i="1" s="1"/>
  <c r="J241" i="1" s="1"/>
  <c r="J27" i="1" s="1"/>
  <c r="I99" i="1"/>
  <c r="I107" i="1" s="1"/>
  <c r="I121" i="1" s="1"/>
  <c r="I231" i="1"/>
  <c r="J230" i="1" l="1"/>
  <c r="I232" i="1"/>
  <c r="I123" i="1"/>
  <c r="J240" i="1" l="1"/>
  <c r="J32" i="1" l="1"/>
  <c r="J33" i="1" s="1"/>
  <c r="J34" i="1" s="1"/>
  <c r="J242" i="1"/>
  <c r="J35" i="1" l="1"/>
  <c r="J212" i="1" s="1"/>
  <c r="J37" i="1"/>
  <c r="J129" i="1" l="1"/>
  <c r="J132" i="1" s="1"/>
  <c r="J38" i="1"/>
  <c r="J96" i="1"/>
  <c r="J214" i="1"/>
  <c r="J216" i="1" s="1"/>
  <c r="J217" i="1" l="1"/>
  <c r="J218" i="1"/>
  <c r="J135" i="1" s="1"/>
  <c r="J136" i="1" s="1"/>
  <c r="J137" i="1" s="1"/>
  <c r="J45" i="1"/>
  <c r="J250" i="1"/>
  <c r="J251" i="1" l="1"/>
  <c r="J150" i="1" s="1"/>
  <c r="J253" i="1"/>
  <c r="J116" i="1" l="1"/>
  <c r="J117" i="1" s="1"/>
  <c r="J119" i="1" s="1"/>
  <c r="K249" i="1"/>
  <c r="J294" i="1"/>
  <c r="J296" i="1" s="1"/>
  <c r="J297" i="1" l="1"/>
  <c r="J152" i="1" s="1"/>
  <c r="J153" i="1" s="1"/>
  <c r="J155" i="1" s="1"/>
  <c r="J157" i="1" s="1"/>
  <c r="J72" i="1" s="1"/>
  <c r="J91" i="1"/>
  <c r="K295" i="1"/>
  <c r="J99" i="1" l="1"/>
  <c r="J107" i="1" s="1"/>
  <c r="J121" i="1" s="1"/>
  <c r="J231" i="1"/>
  <c r="J236" i="1"/>
  <c r="K237" i="1" s="1"/>
  <c r="K241" i="1" s="1"/>
  <c r="K27" i="1" s="1"/>
  <c r="J74" i="1"/>
  <c r="J86" i="1" s="1"/>
  <c r="K156" i="1"/>
  <c r="K230" i="1" l="1"/>
  <c r="J232" i="1"/>
  <c r="J123" i="1"/>
  <c r="K240" i="1" l="1"/>
  <c r="K32" i="1" l="1"/>
  <c r="K33" i="1" s="1"/>
  <c r="K34" i="1" s="1"/>
  <c r="K242" i="1"/>
  <c r="K35" i="1" l="1"/>
  <c r="K212" i="1" s="1"/>
  <c r="K37" i="1"/>
  <c r="K129" i="1" l="1"/>
  <c r="K132" i="1" s="1"/>
  <c r="K38" i="1"/>
  <c r="K214" i="1"/>
  <c r="K216" i="1" s="1"/>
  <c r="K96" i="1"/>
  <c r="K217" i="1" l="1"/>
  <c r="K218" i="1"/>
  <c r="K135" i="1" s="1"/>
  <c r="K136" i="1" s="1"/>
  <c r="K137" i="1" s="1"/>
  <c r="K45" i="1"/>
  <c r="K250" i="1"/>
  <c r="K294" i="1" l="1"/>
  <c r="K296" i="1" s="1"/>
  <c r="K251" i="1"/>
  <c r="K150" i="1" s="1"/>
  <c r="K253" i="1"/>
  <c r="K116" i="1" s="1"/>
  <c r="K117" i="1" s="1"/>
  <c r="K119" i="1" s="1"/>
  <c r="K91" i="1" l="1"/>
  <c r="K297" i="1"/>
  <c r="K152" i="1" s="1"/>
  <c r="K153" i="1" s="1"/>
  <c r="K155" i="1" s="1"/>
  <c r="K157" i="1" s="1"/>
  <c r="K72" i="1" s="1"/>
  <c r="K74" i="1" l="1"/>
  <c r="K86" i="1" s="1"/>
  <c r="K236" i="1"/>
  <c r="K231" i="1"/>
  <c r="K232" i="1" s="1"/>
  <c r="K99" i="1"/>
  <c r="K107" i="1" s="1"/>
  <c r="K121" i="1" s="1"/>
  <c r="K123" i="1" l="1"/>
  <c r="E39" i="2"/>
  <c r="F39" i="2"/>
  <c r="G39" i="2"/>
  <c r="H39" i="2"/>
  <c r="I39" i="2"/>
  <c r="C45" i="2"/>
  <c r="I45" i="2"/>
  <c r="C46" i="2" l="1"/>
  <c r="C47" i="2" s="1"/>
  <c r="C69" i="2" s="1"/>
  <c r="C71" i="2" s="1"/>
  <c r="C73" i="2" s="1"/>
  <c r="C84" i="2" l="1"/>
  <c r="C78" i="2"/>
  <c r="L90" i="2" s="1"/>
  <c r="C83" i="2"/>
  <c r="C82" i="2"/>
  <c r="C77" i="2"/>
  <c r="C79" i="2"/>
  <c r="I46" i="2"/>
  <c r="I47" i="2" s="1"/>
  <c r="D69" i="2" s="1"/>
  <c r="C49" i="2"/>
  <c r="C50" i="2" s="1"/>
  <c r="D90" i="2"/>
  <c r="H7" i="2"/>
  <c r="H8" i="2" s="1"/>
  <c r="I49" i="2" l="1"/>
  <c r="I50" i="2" s="1"/>
  <c r="D84" i="2"/>
  <c r="D79" i="2"/>
  <c r="D83" i="2"/>
  <c r="D71" i="2"/>
  <c r="D73" i="2" s="1"/>
  <c r="D99" i="2" s="1"/>
  <c r="D82" i="2"/>
  <c r="D78" i="2"/>
  <c r="L99" i="2" s="1"/>
  <c r="D7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Wall Street Prep</author>
  </authors>
  <commentList>
    <comment ref="I51" authorId="0" shapeId="0" xr:uid="{65263DF4-CE99-4120-A0D7-D7E28929D0EC}">
      <text>
        <r>
          <rPr>
            <b/>
            <sz val="9"/>
            <color indexed="81"/>
            <rFont val="Tahoma"/>
            <family val="2"/>
          </rPr>
          <t>Wall Street Prep:</t>
        </r>
        <r>
          <rPr>
            <sz val="9"/>
            <color indexed="81"/>
            <rFont val="Tahoma"/>
            <family val="2"/>
          </rPr>
          <t xml:space="preserve">
Implied g = [r -FCF(t)/TV]/(1+FCF(t)/TV)</t>
        </r>
      </text>
    </comment>
  </commentList>
</comments>
</file>

<file path=xl/sharedStrings.xml><?xml version="1.0" encoding="utf-8"?>
<sst xmlns="http://schemas.openxmlformats.org/spreadsheetml/2006/main" count="392" uniqueCount="310">
  <si>
    <t>Company Name</t>
  </si>
  <si>
    <t>Ticker</t>
  </si>
  <si>
    <t>Last Historical Year</t>
  </si>
  <si>
    <t>ASSETS</t>
  </si>
  <si>
    <t>Current Assets</t>
  </si>
  <si>
    <t>Total Current Assets</t>
  </si>
  <si>
    <t>Non-Current Assets</t>
  </si>
  <si>
    <t>Total Non-Current Assets</t>
  </si>
  <si>
    <t>Total Assets</t>
  </si>
  <si>
    <t>LIABILITIES AND EQUITY</t>
  </si>
  <si>
    <t>Current Liabilities</t>
  </si>
  <si>
    <t>Total Current Liabilities</t>
  </si>
  <si>
    <t>Non-Current Liabilities</t>
  </si>
  <si>
    <t>Total Non-Current Liabilities</t>
  </si>
  <si>
    <t>Total Liabilities</t>
  </si>
  <si>
    <t>Equity</t>
  </si>
  <si>
    <t>Total Equity</t>
  </si>
  <si>
    <t>Total Liabilites &amp; Equity</t>
  </si>
  <si>
    <t>Balance Check</t>
  </si>
  <si>
    <t>Cash Generated from Operations</t>
  </si>
  <si>
    <t>CASH FLOWS FROM INVESTING ACTIVITIES</t>
  </si>
  <si>
    <t>CASH FLOWS FROM FINANCING ACTIVITIES</t>
  </si>
  <si>
    <t>Reconciliation Check vs BS Cash</t>
  </si>
  <si>
    <t>Depreciation &amp; amortization</t>
  </si>
  <si>
    <t>EBITDA</t>
  </si>
  <si>
    <t>Revenue growth</t>
  </si>
  <si>
    <t>Tax rate</t>
  </si>
  <si>
    <t>Growth Rates &amp; Margins</t>
  </si>
  <si>
    <t>Latest Closing Share Price</t>
  </si>
  <si>
    <t>Latest Closing Share Price Date</t>
  </si>
  <si>
    <t>Shares outstanding</t>
  </si>
  <si>
    <t>PROPERTY, PLANT &amp; EQUIPMENT</t>
  </si>
  <si>
    <t>Beginning of period</t>
  </si>
  <si>
    <t>Plus: Capital expenditures</t>
  </si>
  <si>
    <t>Less: Depreciation</t>
  </si>
  <si>
    <t>End of period</t>
  </si>
  <si>
    <t>IMPUTING TOTAL DEPRECIATION &amp; AMORTIZATION</t>
  </si>
  <si>
    <t>D&amp;A not related to PP&amp;E</t>
  </si>
  <si>
    <t>as % of revenue</t>
  </si>
  <si>
    <t xml:space="preserve">Depreciation &amp; Amortization - Total </t>
  </si>
  <si>
    <t>Dividend payout ratio</t>
  </si>
  <si>
    <t>% growth</t>
  </si>
  <si>
    <t>Basic EPS (EGP)</t>
  </si>
  <si>
    <t>INCOME STATEMENT</t>
  </si>
  <si>
    <t xml:space="preserve">Fiscal year  </t>
  </si>
  <si>
    <t>Fiscal year end date</t>
  </si>
  <si>
    <t>BALANCE SHEET</t>
  </si>
  <si>
    <t>CASH FLOW STATEMENT</t>
  </si>
  <si>
    <t>Discounted Cash Flow Valuation</t>
  </si>
  <si>
    <t>Most recent fiscal year end</t>
  </si>
  <si>
    <t>Discount rate (WACC)</t>
  </si>
  <si>
    <t>Link from WACC</t>
  </si>
  <si>
    <t>End of first fiscal year</t>
  </si>
  <si>
    <t>Share price (Public Co)</t>
  </si>
  <si>
    <t>Most recent quarter end date</t>
  </si>
  <si>
    <t>Share price date</t>
  </si>
  <si>
    <t xml:space="preserve">Valuation date </t>
  </si>
  <si>
    <t>Portion of First Year Cash Flows</t>
  </si>
  <si>
    <t>Unlevered Free Cash Flows</t>
  </si>
  <si>
    <t>LTM</t>
  </si>
  <si>
    <t>Actual</t>
  </si>
  <si>
    <t>Forecasts</t>
  </si>
  <si>
    <t>Fiscal year ended</t>
  </si>
  <si>
    <t>Revenue</t>
  </si>
  <si>
    <t>% margin</t>
  </si>
  <si>
    <t>EBIT</t>
  </si>
  <si>
    <t>Tax on EBIT</t>
  </si>
  <si>
    <t>NOPAT (aka EBIAT)</t>
  </si>
  <si>
    <t>Changes in net working capital</t>
  </si>
  <si>
    <t>Capital expenditures</t>
  </si>
  <si>
    <t>Unlevered free cash flows (UFCF)</t>
  </si>
  <si>
    <t>Net working capital (WC Assets - WC liabilities)</t>
  </si>
  <si>
    <t>Val date</t>
  </si>
  <si>
    <t xml:space="preserve">Yr 1 - Stub </t>
  </si>
  <si>
    <t>Year 2</t>
  </si>
  <si>
    <t>Year 3</t>
  </si>
  <si>
    <t>Year 4</t>
  </si>
  <si>
    <t>Year 5</t>
  </si>
  <si>
    <t>Date for discounting cash flows</t>
  </si>
  <si>
    <t>Unlevered free cash flows (UFCF) stub adjusted</t>
  </si>
  <si>
    <t>Present value of of unlevered free cash flows</t>
  </si>
  <si>
    <t>Terminal value - growth in perpetuity approach</t>
  </si>
  <si>
    <t>Terminal value - EBITDA multiple approach</t>
  </si>
  <si>
    <t>Long term growth rate</t>
  </si>
  <si>
    <t>Terminal year EBITDA</t>
  </si>
  <si>
    <t>EBITDA multiple</t>
  </si>
  <si>
    <t>Present value of terminal value</t>
  </si>
  <si>
    <t>Present value of stage 1 cash flows</t>
  </si>
  <si>
    <t>Total enterprise value (TEV)</t>
  </si>
  <si>
    <t>Enterprise value (stage 1 + 2)</t>
  </si>
  <si>
    <t>Terminal value as % of TEV</t>
  </si>
  <si>
    <t>Stage 1 cash flows as % of TEV</t>
  </si>
  <si>
    <t>Cash flows as % of TEV</t>
  </si>
  <si>
    <t>Implied TV exit EBITDA multiple</t>
  </si>
  <si>
    <t>Implied terminal growth rate</t>
  </si>
  <si>
    <t>Net debt</t>
  </si>
  <si>
    <t>Source doc</t>
  </si>
  <si>
    <t>Source date</t>
  </si>
  <si>
    <t>Date</t>
  </si>
  <si>
    <t>Shares</t>
  </si>
  <si>
    <t>Gross debt and equivalents</t>
  </si>
  <si>
    <t>Basic shares</t>
  </si>
  <si>
    <t>Debt</t>
  </si>
  <si>
    <t>Restricted stock / RSUs</t>
  </si>
  <si>
    <t>Convertible debt</t>
  </si>
  <si>
    <t>Options / warrants</t>
  </si>
  <si>
    <t>Preferred stock</t>
  </si>
  <si>
    <t>Noncontrolling (minority) interests</t>
  </si>
  <si>
    <t>Convertible preferred stock</t>
  </si>
  <si>
    <t>Nonoperating assets</t>
  </si>
  <si>
    <t>Net diluted shares outstanding</t>
  </si>
  <si>
    <t xml:space="preserve">Cash </t>
  </si>
  <si>
    <t xml:space="preserve">Equity investments </t>
  </si>
  <si>
    <t>Valuation</t>
  </si>
  <si>
    <t>Perpetuity</t>
  </si>
  <si>
    <t>Enterprise value</t>
  </si>
  <si>
    <t xml:space="preserve">Equity value </t>
  </si>
  <si>
    <t>Equity value per share</t>
  </si>
  <si>
    <t>Last twelve months (LTM)</t>
  </si>
  <si>
    <t>EV / Revenue</t>
  </si>
  <si>
    <t xml:space="preserve">EV / EBITDA </t>
  </si>
  <si>
    <t>EV / EBIT</t>
  </si>
  <si>
    <t>Year 1</t>
  </si>
  <si>
    <t>Outputs</t>
  </si>
  <si>
    <t>LTM EBITDA multiple</t>
  </si>
  <si>
    <t>Long term growth rate (g):</t>
  </si>
  <si>
    <t>WACC:</t>
  </si>
  <si>
    <t xml:space="preserve">Data </t>
  </si>
  <si>
    <t>Tables</t>
  </si>
  <si>
    <t>Exit EBITDA Multiple</t>
  </si>
  <si>
    <t>Equity value range</t>
  </si>
  <si>
    <t>Football field</t>
  </si>
  <si>
    <t>Low</t>
  </si>
  <si>
    <t>Diff.</t>
  </si>
  <si>
    <t>High</t>
  </si>
  <si>
    <t>52 Week Market High/Low</t>
  </si>
  <si>
    <t>WACC Buildup</t>
  </si>
  <si>
    <t>Cost of capital assumptions</t>
  </si>
  <si>
    <t>Cost of debt</t>
  </si>
  <si>
    <t>Cost of debt (after tax)</t>
  </si>
  <si>
    <t xml:space="preserve">Risk free rate </t>
  </si>
  <si>
    <t xml:space="preserve">Beta </t>
  </si>
  <si>
    <t>Market risk premium</t>
  </si>
  <si>
    <t>Cost of equity</t>
  </si>
  <si>
    <t>Capital weights (capital structure)</t>
  </si>
  <si>
    <t xml:space="preserve">Target </t>
  </si>
  <si>
    <t xml:space="preserve">Current </t>
  </si>
  <si>
    <t>(override)</t>
  </si>
  <si>
    <t>% of total</t>
  </si>
  <si>
    <t>Cost of capital (WACC)</t>
  </si>
  <si>
    <t>CapEx % of revenue</t>
  </si>
  <si>
    <t>EBITDA margin %</t>
  </si>
  <si>
    <t>Implied Share Price</t>
  </si>
  <si>
    <t>Upside / (Downside)</t>
  </si>
  <si>
    <t>Finance income</t>
  </si>
  <si>
    <t>Finance costs</t>
  </si>
  <si>
    <t>Net finance costs</t>
  </si>
  <si>
    <t>Changes in Working Capital</t>
  </si>
  <si>
    <t>Net change in cash and cash equivalents</t>
  </si>
  <si>
    <t>Cash and cash equivalents at 1 January</t>
  </si>
  <si>
    <t>Cash and cash equivalents at 31 December</t>
  </si>
  <si>
    <t>REVENUE BUILD BY SEGMENT (EGP)</t>
  </si>
  <si>
    <t>WORKING CAPITAL SCHEDULE</t>
  </si>
  <si>
    <t>Operating Working Capital Assets</t>
  </si>
  <si>
    <t>Total Operating WC Assets</t>
  </si>
  <si>
    <t>Net Working Capital</t>
  </si>
  <si>
    <t>NWC as % of revenue</t>
  </si>
  <si>
    <t>Change in NWC (− = cash used)</t>
  </si>
  <si>
    <t>Operating Working Capital Liabilities</t>
  </si>
  <si>
    <t>Total Operating WC Liabilities</t>
  </si>
  <si>
    <t>DEBT &amp; INTEREST SCHEDULE</t>
  </si>
  <si>
    <t>Total debt (loans &amp; borrowings, incl. leases)</t>
  </si>
  <si>
    <t>Average debt</t>
  </si>
  <si>
    <t>Effective interest rate</t>
  </si>
  <si>
    <t>Interest income</t>
  </si>
  <si>
    <t>Average earning assets</t>
  </si>
  <si>
    <t>Effective yield</t>
  </si>
  <si>
    <t>EQUITY &amp; NCI ROLL-FORWARD</t>
  </si>
  <si>
    <t>Retained Earnings</t>
  </si>
  <si>
    <t>Plus: Net income to parent</t>
  </si>
  <si>
    <t>Less: Dividends &amp; distributions</t>
  </si>
  <si>
    <t>Other (FX-to-RE, reserve transfer)</t>
  </si>
  <si>
    <t>End of period (= BS)</t>
  </si>
  <si>
    <t>Non-controlling Interests</t>
  </si>
  <si>
    <t>Plus: NCI share of net income</t>
  </si>
  <si>
    <t>NCI dividends &amp; acquisitions (net)</t>
  </si>
  <si>
    <t>NCI % of total net income</t>
  </si>
  <si>
    <t>Debt securities (optional cash asset)</t>
  </si>
  <si>
    <t>Operating cash flow before working capital</t>
  </si>
  <si>
    <t>Proceeds (repayments) of loans &amp; facilities</t>
  </si>
  <si>
    <t>Dividends paid to parent shareholders</t>
  </si>
  <si>
    <t>Net cash flow from financing activities</t>
  </si>
  <si>
    <t>Net cash flows used in investing activities</t>
  </si>
  <si>
    <t>Net cash flows from operating activities</t>
  </si>
  <si>
    <t>PP&amp;E depreciation as % of revenue</t>
  </si>
  <si>
    <t>Net change in working capital</t>
  </si>
  <si>
    <t>Consolidated FS 2025</t>
  </si>
  <si>
    <t>12/31/2025</t>
  </si>
  <si>
    <t>Gross Margin % of Revenue</t>
  </si>
  <si>
    <t>General and administrative expenses % of Revenue</t>
  </si>
  <si>
    <t>Check vs IS (row 16)</t>
  </si>
  <si>
    <t>Interest-earning assets</t>
  </si>
  <si>
    <t>Consolidated FS 2025 (Note 39)</t>
  </si>
  <si>
    <t>Net Finance Cost</t>
  </si>
  <si>
    <t>Assets held for sale</t>
  </si>
  <si>
    <t>Selling and distribution expenses % of Revenue</t>
  </si>
  <si>
    <t>Depreciation of PP&amp;E</t>
  </si>
  <si>
    <t>Non-PP&amp;E D&amp;A (ROU/intang./inv. prop.)</t>
  </si>
  <si>
    <t>CapEx</t>
  </si>
  <si>
    <t>Non-PP&amp;E asset reinvestment</t>
  </si>
  <si>
    <t>Net income</t>
  </si>
  <si>
    <t>Midyear adjustment?</t>
  </si>
  <si>
    <t>All amounts are shown in Egyptian pounds, except per-share data, ratios, and shares outstanding</t>
  </si>
  <si>
    <t>ISPH.CA</t>
  </si>
  <si>
    <t>Ibnsina Pharma</t>
  </si>
  <si>
    <t>Net Sales</t>
  </si>
  <si>
    <t>Cost of Sales</t>
  </si>
  <si>
    <t>Gross Profit</t>
  </si>
  <si>
    <t>Other Revenues / Income</t>
  </si>
  <si>
    <t>Sales and Marketing Expenses</t>
  </si>
  <si>
    <t>General and Administrative Expenses</t>
  </si>
  <si>
    <t>Expected Credit Losses - Receivables</t>
  </si>
  <si>
    <t>Expected Credit Losses - Suppliers Advance</t>
  </si>
  <si>
    <t>Expected Credit Losses - Debtors / Other</t>
  </si>
  <si>
    <t>Formation of Expected Claims Provision</t>
  </si>
  <si>
    <t>Operating Profit</t>
  </si>
  <si>
    <t>Financing Income</t>
  </si>
  <si>
    <t>Foreign Currency Revaluation Gain / (Loss)</t>
  </si>
  <si>
    <t>Gain on Disposal of Investment in Associate</t>
  </si>
  <si>
    <t>Credit Interest</t>
  </si>
  <si>
    <t>Financing Expenses</t>
  </si>
  <si>
    <t>Net Profit Before Tax (EBT)</t>
  </si>
  <si>
    <t>Current Income Taxes</t>
  </si>
  <si>
    <t>Deferred Income Taxes</t>
  </si>
  <si>
    <t>Net Profit For the Year</t>
  </si>
  <si>
    <t>Parent Company (Controlling Share)</t>
  </si>
  <si>
    <t>Non-Controlling Interest (NCI)</t>
  </si>
  <si>
    <t>(Losses) from revaluation of Investment in Associate</t>
  </si>
  <si>
    <t>Inventory</t>
  </si>
  <si>
    <t>Accounts and Notes Receivable (Net)</t>
  </si>
  <si>
    <t>Suppliers Advance Payments</t>
  </si>
  <si>
    <t>Financial Investments Advance Payment</t>
  </si>
  <si>
    <t>Debtors and Other Debit Balances (Net)</t>
  </si>
  <si>
    <t>Financial Investments (FVTPL)</t>
  </si>
  <si>
    <t>Due from Related Parties</t>
  </si>
  <si>
    <t>Cash on Hand and at Banks</t>
  </si>
  <si>
    <t>Assets Held for Sale</t>
  </si>
  <si>
    <t>Fixed Assets (Net)</t>
  </si>
  <si>
    <t>Projects Under Construction</t>
  </si>
  <si>
    <t>Intangible Assets (Net)</t>
  </si>
  <si>
    <t>Right of Use Assets (Net)</t>
  </si>
  <si>
    <t>Investment in Associate</t>
  </si>
  <si>
    <t>Notes Receivable - Long Term</t>
  </si>
  <si>
    <t>Deferred Tax Assets</t>
  </si>
  <si>
    <t>Credit Facilities</t>
  </si>
  <si>
    <t>Short Term Loans &amp; Current LT Loan</t>
  </si>
  <si>
    <t>Suppliers and Notes Payable</t>
  </si>
  <si>
    <t>Creditors and Other Credit Balances</t>
  </si>
  <si>
    <t>Customers' Advance Payments</t>
  </si>
  <si>
    <t>Income Tax Payable</t>
  </si>
  <si>
    <t>Lease Liabilities - Short Term</t>
  </si>
  <si>
    <t>Expected Claims Provision</t>
  </si>
  <si>
    <t>Loans - Long Term</t>
  </si>
  <si>
    <t>Lease Liabilities - Long Term</t>
  </si>
  <si>
    <t>Notes Payable - Long Term</t>
  </si>
  <si>
    <t>Issued and Paid-Up Capital</t>
  </si>
  <si>
    <t>Share Premium (Special Reserve)</t>
  </si>
  <si>
    <t>Legal Reserve</t>
  </si>
  <si>
    <t>Legal Reserve - Subsidiary</t>
  </si>
  <si>
    <t>General Reserve</t>
  </si>
  <si>
    <t>Treasury Stock Reserve</t>
  </si>
  <si>
    <t>Total Equity of Holding Company</t>
  </si>
  <si>
    <t>Non-Controlling Interests</t>
  </si>
  <si>
    <t>Other Revenues / Income %</t>
  </si>
  <si>
    <t>Expected Credit Losses - Receivables %</t>
  </si>
  <si>
    <t>Expected Credit Losses - Suppliers Advance %</t>
  </si>
  <si>
    <t>Expected Credit Losses - Debtors / Other %</t>
  </si>
  <si>
    <t>Formation of Expected Claims Provision %</t>
  </si>
  <si>
    <t>Net sales of pharmaceuticals and cosmetics</t>
  </si>
  <si>
    <t>Warehousing and transportation services</t>
  </si>
  <si>
    <t>Other marketing Services</t>
  </si>
  <si>
    <t>Database programming and development</t>
  </si>
  <si>
    <t>Net sales</t>
  </si>
  <si>
    <t>WC DRIVERS (DAYS)</t>
  </si>
  <si>
    <t>DIO (days, off COGS)</t>
  </si>
  <si>
    <t>DSO (days, off revenue)</t>
  </si>
  <si>
    <t>DPO (days, off COGS)</t>
  </si>
  <si>
    <t>INTANGIBLES ROLL</t>
  </si>
  <si>
    <t>Plus: Additions</t>
  </si>
  <si>
    <t>Less: Amortization</t>
  </si>
  <si>
    <t>Additions % revenue</t>
  </si>
  <si>
    <t>Amortization % revenue</t>
  </si>
  <si>
    <t>LEASE SCHEDULE</t>
  </si>
  <si>
    <t>ROU — Beginning</t>
  </si>
  <si>
    <t>Plus: New leases</t>
  </si>
  <si>
    <t>Less: ROU depreciation</t>
  </si>
  <si>
    <t>ROU — End</t>
  </si>
  <si>
    <t>Lease liab — Beginning</t>
  </si>
  <si>
    <t>Lease liab — End</t>
  </si>
  <si>
    <t>ST share of liability</t>
  </si>
  <si>
    <t>New leases % revenue</t>
  </si>
  <si>
    <t>ROU dep % revenue</t>
  </si>
  <si>
    <t>REVOLVER (Credit Facilities plug)</t>
  </si>
  <si>
    <t>Minimum cash (% revenue)</t>
  </si>
  <si>
    <t>Cash before revolver</t>
  </si>
  <si>
    <t>Revolver — Beginning</t>
  </si>
  <si>
    <t>Revolver — End</t>
  </si>
  <si>
    <t>Revolver draw / (paydown)</t>
  </si>
  <si>
    <t>Cash of Revenue %</t>
  </si>
  <si>
    <t>Lease principal payments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</si>
</sst>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4">
    <numFmt numFmtId="164" formatCode="&quot;$&quot;#,##0.00_);\(&quot;$&quot;#,##0.00\)"/>
    <numFmt numFmtId="165" formatCode="_(* #,##0_);_(* \(#,##0\);_(* &quot;-&quot;_);_(@_)"/>
    <numFmt numFmtId="166" formatCode="&quot;FY&quot;yy"/>
    <numFmt numFmtId="167" formatCode="0.0%"/>
    <numFmt numFmtId="168" formatCode="_(* #,##0.00_);_(* \(#,##0.00\);_(* \-??_);_(@_)"/>
    <numFmt numFmtId="169" formatCode="_(* #,##0_);_(* \(#,##0\);_(* \-??_);_(@_)"/>
    <numFmt numFmtId="170" formatCode="_(* #,##0_);_(* \(#,##0\);_(* \-_);_(@_)"/>
    <numFmt numFmtId="171" formatCode="_(* #,##0_);_(* \(#,##0\);_(* &quot;-&quot;??_);_(@_)"/>
    <numFmt numFmtId="172" formatCode="#,##0.000_);\(#,##0.000\)"/>
    <numFmt numFmtId="173" formatCode="m/d/yy;@"/>
    <numFmt numFmtId="174" formatCode="0\A;[Red]0\A"/>
    <numFmt numFmtId="175" formatCode="0\P_);\(0\P\)"/>
    <numFmt numFmtId="176" formatCode="0.0%_);\(0.0%\);@_)"/>
    <numFmt numFmtId="177" formatCode="_(#,##0.0%_);\(#,##0.0%\);_(&quot;–&quot;_)_%;_(@_)_%"/>
    <numFmt numFmtId="178" formatCode="0000\A"/>
    <numFmt numFmtId="179" formatCode="0000\P"/>
    <numFmt numFmtId="180" formatCode="#,##0_);\(#,##0\);@_)"/>
    <numFmt numFmtId="181" formatCode="0.0\x_);\(0.0\x\);@_)"/>
    <numFmt numFmtId="182" formatCode="0.000%_);\(0.000%\);@_)"/>
    <numFmt numFmtId="183" formatCode="#,##0.000_);\(#,##0.000\);@_)"/>
    <numFmt numFmtId="184" formatCode="_([$$]#,##0_)_%;\([$$]#,##0\)_%;_(&quot;–&quot;_)_%;_(@_)_%"/>
    <numFmt numFmtId="185" formatCode="&quot;$&quot;#,##0.00_);\(&quot;$&quot;#,##0.00\);@_)"/>
    <numFmt numFmtId="186" formatCode="_(0.0\x_)_';_(\(0.0\x\)_';_(&quot;–&quot;_)_%;_(@_)_%"/>
    <numFmt numFmtId="187" formatCode="_(0.0_)_'_x;_(\(0.0\)_';_(&quot;–&quot;_)_%;_(@_)_%"/>
    <numFmt numFmtId="188" formatCode="#,##0.00_);\(#,##0.00\);\-_);@_)"/>
    <numFmt numFmtId="189" formatCode="#,##0.0_);\(#,##0.0\);\-_);@_)"/>
    <numFmt numFmtId="190" formatCode="_(#,##0.00%_);\(#,##0.00%\);_(&quot;–&quot;_)_%;_(@_)_%"/>
    <numFmt numFmtId="191" formatCode="[$EGP]\ #,##0.00_);\([$EGP]\ #,##0.00\)"/>
    <numFmt numFmtId="192" formatCode="[$EGP]\ #,##0.00_);[Red]\([$EGP]\ #,##0.00\)"/>
    <numFmt numFmtId="193" formatCode="_(* #,##0.0_);_(* \(#,##0.0\);_(* \-??_);_(@_)"/>
    <numFmt numFmtId="194" formatCode="[$EGP]\ #,##0.00;\-[$EGP]\ #,##0.00"/>
    <numFmt numFmtId="195" formatCode="d/m/yy;@"/>
    <numFmt numFmtId="196" formatCode="[$-409]mmmmm/yy;@"/>
    <numFmt numFmtId="197" formatCode="0.000%"/>
  </numFmts>
  <fonts count="40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theme="4" tint="-0.249977111117893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1"/>
      <color theme="1"/>
      <name val="Calibri"/>
      <family val="2"/>
    </font>
    <font>
      <sz val="11"/>
      <color theme="0"/>
      <name val="Calibri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</font>
    <font>
      <i/>
      <sz val="9"/>
      <color rgb="FF000000"/>
      <name val="Calibri"/>
      <family val="2"/>
      <scheme val="minor"/>
    </font>
    <font>
      <sz val="10"/>
      <name val="Times New Roman"/>
      <family val="1"/>
    </font>
    <font>
      <sz val="11"/>
      <color rgb="FF008000"/>
      <name val="Calibri"/>
      <family val="2"/>
      <scheme val="minor"/>
    </font>
    <font>
      <u/>
      <sz val="11"/>
      <color theme="10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singleAccounting"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0000"/>
      <name val="Calibri"/>
      <family val="2"/>
    </font>
    <font>
      <sz val="11"/>
      <color theme="4" tint="-0.249977111117893"/>
      <name val="Calibri"/>
      <family val="2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FF"/>
      <name val="Calibri"/>
      <family val="2"/>
      <charset val="1"/>
    </font>
    <font>
      <sz val="11"/>
      <color theme="4" tint="-0.249977111117893"/>
      <name val="Calibri"/>
      <family val="2"/>
      <scheme val="minor"/>
    </font>
    <font>
      <sz val="10"/>
      <name val="Arial"/>
      <family val="2"/>
    </font>
    <font>
      <b/>
      <u/>
      <sz val="11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2F2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168" fontId="4" fillId="0" borderId="0"/>
    <xf numFmtId="9" fontId="4" fillId="0" borderId="0"/>
    <xf numFmtId="0" fontId="3" fillId="0" borderId="0"/>
    <xf numFmtId="37" fontId="22" fillId="0" borderId="0"/>
    <xf numFmtId="0" fontId="24" fillId="0" borderId="0" applyNumberFormat="0" applyFill="0" applyBorder="0" applyAlignment="0" applyProtection="0"/>
    <xf numFmtId="196" fontId="38" fillId="0" borderId="0"/>
  </cellStyleXfs>
  <cellXfs count="268">
    <xf numFmtId="0" fontId="0" fillId="0" borderId="0" xfId="0"/>
    <xf numFmtId="167" fontId="4" fillId="0" borderId="0" xfId="2" applyNumberFormat="1"/>
    <xf numFmtId="0" fontId="5" fillId="0" borderId="4" xfId="0" applyFont="1" applyBorder="1"/>
    <xf numFmtId="0" fontId="6" fillId="0" borderId="0" xfId="0" applyFont="1"/>
    <xf numFmtId="0" fontId="7" fillId="0" borderId="0" xfId="0" applyFont="1" applyAlignment="1">
      <alignment horizontal="center"/>
    </xf>
    <xf numFmtId="14" fontId="7" fillId="0" borderId="0" xfId="0" applyNumberFormat="1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8" fillId="0" borderId="4" xfId="0" applyFont="1" applyBorder="1"/>
    <xf numFmtId="0" fontId="8" fillId="0" borderId="5" xfId="0" applyFont="1" applyBorder="1"/>
    <xf numFmtId="170" fontId="12" fillId="0" borderId="0" xfId="1" applyNumberFormat="1" applyFont="1"/>
    <xf numFmtId="0" fontId="13" fillId="0" borderId="1" xfId="0" applyFont="1" applyBorder="1"/>
    <xf numFmtId="169" fontId="13" fillId="0" borderId="1" xfId="1" applyNumberFormat="1" applyFont="1" applyBorder="1"/>
    <xf numFmtId="0" fontId="13" fillId="0" borderId="0" xfId="0" applyFont="1"/>
    <xf numFmtId="169" fontId="13" fillId="0" borderId="0" xfId="1" applyNumberFormat="1" applyFont="1"/>
    <xf numFmtId="167" fontId="9" fillId="0" borderId="0" xfId="2" applyNumberFormat="1" applyFont="1"/>
    <xf numFmtId="0" fontId="13" fillId="0" borderId="3" xfId="0" applyFont="1" applyBorder="1"/>
    <xf numFmtId="0" fontId="8" fillId="0" borderId="0" xfId="0" applyFont="1" applyAlignment="1">
      <alignment horizontal="left" indent="1"/>
    </xf>
    <xf numFmtId="169" fontId="8" fillId="0" borderId="0" xfId="0" applyNumberFormat="1" applyFont="1"/>
    <xf numFmtId="169" fontId="8" fillId="0" borderId="0" xfId="1" applyNumberFormat="1" applyFont="1"/>
    <xf numFmtId="0" fontId="15" fillId="0" borderId="2" xfId="0" applyFont="1" applyBorder="1"/>
    <xf numFmtId="169" fontId="13" fillId="0" borderId="2" xfId="1" applyNumberFormat="1" applyFont="1" applyBorder="1"/>
    <xf numFmtId="167" fontId="8" fillId="0" borderId="0" xfId="2" applyNumberFormat="1" applyFont="1"/>
    <xf numFmtId="167" fontId="12" fillId="0" borderId="0" xfId="0" applyNumberFormat="1" applyFont="1"/>
    <xf numFmtId="1" fontId="8" fillId="0" borderId="0" xfId="2" applyNumberFormat="1" applyFont="1"/>
    <xf numFmtId="0" fontId="11" fillId="0" borderId="0" xfId="0" applyFont="1" applyAlignment="1">
      <alignment horizontal="left" indent="1"/>
    </xf>
    <xf numFmtId="169" fontId="13" fillId="0" borderId="0" xfId="0" applyNumberFormat="1" applyFont="1"/>
    <xf numFmtId="0" fontId="13" fillId="0" borderId="1" xfId="0" applyFont="1" applyBorder="1" applyAlignment="1">
      <alignment horizontal="left"/>
    </xf>
    <xf numFmtId="0" fontId="17" fillId="0" borderId="0" xfId="0" applyFont="1" applyAlignment="1">
      <alignment horizontal="center" vertical="center"/>
    </xf>
    <xf numFmtId="170" fontId="8" fillId="0" borderId="0" xfId="0" applyNumberFormat="1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indent="2"/>
    </xf>
    <xf numFmtId="170" fontId="14" fillId="0" borderId="3" xfId="1" applyNumberFormat="1" applyFont="1" applyBorder="1"/>
    <xf numFmtId="0" fontId="18" fillId="0" borderId="0" xfId="0" applyFont="1"/>
    <xf numFmtId="0" fontId="10" fillId="0" borderId="0" xfId="0" applyFont="1"/>
    <xf numFmtId="0" fontId="18" fillId="0" borderId="0" xfId="0" applyFont="1" applyAlignment="1">
      <alignment horizontal="center" vertical="center"/>
    </xf>
    <xf numFmtId="166" fontId="10" fillId="0" borderId="0" xfId="0" applyNumberFormat="1" applyFont="1" applyAlignment="1">
      <alignment horizontal="center" vertical="center"/>
    </xf>
    <xf numFmtId="0" fontId="11" fillId="0" borderId="0" xfId="0" applyFont="1"/>
    <xf numFmtId="170" fontId="11" fillId="0" borderId="0" xfId="0" applyNumberFormat="1" applyFont="1" applyAlignment="1">
      <alignment horizontal="center" vertical="center"/>
    </xf>
    <xf numFmtId="10" fontId="8" fillId="0" borderId="0" xfId="2" applyNumberFormat="1" applyFont="1"/>
    <xf numFmtId="0" fontId="13" fillId="0" borderId="3" xfId="0" applyFont="1" applyBorder="1" applyAlignment="1">
      <alignment horizontal="left"/>
    </xf>
    <xf numFmtId="0" fontId="5" fillId="0" borderId="6" xfId="0" applyFont="1" applyBorder="1"/>
    <xf numFmtId="0" fontId="0" fillId="0" borderId="6" xfId="0" applyBorder="1"/>
    <xf numFmtId="174" fontId="5" fillId="0" borderId="0" xfId="0" applyNumberFormat="1" applyFont="1"/>
    <xf numFmtId="175" fontId="5" fillId="0" borderId="0" xfId="0" applyNumberFormat="1" applyFont="1"/>
    <xf numFmtId="0" fontId="19" fillId="0" borderId="6" xfId="0" applyFont="1" applyBorder="1"/>
    <xf numFmtId="173" fontId="19" fillId="0" borderId="2" xfId="0" applyNumberFormat="1" applyFont="1" applyBorder="1"/>
    <xf numFmtId="0" fontId="14" fillId="0" borderId="0" xfId="0" applyFont="1"/>
    <xf numFmtId="173" fontId="19" fillId="0" borderId="6" xfId="0" applyNumberFormat="1" applyFont="1" applyBorder="1"/>
    <xf numFmtId="0" fontId="20" fillId="0" borderId="0" xfId="0" applyFont="1" applyAlignment="1">
      <alignment horizontal="center" vertical="center"/>
    </xf>
    <xf numFmtId="166" fontId="14" fillId="0" borderId="0" xfId="0" applyNumberFormat="1" applyFont="1" applyAlignment="1">
      <alignment horizontal="center" vertical="center"/>
    </xf>
    <xf numFmtId="0" fontId="0" fillId="0" borderId="3" xfId="0" applyBorder="1"/>
    <xf numFmtId="174" fontId="5" fillId="0" borderId="3" xfId="0" applyNumberFormat="1" applyFont="1" applyBorder="1"/>
    <xf numFmtId="175" fontId="5" fillId="0" borderId="3" xfId="0" applyNumberFormat="1" applyFont="1" applyBorder="1"/>
    <xf numFmtId="0" fontId="3" fillId="0" borderId="0" xfId="3"/>
    <xf numFmtId="0" fontId="5" fillId="0" borderId="4" xfId="3" applyFont="1" applyBorder="1"/>
    <xf numFmtId="0" fontId="3" fillId="0" borderId="4" xfId="3" applyBorder="1"/>
    <xf numFmtId="0" fontId="21" fillId="0" borderId="5" xfId="3" applyFont="1" applyBorder="1"/>
    <xf numFmtId="14" fontId="7" fillId="0" borderId="0" xfId="4" applyNumberFormat="1" applyFont="1" applyAlignment="1">
      <alignment horizontal="right"/>
    </xf>
    <xf numFmtId="176" fontId="23" fillId="0" borderId="0" xfId="3" applyNumberFormat="1" applyFont="1"/>
    <xf numFmtId="14" fontId="6" fillId="0" borderId="0" xfId="4" applyNumberFormat="1" applyFont="1" applyAlignment="1">
      <alignment horizontal="right"/>
    </xf>
    <xf numFmtId="14" fontId="7" fillId="0" borderId="0" xfId="3" applyNumberFormat="1" applyFont="1" applyAlignment="1">
      <alignment horizontal="right"/>
    </xf>
    <xf numFmtId="0" fontId="24" fillId="0" borderId="0" xfId="5" applyBorder="1"/>
    <xf numFmtId="177" fontId="6" fillId="0" borderId="0" xfId="3" applyNumberFormat="1" applyFont="1"/>
    <xf numFmtId="164" fontId="23" fillId="0" borderId="0" xfId="3" applyNumberFormat="1" applyFont="1" applyAlignment="1">
      <alignment horizontal="right"/>
    </xf>
    <xf numFmtId="0" fontId="5" fillId="0" borderId="7" xfId="3" applyFont="1" applyBorder="1"/>
    <xf numFmtId="0" fontId="3" fillId="0" borderId="7" xfId="3" applyBorder="1"/>
    <xf numFmtId="164" fontId="23" fillId="0" borderId="7" xfId="3" applyNumberFormat="1" applyFont="1" applyBorder="1" applyAlignment="1">
      <alignment horizontal="right"/>
    </xf>
    <xf numFmtId="0" fontId="25" fillId="0" borderId="0" xfId="3" applyFont="1" applyAlignment="1">
      <alignment horizontal="centerContinuous"/>
    </xf>
    <xf numFmtId="0" fontId="26" fillId="0" borderId="8" xfId="3" applyFont="1" applyBorder="1" applyAlignment="1">
      <alignment horizontal="centerContinuous"/>
    </xf>
    <xf numFmtId="0" fontId="19" fillId="0" borderId="0" xfId="3" applyFont="1"/>
    <xf numFmtId="14" fontId="3" fillId="0" borderId="0" xfId="3" applyNumberFormat="1" applyAlignment="1">
      <alignment horizontal="center"/>
    </xf>
    <xf numFmtId="180" fontId="6" fillId="0" borderId="0" xfId="3" applyNumberFormat="1" applyFont="1"/>
    <xf numFmtId="180" fontId="23" fillId="0" borderId="0" xfId="3" applyNumberFormat="1" applyFont="1"/>
    <xf numFmtId="0" fontId="3" fillId="0" borderId="0" xfId="3" applyAlignment="1">
      <alignment horizontal="left" indent="1"/>
    </xf>
    <xf numFmtId="0" fontId="5" fillId="0" borderId="0" xfId="3" applyFont="1"/>
    <xf numFmtId="180" fontId="27" fillId="0" borderId="0" xfId="3" applyNumberFormat="1" applyFont="1"/>
    <xf numFmtId="180" fontId="3" fillId="0" borderId="0" xfId="3" applyNumberFormat="1"/>
    <xf numFmtId="37" fontId="6" fillId="0" borderId="0" xfId="3" applyNumberFormat="1" applyFont="1"/>
    <xf numFmtId="180" fontId="23" fillId="0" borderId="7" xfId="3" applyNumberFormat="1" applyFont="1" applyBorder="1"/>
    <xf numFmtId="180" fontId="26" fillId="0" borderId="7" xfId="3" applyNumberFormat="1" applyFont="1" applyBorder="1" applyAlignment="1">
      <alignment horizontal="center"/>
    </xf>
    <xf numFmtId="180" fontId="26" fillId="0" borderId="0" xfId="3" applyNumberFormat="1" applyFont="1"/>
    <xf numFmtId="14" fontId="3" fillId="0" borderId="0" xfId="3" applyNumberFormat="1"/>
    <xf numFmtId="177" fontId="3" fillId="0" borderId="0" xfId="3" applyNumberFormat="1" applyAlignment="1">
      <alignment horizontal="center"/>
    </xf>
    <xf numFmtId="180" fontId="6" fillId="0" borderId="7" xfId="3" applyNumberFormat="1" applyFont="1" applyBorder="1"/>
    <xf numFmtId="0" fontId="27" fillId="0" borderId="0" xfId="3" applyFont="1"/>
    <xf numFmtId="177" fontId="7" fillId="0" borderId="0" xfId="3" applyNumberFormat="1" applyFont="1"/>
    <xf numFmtId="179" fontId="3" fillId="0" borderId="0" xfId="3" applyNumberFormat="1"/>
    <xf numFmtId="181" fontId="7" fillId="0" borderId="0" xfId="3" applyNumberFormat="1" applyFont="1"/>
    <xf numFmtId="180" fontId="5" fillId="0" borderId="0" xfId="3" applyNumberFormat="1" applyFont="1"/>
    <xf numFmtId="0" fontId="19" fillId="0" borderId="0" xfId="3" applyFont="1" applyAlignment="1">
      <alignment horizontal="left"/>
    </xf>
    <xf numFmtId="177" fontId="19" fillId="0" borderId="0" xfId="3" applyNumberFormat="1" applyFont="1"/>
    <xf numFmtId="182" fontId="19" fillId="0" borderId="0" xfId="3" applyNumberFormat="1" applyFont="1"/>
    <xf numFmtId="177" fontId="3" fillId="0" borderId="0" xfId="3" applyNumberFormat="1"/>
    <xf numFmtId="181" fontId="19" fillId="0" borderId="0" xfId="3" applyNumberFormat="1" applyFont="1"/>
    <xf numFmtId="176" fontId="3" fillId="0" borderId="0" xfId="3" quotePrefix="1" applyNumberFormat="1"/>
    <xf numFmtId="0" fontId="3" fillId="0" borderId="0" xfId="3" applyAlignment="1">
      <alignment horizontal="left"/>
    </xf>
    <xf numFmtId="0" fontId="28" fillId="0" borderId="0" xfId="3" applyFont="1"/>
    <xf numFmtId="0" fontId="28" fillId="0" borderId="0" xfId="3" applyFont="1" applyAlignment="1">
      <alignment horizontal="right"/>
    </xf>
    <xf numFmtId="0" fontId="28" fillId="0" borderId="0" xfId="3" applyFont="1" applyAlignment="1">
      <alignment horizontal="left" vertical="center"/>
    </xf>
    <xf numFmtId="14" fontId="6" fillId="0" borderId="0" xfId="3" applyNumberFormat="1" applyFont="1"/>
    <xf numFmtId="183" fontId="7" fillId="0" borderId="0" xfId="3" applyNumberFormat="1" applyFont="1"/>
    <xf numFmtId="172" fontId="7" fillId="0" borderId="0" xfId="3" applyNumberFormat="1" applyFont="1"/>
    <xf numFmtId="37" fontId="23" fillId="0" borderId="0" xfId="3" applyNumberFormat="1" applyFont="1"/>
    <xf numFmtId="172" fontId="23" fillId="0" borderId="0" xfId="3" applyNumberFormat="1" applyFont="1" applyAlignment="1">
      <alignment horizontal="right"/>
    </xf>
    <xf numFmtId="0" fontId="6" fillId="0" borderId="0" xfId="3" applyFont="1" applyAlignment="1">
      <alignment horizontal="left" indent="1"/>
    </xf>
    <xf numFmtId="0" fontId="5" fillId="0" borderId="0" xfId="3" applyFont="1" applyAlignment="1">
      <alignment horizontal="left"/>
    </xf>
    <xf numFmtId="184" fontId="7" fillId="0" borderId="0" xfId="3" applyNumberFormat="1" applyFont="1"/>
    <xf numFmtId="0" fontId="3" fillId="0" borderId="0" xfId="3" applyAlignment="1">
      <alignment horizontal="left" vertical="center" indent="1"/>
    </xf>
    <xf numFmtId="172" fontId="3" fillId="0" borderId="0" xfId="3" applyNumberFormat="1"/>
    <xf numFmtId="183" fontId="29" fillId="0" borderId="0" xfId="3" applyNumberFormat="1" applyFont="1"/>
    <xf numFmtId="0" fontId="5" fillId="0" borderId="0" xfId="3" applyFont="1" applyAlignment="1">
      <alignment vertical="center"/>
    </xf>
    <xf numFmtId="0" fontId="25" fillId="0" borderId="0" xfId="3" applyFont="1" applyAlignment="1">
      <alignment horizontal="right"/>
    </xf>
    <xf numFmtId="180" fontId="3" fillId="0" borderId="0" xfId="3" applyNumberFormat="1" applyAlignment="1">
      <alignment horizontal="right"/>
    </xf>
    <xf numFmtId="37" fontId="19" fillId="0" borderId="7" xfId="3" applyNumberFormat="1" applyFont="1" applyBorder="1" applyAlignment="1">
      <alignment horizontal="right"/>
    </xf>
    <xf numFmtId="37" fontId="3" fillId="0" borderId="0" xfId="3" applyNumberFormat="1" applyAlignment="1">
      <alignment horizontal="right"/>
    </xf>
    <xf numFmtId="187" fontId="3" fillId="0" borderId="0" xfId="3" applyNumberFormat="1" applyAlignment="1">
      <alignment horizontal="right"/>
    </xf>
    <xf numFmtId="0" fontId="6" fillId="2" borderId="0" xfId="3" applyFont="1" applyFill="1"/>
    <xf numFmtId="0" fontId="30" fillId="0" borderId="0" xfId="3" applyFont="1" applyAlignment="1">
      <alignment horizontal="centerContinuous"/>
    </xf>
    <xf numFmtId="0" fontId="25" fillId="0" borderId="9" xfId="3" applyFont="1" applyBorder="1" applyAlignment="1">
      <alignment horizontal="centerContinuous"/>
    </xf>
    <xf numFmtId="0" fontId="3" fillId="0" borderId="0" xfId="3" applyAlignment="1">
      <alignment horizontal="centerContinuous"/>
    </xf>
    <xf numFmtId="0" fontId="3" fillId="0" borderId="9" xfId="3" applyBorder="1" applyAlignment="1">
      <alignment horizontal="centerContinuous"/>
    </xf>
    <xf numFmtId="0" fontId="3" fillId="0" borderId="0" xfId="3" applyAlignment="1">
      <alignment horizontal="right"/>
    </xf>
    <xf numFmtId="167" fontId="7" fillId="3" borderId="11" xfId="3" applyNumberFormat="1" applyFont="1" applyFill="1" applyBorder="1"/>
    <xf numFmtId="181" fontId="3" fillId="0" borderId="12" xfId="3" applyNumberFormat="1" applyBorder="1" applyAlignment="1">
      <alignment horizontal="right"/>
    </xf>
    <xf numFmtId="188" fontId="3" fillId="0" borderId="0" xfId="3" applyNumberFormat="1"/>
    <xf numFmtId="188" fontId="3" fillId="0" borderId="9" xfId="3" applyNumberFormat="1" applyBorder="1"/>
    <xf numFmtId="181" fontId="3" fillId="0" borderId="0" xfId="3" applyNumberFormat="1" applyAlignment="1">
      <alignment horizontal="right"/>
    </xf>
    <xf numFmtId="167" fontId="7" fillId="3" borderId="14" xfId="3" applyNumberFormat="1" applyFont="1" applyFill="1" applyBorder="1" applyAlignment="1">
      <alignment horizontal="right"/>
    </xf>
    <xf numFmtId="0" fontId="27" fillId="2" borderId="0" xfId="3" applyFont="1" applyFill="1" applyAlignment="1">
      <alignment horizontal="center"/>
    </xf>
    <xf numFmtId="189" fontId="3" fillId="0" borderId="0" xfId="3" applyNumberFormat="1"/>
    <xf numFmtId="181" fontId="7" fillId="3" borderId="11" xfId="3" applyNumberFormat="1" applyFont="1" applyFill="1" applyBorder="1"/>
    <xf numFmtId="0" fontId="3" fillId="0" borderId="9" xfId="3" applyBorder="1"/>
    <xf numFmtId="0" fontId="5" fillId="4" borderId="0" xfId="3" applyFont="1" applyFill="1"/>
    <xf numFmtId="0" fontId="5" fillId="4" borderId="9" xfId="3" applyFont="1" applyFill="1" applyBorder="1"/>
    <xf numFmtId="190" fontId="3" fillId="0" borderId="0" xfId="3" applyNumberFormat="1"/>
    <xf numFmtId="0" fontId="3" fillId="0" borderId="10" xfId="3" applyBorder="1"/>
    <xf numFmtId="0" fontId="3" fillId="0" borderId="11" xfId="3" applyBorder="1" applyAlignment="1">
      <alignment horizontal="right"/>
    </xf>
    <xf numFmtId="0" fontId="3" fillId="0" borderId="13" xfId="3" applyBorder="1" applyAlignment="1">
      <alignment horizontal="right"/>
    </xf>
    <xf numFmtId="0" fontId="3" fillId="0" borderId="11" xfId="3" applyBorder="1"/>
    <xf numFmtId="0" fontId="3" fillId="0" borderId="15" xfId="3" applyBorder="1"/>
    <xf numFmtId="177" fontId="6" fillId="0" borderId="0" xfId="0" applyNumberFormat="1" applyFont="1"/>
    <xf numFmtId="0" fontId="27" fillId="0" borderId="7" xfId="3" applyFont="1" applyBorder="1"/>
    <xf numFmtId="0" fontId="6" fillId="0" borderId="7" xfId="3" applyFont="1" applyBorder="1"/>
    <xf numFmtId="0" fontId="27" fillId="0" borderId="7" xfId="3" applyFont="1" applyBorder="1" applyAlignment="1">
      <alignment horizontal="right"/>
    </xf>
    <xf numFmtId="0" fontId="28" fillId="0" borderId="0" xfId="3" applyFont="1" applyAlignment="1">
      <alignment horizontal="left"/>
    </xf>
    <xf numFmtId="0" fontId="5" fillId="0" borderId="6" xfId="3" applyFont="1" applyBorder="1"/>
    <xf numFmtId="0" fontId="5" fillId="0" borderId="10" xfId="3" applyFont="1" applyBorder="1"/>
    <xf numFmtId="10" fontId="7" fillId="0" borderId="0" xfId="3" applyNumberFormat="1" applyFont="1"/>
    <xf numFmtId="190" fontId="23" fillId="0" borderId="7" xfId="3" applyNumberFormat="1" applyFont="1" applyBorder="1"/>
    <xf numFmtId="190" fontId="6" fillId="0" borderId="0" xfId="3" applyNumberFormat="1" applyFont="1"/>
    <xf numFmtId="10" fontId="7" fillId="0" borderId="7" xfId="3" applyNumberFormat="1" applyFont="1" applyBorder="1"/>
    <xf numFmtId="10" fontId="6" fillId="0" borderId="0" xfId="3" applyNumberFormat="1" applyFont="1"/>
    <xf numFmtId="167" fontId="6" fillId="0" borderId="0" xfId="3" applyNumberFormat="1" applyFont="1"/>
    <xf numFmtId="0" fontId="3" fillId="0" borderId="6" xfId="3" applyBorder="1"/>
    <xf numFmtId="167" fontId="26" fillId="0" borderId="0" xfId="3" applyNumberFormat="1" applyFont="1" applyAlignment="1">
      <alignment horizontal="right"/>
    </xf>
    <xf numFmtId="9" fontId="7" fillId="0" borderId="0" xfId="3" applyNumberFormat="1" applyFont="1"/>
    <xf numFmtId="176" fontId="3" fillId="0" borderId="0" xfId="3" applyNumberFormat="1"/>
    <xf numFmtId="9" fontId="6" fillId="0" borderId="0" xfId="3" applyNumberFormat="1" applyFont="1"/>
    <xf numFmtId="0" fontId="5" fillId="0" borderId="11" xfId="3" applyFont="1" applyBorder="1"/>
    <xf numFmtId="176" fontId="5" fillId="0" borderId="13" xfId="3" applyNumberFormat="1" applyFont="1" applyBorder="1"/>
    <xf numFmtId="191" fontId="7" fillId="0" borderId="0" xfId="3" applyNumberFormat="1" applyFont="1"/>
    <xf numFmtId="180" fontId="6" fillId="0" borderId="0" xfId="0" applyNumberFormat="1" applyFont="1"/>
    <xf numFmtId="14" fontId="0" fillId="0" borderId="0" xfId="0" applyNumberFormat="1"/>
    <xf numFmtId="39" fontId="7" fillId="0" borderId="0" xfId="3" applyNumberFormat="1" applyFont="1"/>
    <xf numFmtId="170" fontId="14" fillId="0" borderId="0" xfId="1" applyNumberFormat="1" applyFont="1"/>
    <xf numFmtId="170" fontId="13" fillId="0" borderId="0" xfId="0" applyNumberFormat="1" applyFont="1"/>
    <xf numFmtId="192" fontId="7" fillId="0" borderId="0" xfId="0" applyNumberFormat="1" applyFont="1" applyAlignment="1">
      <alignment horizontal="center"/>
    </xf>
    <xf numFmtId="185" fontId="0" fillId="0" borderId="6" xfId="0" applyNumberFormat="1" applyBorder="1" applyAlignment="1">
      <alignment horizontal="right"/>
    </xf>
    <xf numFmtId="185" fontId="0" fillId="0" borderId="12" xfId="0" applyNumberFormat="1" applyBorder="1"/>
    <xf numFmtId="181" fontId="31" fillId="3" borderId="11" xfId="3" applyNumberFormat="1" applyFont="1" applyFill="1" applyBorder="1"/>
    <xf numFmtId="0" fontId="0" fillId="0" borderId="16" xfId="0" quotePrefix="1" applyBorder="1"/>
    <xf numFmtId="39" fontId="0" fillId="0" borderId="0" xfId="0" applyNumberFormat="1"/>
    <xf numFmtId="39" fontId="0" fillId="0" borderId="17" xfId="0" applyNumberFormat="1" applyBorder="1"/>
    <xf numFmtId="0" fontId="0" fillId="0" borderId="16" xfId="0" applyBorder="1"/>
    <xf numFmtId="0" fontId="0" fillId="0" borderId="18" xfId="0" applyBorder="1"/>
    <xf numFmtId="39" fontId="0" fillId="0" borderId="6" xfId="0" applyNumberFormat="1" applyBorder="1"/>
    <xf numFmtId="39" fontId="6" fillId="0" borderId="6" xfId="0" applyNumberFormat="1" applyFont="1" applyBorder="1"/>
    <xf numFmtId="39" fontId="0" fillId="0" borderId="12" xfId="0" applyNumberFormat="1" applyBorder="1"/>
    <xf numFmtId="0" fontId="0" fillId="0" borderId="9" xfId="0" applyBorder="1"/>
    <xf numFmtId="39" fontId="6" fillId="0" borderId="0" xfId="0" applyNumberFormat="1" applyFont="1"/>
    <xf numFmtId="39" fontId="6" fillId="0" borderId="17" xfId="0" applyNumberFormat="1" applyFont="1" applyBorder="1"/>
    <xf numFmtId="0" fontId="0" fillId="0" borderId="19" xfId="0" applyBorder="1"/>
    <xf numFmtId="39" fontId="6" fillId="0" borderId="12" xfId="0" applyNumberFormat="1" applyFont="1" applyBorder="1"/>
    <xf numFmtId="178" fontId="5" fillId="0" borderId="20" xfId="3" applyNumberFormat="1" applyFont="1" applyBorder="1"/>
    <xf numFmtId="180" fontId="23" fillId="0" borderId="21" xfId="3" applyNumberFormat="1" applyFont="1" applyBorder="1"/>
    <xf numFmtId="9" fontId="4" fillId="0" borderId="21" xfId="2" applyBorder="1"/>
    <xf numFmtId="180" fontId="6" fillId="0" borderId="21" xfId="3" applyNumberFormat="1" applyFont="1" applyBorder="1"/>
    <xf numFmtId="176" fontId="23" fillId="0" borderId="21" xfId="3" applyNumberFormat="1" applyFont="1" applyBorder="1"/>
    <xf numFmtId="180" fontId="27" fillId="0" borderId="22" xfId="3" applyNumberFormat="1" applyFont="1" applyBorder="1"/>
    <xf numFmtId="179" fontId="5" fillId="0" borderId="23" xfId="3" applyNumberFormat="1" applyFont="1" applyBorder="1"/>
    <xf numFmtId="179" fontId="5" fillId="0" borderId="20" xfId="3" applyNumberFormat="1" applyFont="1" applyBorder="1"/>
    <xf numFmtId="14" fontId="21" fillId="0" borderId="5" xfId="3" applyNumberFormat="1" applyFont="1" applyBorder="1"/>
    <xf numFmtId="169" fontId="4" fillId="0" borderId="0" xfId="1" applyNumberFormat="1"/>
    <xf numFmtId="170" fontId="8" fillId="0" borderId="0" xfId="0" applyNumberFormat="1" applyFont="1" applyAlignment="1">
      <alignment horizontal="center" vertical="center"/>
    </xf>
    <xf numFmtId="170" fontId="0" fillId="0" borderId="0" xfId="0" applyNumberFormat="1"/>
    <xf numFmtId="169" fontId="33" fillId="0" borderId="0" xfId="1" applyNumberFormat="1" applyFont="1"/>
    <xf numFmtId="180" fontId="7" fillId="0" borderId="0" xfId="3" applyNumberFormat="1" applyFont="1"/>
    <xf numFmtId="3" fontId="5" fillId="0" borderId="0" xfId="3" applyNumberFormat="1" applyFont="1"/>
    <xf numFmtId="14" fontId="7" fillId="0" borderId="0" xfId="3" applyNumberFormat="1" applyFont="1" applyAlignment="1">
      <alignment horizontal="left" vertical="center"/>
    </xf>
    <xf numFmtId="0" fontId="7" fillId="0" borderId="0" xfId="3" applyFont="1" applyAlignment="1">
      <alignment horizontal="left" vertical="center"/>
    </xf>
    <xf numFmtId="167" fontId="6" fillId="3" borderId="14" xfId="0" applyNumberFormat="1" applyFont="1" applyFill="1" applyBorder="1" applyAlignment="1">
      <alignment horizontal="right"/>
    </xf>
    <xf numFmtId="167" fontId="6" fillId="3" borderId="24" xfId="0" applyNumberFormat="1" applyFont="1" applyFill="1" applyBorder="1" applyAlignment="1">
      <alignment horizontal="right"/>
    </xf>
    <xf numFmtId="167" fontId="6" fillId="3" borderId="10" xfId="0" applyNumberFormat="1" applyFont="1" applyFill="1" applyBorder="1"/>
    <xf numFmtId="167" fontId="6" fillId="3" borderId="11" xfId="0" applyNumberFormat="1" applyFont="1" applyFill="1" applyBorder="1"/>
    <xf numFmtId="193" fontId="4" fillId="0" borderId="0" xfId="1" applyNumberFormat="1"/>
    <xf numFmtId="0" fontId="13" fillId="0" borderId="0" xfId="0" applyFont="1" applyAlignment="1">
      <alignment horizontal="left"/>
    </xf>
    <xf numFmtId="171" fontId="12" fillId="0" borderId="0" xfId="0" applyNumberFormat="1" applyFont="1"/>
    <xf numFmtId="165" fontId="13" fillId="0" borderId="0" xfId="0" applyNumberFormat="1" applyFont="1" applyAlignment="1">
      <alignment horizontal="center" vertical="center"/>
    </xf>
    <xf numFmtId="165" fontId="11" fillId="0" borderId="0" xfId="1" applyNumberFormat="1" applyFont="1"/>
    <xf numFmtId="165" fontId="8" fillId="0" borderId="0" xfId="0" applyNumberFormat="1" applyFont="1" applyAlignment="1">
      <alignment horizontal="center" vertical="center"/>
    </xf>
    <xf numFmtId="165" fontId="8" fillId="0" borderId="0" xfId="0" applyNumberFormat="1" applyFont="1"/>
    <xf numFmtId="165" fontId="14" fillId="0" borderId="0" xfId="1" applyNumberFormat="1" applyFont="1"/>
    <xf numFmtId="165" fontId="13" fillId="0" borderId="0" xfId="1" applyNumberFormat="1" applyFont="1"/>
    <xf numFmtId="165" fontId="17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5" fontId="11" fillId="0" borderId="0" xfId="0" applyNumberFormat="1" applyFont="1"/>
    <xf numFmtId="165" fontId="20" fillId="0" borderId="0" xfId="0" applyNumberFormat="1" applyFont="1" applyAlignment="1">
      <alignment horizontal="center" vertical="center"/>
    </xf>
    <xf numFmtId="165" fontId="14" fillId="0" borderId="0" xfId="0" applyNumberFormat="1" applyFont="1" applyAlignment="1">
      <alignment horizontal="center" vertical="center"/>
    </xf>
    <xf numFmtId="9" fontId="4" fillId="0" borderId="0" xfId="2"/>
    <xf numFmtId="165" fontId="14" fillId="0" borderId="3" xfId="1" applyNumberFormat="1" applyFont="1" applyBorder="1"/>
    <xf numFmtId="9" fontId="33" fillId="0" borderId="0" xfId="2" applyFont="1"/>
    <xf numFmtId="167" fontId="11" fillId="0" borderId="3" xfId="2" applyNumberFormat="1" applyFont="1" applyBorder="1"/>
    <xf numFmtId="167" fontId="6" fillId="0" borderId="0" xfId="0" applyNumberFormat="1" applyFont="1"/>
    <xf numFmtId="167" fontId="33" fillId="0" borderId="0" xfId="2" applyNumberFormat="1" applyFont="1"/>
    <xf numFmtId="170" fontId="13" fillId="0" borderId="0" xfId="0" applyNumberFormat="1" applyFont="1" applyAlignment="1">
      <alignment horizontal="center" vertical="center"/>
    </xf>
    <xf numFmtId="0" fontId="2" fillId="0" borderId="0" xfId="3" applyFont="1"/>
    <xf numFmtId="37" fontId="2" fillId="0" borderId="0" xfId="3" applyNumberFormat="1" applyFont="1" applyAlignment="1">
      <alignment horizontal="right"/>
    </xf>
    <xf numFmtId="169" fontId="13" fillId="0" borderId="0" xfId="0" applyNumberFormat="1" applyFont="1" applyAlignment="1">
      <alignment horizontal="center" vertical="center"/>
    </xf>
    <xf numFmtId="169" fontId="14" fillId="0" borderId="0" xfId="0" applyNumberFormat="1" applyFont="1" applyAlignment="1">
      <alignment horizontal="center" vertical="center"/>
    </xf>
    <xf numFmtId="169" fontId="14" fillId="0" borderId="0" xfId="1" applyNumberFormat="1" applyFont="1"/>
    <xf numFmtId="176" fontId="0" fillId="0" borderId="0" xfId="0" quotePrefix="1" applyNumberFormat="1"/>
    <xf numFmtId="194" fontId="5" fillId="0" borderId="0" xfId="3" applyNumberFormat="1" applyFont="1" applyAlignment="1">
      <alignment horizontal="right"/>
    </xf>
    <xf numFmtId="167" fontId="6" fillId="3" borderId="25" xfId="0" applyNumberFormat="1" applyFont="1" applyFill="1" applyBorder="1"/>
    <xf numFmtId="181" fontId="6" fillId="0" borderId="0" xfId="3" applyNumberFormat="1" applyFont="1"/>
    <xf numFmtId="181" fontId="31" fillId="3" borderId="25" xfId="3" applyNumberFormat="1" applyFont="1" applyFill="1" applyBorder="1"/>
    <xf numFmtId="0" fontId="5" fillId="0" borderId="0" xfId="0" applyFont="1"/>
    <xf numFmtId="165" fontId="19" fillId="0" borderId="0" xfId="0" applyNumberFormat="1" applyFont="1"/>
    <xf numFmtId="169" fontId="11" fillId="0" borderId="0" xfId="1" applyNumberFormat="1" applyFont="1"/>
    <xf numFmtId="171" fontId="8" fillId="0" borderId="0" xfId="0" applyNumberFormat="1" applyFont="1"/>
    <xf numFmtId="167" fontId="8" fillId="0" borderId="0" xfId="2" applyNumberFormat="1" applyFont="1" applyAlignment="1">
      <alignment horizontal="left"/>
    </xf>
    <xf numFmtId="0" fontId="8" fillId="0" borderId="0" xfId="0" applyFont="1" applyAlignment="1">
      <alignment horizontal="left"/>
    </xf>
    <xf numFmtId="171" fontId="13" fillId="0" borderId="0" xfId="1" applyNumberFormat="1" applyFont="1"/>
    <xf numFmtId="0" fontId="15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168" fontId="8" fillId="0" borderId="0" xfId="1" applyFont="1"/>
    <xf numFmtId="0" fontId="13" fillId="0" borderId="0" xfId="0" applyFont="1" applyAlignment="1">
      <alignment horizontal="left" indent="1"/>
    </xf>
    <xf numFmtId="195" fontId="19" fillId="0" borderId="2" xfId="0" applyNumberFormat="1" applyFont="1" applyBorder="1"/>
    <xf numFmtId="195" fontId="1" fillId="0" borderId="2" xfId="0" applyNumberFormat="1" applyFont="1" applyBorder="1" applyAlignment="1">
      <alignment horizontal="center"/>
    </xf>
    <xf numFmtId="170" fontId="13" fillId="0" borderId="3" xfId="0" applyNumberFormat="1" applyFont="1" applyBorder="1" applyAlignment="1">
      <alignment horizontal="center" vertical="center"/>
    </xf>
    <xf numFmtId="14" fontId="21" fillId="0" borderId="0" xfId="0" applyNumberFormat="1" applyFont="1" applyAlignment="1">
      <alignment horizontal="left"/>
    </xf>
    <xf numFmtId="170" fontId="11" fillId="0" borderId="0" xfId="1" applyNumberFormat="1" applyFont="1"/>
    <xf numFmtId="170" fontId="12" fillId="0" borderId="0" xfId="0" applyNumberFormat="1" applyFont="1"/>
    <xf numFmtId="190" fontId="37" fillId="0" borderId="7" xfId="3" applyNumberFormat="1" applyFont="1" applyBorder="1"/>
    <xf numFmtId="186" fontId="0" fillId="0" borderId="0" xfId="0" applyNumberFormat="1" applyAlignment="1">
      <alignment horizontal="right"/>
    </xf>
    <xf numFmtId="187" fontId="0" fillId="0" borderId="0" xfId="0" applyNumberFormat="1" applyAlignment="1">
      <alignment horizontal="right"/>
    </xf>
    <xf numFmtId="0" fontId="7" fillId="0" borderId="0" xfId="0" applyFont="1" applyAlignment="1">
      <alignment horizontal="center" vertical="center"/>
    </xf>
    <xf numFmtId="169" fontId="36" fillId="0" borderId="0" xfId="1" applyNumberFormat="1" applyFont="1" applyAlignment="1">
      <alignment horizontal="center" vertical="center"/>
    </xf>
    <xf numFmtId="169" fontId="12" fillId="0" borderId="0" xfId="1" applyNumberFormat="1" applyFont="1"/>
    <xf numFmtId="165" fontId="12" fillId="0" borderId="0" xfId="1" applyNumberFormat="1" applyFont="1"/>
    <xf numFmtId="10" fontId="11" fillId="0" borderId="0" xfId="2" applyNumberFormat="1" applyFont="1"/>
    <xf numFmtId="0" fontId="39" fillId="0" borderId="0" xfId="0" applyFont="1" applyAlignment="1">
      <alignment horizontal="center"/>
    </xf>
    <xf numFmtId="1" fontId="8" fillId="0" borderId="0" xfId="0" applyNumberFormat="1" applyFont="1"/>
    <xf numFmtId="1" fontId="8" fillId="0" borderId="0" xfId="0" applyNumberFormat="1" applyFont="1" applyAlignment="1">
      <alignment horizontal="center" vertical="center"/>
    </xf>
    <xf numFmtId="197" fontId="4" fillId="0" borderId="0" xfId="2" applyNumberFormat="1"/>
    <xf numFmtId="0" fontId="19" fillId="0" borderId="0" xfId="0" applyFont="1"/>
    <xf numFmtId="173" fontId="19" fillId="0" borderId="0" xfId="0" applyNumberFormat="1" applyFont="1"/>
  </cellXfs>
  <cellStyles count="7">
    <cellStyle name="Comma" xfId="1" builtinId="3"/>
    <cellStyle name="Hyperlink" xfId="5" builtinId="8"/>
    <cellStyle name="Normal" xfId="0" builtinId="0"/>
    <cellStyle name="Normal 15" xfId="6" xr:uid="{6DDD7A4B-57F6-404C-BA97-B891B271587B}"/>
    <cellStyle name="Normal 2" xfId="3" xr:uid="{937EC6E3-AE83-4BBC-ACEF-6FAAD38BC45D}"/>
    <cellStyle name="Normal_DCF_Model" xfId="4" xr:uid="{EB47B55B-6DFA-4D8F-B164-61C0BEC4F72F}"/>
    <cellStyle name="Percent" xfId="2" builtinId="5"/>
  </cellStyles>
  <dxfs count="3">
    <dxf>
      <font>
        <b/>
        <i val="0"/>
      </font>
      <fill>
        <patternFill patternType="solid">
          <bgColor theme="2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  <border>
        <left/>
        <right/>
        <top style="thin">
          <color rgb="FF9C0006"/>
        </top>
        <bottom style="thin">
          <color rgb="FF9C0006"/>
        </bottom>
        <vertical/>
        <horizontal/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F4F"/>
      <rgbColor rgb="FF222A35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DCF Equity Valuation Range 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2.3x-4.3x Exit EBITDA Range at 20.9% WACC</c:v>
                </c:pt>
                <c:pt idx="1">
                  <c:v>DCF Value at 9.0%-11.0% Perpetuity Range at 20.9%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DCF!$C$128:$C$130</c:f>
              <c:numCache>
                <c:formatCode>#,##0.00_);\(#,##0.00\)</c:formatCode>
                <c:ptCount val="3"/>
                <c:pt idx="0">
                  <c:v>6.3710553540295836</c:v>
                </c:pt>
                <c:pt idx="1">
                  <c:v>8.7152848057570829</c:v>
                </c:pt>
                <c:pt idx="2">
                  <c:v>8.17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83-4E91-8D66-944AAAC33F38}"/>
            </c:ext>
          </c:extLst>
        </c:ser>
        <c:ser>
          <c:idx val="1"/>
          <c:order val="1"/>
          <c:invertIfNegative val="0"/>
          <c:cat>
            <c:strRef>
              <c:f>DCF!$B$128:$B$130</c:f>
              <c:strCache>
                <c:ptCount val="3"/>
                <c:pt idx="0">
                  <c:v>DCF Value at 2.3x-4.3x Exit EBITDA Range at 20.9% WACC</c:v>
                </c:pt>
                <c:pt idx="1">
                  <c:v>DCF Value at 9.0%-11.0% Perpetuity Range at 20.9%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DCF!$D$128:$D$130</c:f>
              <c:numCache>
                <c:formatCode>#,##0.00_);\(#,##0.00\)</c:formatCode>
                <c:ptCount val="3"/>
                <c:pt idx="0">
                  <c:v>3.1922715905918428</c:v>
                </c:pt>
                <c:pt idx="1">
                  <c:v>0.98429507902638136</c:v>
                </c:pt>
                <c:pt idx="2">
                  <c:v>5.5500000000000007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83-4E91-8D66-944AAAC33F38}"/>
            </c:ext>
          </c:extLst>
        </c:ser>
        <c:ser>
          <c:idx val="2"/>
          <c:order val="2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2.3x-4.3x Exit EBITDA Range at 20.9% WACC</c:v>
                </c:pt>
                <c:pt idx="1">
                  <c:v>DCF Value at 9.0%-11.0% Perpetuity Range at 20.9%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DCF!$E$128:$E$130</c:f>
              <c:numCache>
                <c:formatCode>#,##0.00_);\(#,##0.00\)</c:formatCode>
                <c:ptCount val="3"/>
                <c:pt idx="0">
                  <c:v>9.5633269446214264</c:v>
                </c:pt>
                <c:pt idx="1">
                  <c:v>9.6995798847834642</c:v>
                </c:pt>
                <c:pt idx="2">
                  <c:v>13.72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83-4E91-8D66-944AAAC33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400"/>
          <c:min val="100"/>
        </c:scaling>
        <c:delete val="0"/>
        <c:axPos val="l"/>
        <c:numFmt formatCode="#,##0.00_);\(#,##0.00\)" sourceLinked="1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LTM EBITDA Multiple Range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20.9% WACC</c:v>
                </c:pt>
                <c:pt idx="1">
                  <c:v>LTM EBITDA Purchase Multiple at 3.1x-3.9x Exit EBITDA Multiple at 20.9% WACC</c:v>
                </c:pt>
                <c:pt idx="2">
                  <c:v>LTM EBITDA Purchase Multiple at 18.9%-22.9% WACC at 3.3x Exit EBITDA</c:v>
                </c:pt>
              </c:strCache>
            </c:strRef>
          </c:cat>
          <c:val>
            <c:numRef>
              <c:f>DCF!$O$128:$O$130</c:f>
              <c:numCache>
                <c:formatCode>#,##0.00_);\(#,##0.00\)</c:formatCode>
                <c:ptCount val="3"/>
                <c:pt idx="0">
                  <c:v>3.6561662758431823</c:v>
                </c:pt>
                <c:pt idx="1">
                  <c:v>3.0795390711162605</c:v>
                </c:pt>
                <c:pt idx="2">
                  <c:v>2.5507976014849945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5-4FE9-8BD7-0E0161403D7A}"/>
            </c:ext>
          </c:extLst>
        </c:ser>
        <c:ser>
          <c:idx val="1"/>
          <c:order val="1"/>
          <c:spPr>
            <a:solidFill>
              <a:schemeClr val="tx2"/>
            </a:solidFill>
          </c:spPr>
          <c:invertIfNegative val="0"/>
          <c:cat>
            <c:strRef>
              <c:f>DCF!$G$128:$G$130</c:f>
              <c:strCache>
                <c:ptCount val="3"/>
                <c:pt idx="0">
                  <c:v>LTM EBITDA Purchase Multiple at 9.0%-11.0% Perpetuity Growth at 20.9% WACC</c:v>
                </c:pt>
                <c:pt idx="1">
                  <c:v>LTM EBITDA Purchase Multiple at 3.1x-3.9x Exit EBITDA Multiple at 20.9% WACC</c:v>
                </c:pt>
                <c:pt idx="2">
                  <c:v>LTM EBITDA Purchase Multiple at 18.9%-22.9% WACC at 3.3x Exit EBITDA</c:v>
                </c:pt>
              </c:strCache>
            </c:strRef>
          </c:cat>
          <c:val>
            <c:numRef>
              <c:f>DCF!$P$128:$P$130</c:f>
              <c:numCache>
                <c:formatCode>#,##0.00_);\(#,##0.00\)</c:formatCode>
                <c:ptCount val="3"/>
                <c:pt idx="0">
                  <c:v>0.24211423486177708</c:v>
                </c:pt>
                <c:pt idx="1">
                  <c:v>0.7852263107844073</c:v>
                </c:pt>
                <c:pt idx="2">
                  <c:v>0.28327138914139738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D5-4FE9-8BD7-0E0161403D7A}"/>
            </c:ext>
          </c:extLst>
        </c:ser>
        <c:ser>
          <c:idx val="2"/>
          <c:order val="2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20.9% WACC</c:v>
                </c:pt>
                <c:pt idx="1">
                  <c:v>LTM EBITDA Purchase Multiple at 3.1x-3.9x Exit EBITDA Multiple at 20.9% WACC</c:v>
                </c:pt>
                <c:pt idx="2">
                  <c:v>LTM EBITDA Purchase Multiple at 18.9%-22.9% WACC at 3.3x Exit EBITDA</c:v>
                </c:pt>
              </c:strCache>
            </c:strRef>
          </c:cat>
          <c:val>
            <c:numRef>
              <c:f>DCF!$Q$128:$Q$130</c:f>
              <c:numCache>
                <c:formatCode>#,##0.00_);\(#,##0.00\)</c:formatCode>
                <c:ptCount val="3"/>
                <c:pt idx="0">
                  <c:v>3.8982805107049594</c:v>
                </c:pt>
                <c:pt idx="1">
                  <c:v>3.8647653819006678</c:v>
                </c:pt>
                <c:pt idx="2">
                  <c:v>2.8340689906263918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D5-4FE9-8BD7-0E0161403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20"/>
          <c:min val="10"/>
        </c:scaling>
        <c:delete val="0"/>
        <c:axPos val="l"/>
        <c:numFmt formatCode="#,##0.0\x;\-#,##0.0\x" sourceLinked="0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53578</xdr:colOff>
      <xdr:row>106</xdr:row>
      <xdr:rowOff>149424</xdr:rowOff>
    </xdr:from>
    <xdr:to>
      <xdr:col>4</xdr:col>
      <xdr:colOff>654844</xdr:colOff>
      <xdr:row>125</xdr:row>
      <xdr:rowOff>53578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529BCA-2888-434E-AC7E-5B03FCA5B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47228</xdr:colOff>
      <xdr:row>106</xdr:row>
      <xdr:rowOff>149424</xdr:rowOff>
    </xdr:from>
    <xdr:to>
      <xdr:col>15</xdr:col>
      <xdr:colOff>657225</xdr:colOff>
      <xdr:row>125</xdr:row>
      <xdr:rowOff>47228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38233F-A324-4062-8E99-2AF6A530E0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8"/>
  <sheetViews>
    <sheetView showGridLines="0" tabSelected="1" topLeftCell="A246" zoomScaleNormal="100" workbookViewId="0">
      <selection activeCell="F262" sqref="F262"/>
    </sheetView>
  </sheetViews>
  <sheetFormatPr defaultColWidth="9.140625" defaultRowHeight="15" x14ac:dyDescent="0.25"/>
  <cols>
    <col min="1" max="2" width="1.7109375" style="6" customWidth="1"/>
    <col min="3" max="3" width="66.42578125" style="6" bestFit="1" customWidth="1"/>
    <col min="4" max="4" width="17.140625" style="7" customWidth="1"/>
    <col min="5" max="11" width="17.140625" style="6" customWidth="1"/>
    <col min="12" max="12" width="2.7109375" style="6" customWidth="1"/>
    <col min="13" max="16384" width="9.140625" style="6"/>
  </cols>
  <sheetData>
    <row r="1" spans="3:11" ht="15" customHeight="1" thickBot="1" x14ac:dyDescent="0.3"/>
    <row r="2" spans="3:11" ht="15.75" thickBot="1" x14ac:dyDescent="0.3">
      <c r="C2" s="2" t="str">
        <f>Company_Name&amp;" - Financial Statement Model"</f>
        <v>Ibnsina Pharma - Financial Statement Model</v>
      </c>
      <c r="D2" s="8"/>
      <c r="E2" s="8"/>
      <c r="F2" s="8"/>
      <c r="G2" s="8"/>
      <c r="H2" s="8"/>
      <c r="I2" s="8"/>
      <c r="J2" s="8"/>
      <c r="K2" s="8"/>
    </row>
    <row r="3" spans="3:11" x14ac:dyDescent="0.25">
      <c r="C3" s="251" t="s">
        <v>212</v>
      </c>
      <c r="D3" s="9"/>
      <c r="E3" s="9"/>
      <c r="F3" s="9"/>
      <c r="G3" s="9"/>
      <c r="H3" s="9"/>
    </row>
    <row r="4" spans="3:11" ht="15" customHeight="1" x14ac:dyDescent="0.25"/>
    <row r="5" spans="3:11" x14ac:dyDescent="0.25">
      <c r="C5" s="3" t="s">
        <v>0</v>
      </c>
      <c r="D5" s="257" t="s">
        <v>214</v>
      </c>
    </row>
    <row r="6" spans="3:11" x14ac:dyDescent="0.25">
      <c r="C6" s="3" t="s">
        <v>1</v>
      </c>
      <c r="D6" s="4" t="s">
        <v>213</v>
      </c>
    </row>
    <row r="7" spans="3:11" x14ac:dyDescent="0.25">
      <c r="C7" s="6" t="s">
        <v>28</v>
      </c>
      <c r="D7" s="167">
        <v>11.92</v>
      </c>
    </row>
    <row r="8" spans="3:11" x14ac:dyDescent="0.25">
      <c r="C8" s="6" t="s">
        <v>29</v>
      </c>
      <c r="D8" s="5">
        <v>46183</v>
      </c>
    </row>
    <row r="9" spans="3:11" x14ac:dyDescent="0.25">
      <c r="C9" s="3" t="s">
        <v>2</v>
      </c>
      <c r="D9" s="5">
        <v>46022</v>
      </c>
    </row>
    <row r="10" spans="3:11" ht="15" customHeight="1" x14ac:dyDescent="0.25">
      <c r="C10" s="6" t="s">
        <v>30</v>
      </c>
      <c r="D10" s="258">
        <v>1008000000</v>
      </c>
    </row>
    <row r="11" spans="3:11" ht="15" customHeight="1" x14ac:dyDescent="0.25"/>
    <row r="12" spans="3:11" customFormat="1" x14ac:dyDescent="0.25">
      <c r="C12" s="41" t="s">
        <v>43</v>
      </c>
      <c r="D12" s="42"/>
      <c r="E12" s="42"/>
      <c r="F12" s="42"/>
      <c r="G12" s="42"/>
      <c r="H12" s="42"/>
      <c r="I12" s="42"/>
      <c r="J12" s="42"/>
      <c r="K12" s="42"/>
    </row>
    <row r="13" spans="3:11" customFormat="1" x14ac:dyDescent="0.25">
      <c r="C13" t="s">
        <v>44</v>
      </c>
      <c r="D13" s="43">
        <f>E13-1</f>
        <v>2023</v>
      </c>
      <c r="E13" s="43">
        <f>F13-1</f>
        <v>2024</v>
      </c>
      <c r="F13" s="43">
        <f>YEAR(D9)</f>
        <v>2025</v>
      </c>
      <c r="G13" s="44">
        <f>F13+1</f>
        <v>2026</v>
      </c>
      <c r="H13" s="44">
        <f>G13+1</f>
        <v>2027</v>
      </c>
      <c r="I13" s="44">
        <f>H13+1</f>
        <v>2028</v>
      </c>
      <c r="J13" s="44">
        <f>I13+1</f>
        <v>2029</v>
      </c>
      <c r="K13" s="44">
        <f>J13+1</f>
        <v>2030</v>
      </c>
    </row>
    <row r="14" spans="3:11" customFormat="1" x14ac:dyDescent="0.25">
      <c r="C14" s="45" t="s">
        <v>45</v>
      </c>
      <c r="D14" s="248">
        <f>EOMONTH(E14,-12)</f>
        <v>45291</v>
      </c>
      <c r="E14" s="248">
        <f>EOMONTH(F14,-12)</f>
        <v>45657</v>
      </c>
      <c r="F14" s="248">
        <f>D9</f>
        <v>46022</v>
      </c>
      <c r="G14" s="248">
        <f>EOMONTH(F14,12)</f>
        <v>46387</v>
      </c>
      <c r="H14" s="248">
        <f>EOMONTH(G14,12)</f>
        <v>46752</v>
      </c>
      <c r="I14" s="248">
        <f>EOMONTH(H14,12)</f>
        <v>47118</v>
      </c>
      <c r="J14" s="248">
        <f>EOMONTH(I14,12)</f>
        <v>47483</v>
      </c>
      <c r="K14" s="248">
        <f>EOMONTH(J14,12)</f>
        <v>47848</v>
      </c>
    </row>
    <row r="15" spans="3:11" ht="15" customHeight="1" x14ac:dyDescent="0.25"/>
    <row r="16" spans="3:11" ht="15" customHeight="1" x14ac:dyDescent="0.25">
      <c r="C16" s="6" t="s">
        <v>215</v>
      </c>
      <c r="D16" s="10">
        <v>33949328681</v>
      </c>
      <c r="E16" s="10">
        <v>55842453860</v>
      </c>
      <c r="F16" s="10">
        <v>76597057544</v>
      </c>
      <c r="G16" s="252">
        <f>G187</f>
        <v>95016404515.220001</v>
      </c>
      <c r="H16" s="252">
        <f t="shared" ref="H16:K16" si="0">H187</f>
        <v>111677425327.82851</v>
      </c>
      <c r="I16" s="252">
        <f t="shared" si="0"/>
        <v>126235910873.1221</v>
      </c>
      <c r="J16" s="252">
        <f t="shared" si="0"/>
        <v>140149350192.44565</v>
      </c>
      <c r="K16" s="252">
        <f t="shared" si="0"/>
        <v>154875598796.14084</v>
      </c>
    </row>
    <row r="17" spans="3:11" ht="15" customHeight="1" x14ac:dyDescent="0.25">
      <c r="C17" s="6" t="s">
        <v>216</v>
      </c>
      <c r="D17" s="10">
        <v>-31434239757</v>
      </c>
      <c r="E17" s="10">
        <v>-51445884310</v>
      </c>
      <c r="F17" s="10">
        <v>-70147680642</v>
      </c>
      <c r="G17" s="252">
        <f>G18-G16</f>
        <v>-87509663996.452606</v>
      </c>
      <c r="H17" s="252">
        <f t="shared" ref="H17:K17" si="1">H18-H16</f>
        <v>-102854386211.40158</v>
      </c>
      <c r="I17" s="252">
        <f t="shared" si="1"/>
        <v>-116262683282.4803</v>
      </c>
      <c r="J17" s="252">
        <f t="shared" si="1"/>
        <v>-129076895797.47821</v>
      </c>
      <c r="K17" s="252">
        <f t="shared" si="1"/>
        <v>-142639701860.4162</v>
      </c>
    </row>
    <row r="18" spans="3:11" s="13" customFormat="1" ht="15" customHeight="1" x14ac:dyDescent="0.25">
      <c r="C18" s="13" t="s">
        <v>217</v>
      </c>
      <c r="D18" s="14">
        <f>SUM(D16:D17)</f>
        <v>2515088924</v>
      </c>
      <c r="E18" s="14">
        <f t="shared" ref="E18:F18" si="2">SUM(E16:E17)</f>
        <v>4396569550</v>
      </c>
      <c r="F18" s="14">
        <f t="shared" si="2"/>
        <v>6449376902</v>
      </c>
      <c r="G18" s="14">
        <f>G16*G49</f>
        <v>7506740518.7673883</v>
      </c>
      <c r="H18" s="14">
        <f t="shared" ref="H18:K18" si="3">H16*H49</f>
        <v>8823039116.4269218</v>
      </c>
      <c r="I18" s="14">
        <f t="shared" si="3"/>
        <v>9973227590.6418018</v>
      </c>
      <c r="J18" s="14">
        <f t="shared" si="3"/>
        <v>11072454394.96744</v>
      </c>
      <c r="K18" s="14">
        <f t="shared" si="3"/>
        <v>12235896935.724628</v>
      </c>
    </row>
    <row r="19" spans="3:11" s="15" customFormat="1" ht="15" customHeight="1" x14ac:dyDescent="0.25">
      <c r="C19" s="240" t="s">
        <v>218</v>
      </c>
      <c r="D19" s="196">
        <v>10851313</v>
      </c>
      <c r="E19" s="196">
        <v>10661258</v>
      </c>
      <c r="F19" s="196">
        <v>82436233</v>
      </c>
      <c r="G19" s="238">
        <f>G16*G50</f>
        <v>24255281.375519291</v>
      </c>
      <c r="H19" s="238">
        <f t="shared" ref="H19:K19" si="4">H16*H50</f>
        <v>28508417.977299139</v>
      </c>
      <c r="I19" s="238">
        <f t="shared" si="4"/>
        <v>32224830.581040241</v>
      </c>
      <c r="J19" s="238">
        <f t="shared" si="4"/>
        <v>35776579.221848346</v>
      </c>
      <c r="K19" s="238">
        <f t="shared" si="4"/>
        <v>39535817.485081717</v>
      </c>
    </row>
    <row r="20" spans="3:11" s="15" customFormat="1" ht="15" customHeight="1" x14ac:dyDescent="0.25">
      <c r="C20" s="240" t="s">
        <v>219</v>
      </c>
      <c r="D20" s="196">
        <v>-779610743</v>
      </c>
      <c r="E20" s="196">
        <v>-1171211545</v>
      </c>
      <c r="F20" s="196">
        <v>-1669119042</v>
      </c>
      <c r="G20" s="238">
        <f>G16*-G51</f>
        <v>-2081757216.6941161</v>
      </c>
      <c r="H20" s="238">
        <f t="shared" ref="H20:K20" si="5">H16*-H51</f>
        <v>-2446791028.3932614</v>
      </c>
      <c r="I20" s="238">
        <f t="shared" si="5"/>
        <v>-2765759447.6118312</v>
      </c>
      <c r="J20" s="238">
        <f t="shared" si="5"/>
        <v>-3070595258.4364543</v>
      </c>
      <c r="K20" s="238">
        <f t="shared" si="5"/>
        <v>-3393239274.0881252</v>
      </c>
    </row>
    <row r="21" spans="3:11" s="15" customFormat="1" ht="15" customHeight="1" x14ac:dyDescent="0.25">
      <c r="C21" s="240" t="s">
        <v>220</v>
      </c>
      <c r="D21" s="196">
        <v>-509549716</v>
      </c>
      <c r="E21" s="196">
        <v>-759849898</v>
      </c>
      <c r="F21" s="196">
        <v>-1011851126</v>
      </c>
      <c r="G21" s="238">
        <f>-G16*G52</f>
        <v>-1324725244.8319023</v>
      </c>
      <c r="H21" s="238">
        <f t="shared" ref="H21:K21" si="6">-H16*H52</f>
        <v>-1557014342.5697227</v>
      </c>
      <c r="I21" s="238">
        <f t="shared" si="6"/>
        <v>-1759989749.0457854</v>
      </c>
      <c r="J21" s="238">
        <f t="shared" si="6"/>
        <v>-1953971876.6876738</v>
      </c>
      <c r="K21" s="238">
        <f t="shared" si="6"/>
        <v>-2159286247.2589226</v>
      </c>
    </row>
    <row r="22" spans="3:11" s="15" customFormat="1" ht="15" customHeight="1" x14ac:dyDescent="0.25">
      <c r="C22" s="240" t="s">
        <v>221</v>
      </c>
      <c r="D22" s="196">
        <v>-83845217</v>
      </c>
      <c r="E22" s="196">
        <v>-200374437</v>
      </c>
      <c r="F22" s="196">
        <v>-237188636</v>
      </c>
      <c r="G22" s="238">
        <f>-G16*G53</f>
        <v>-285049213.54566002</v>
      </c>
      <c r="H22" s="238">
        <f t="shared" ref="H22:K22" si="7">-H16*H53</f>
        <v>-335032275.98348552</v>
      </c>
      <c r="I22" s="238">
        <f t="shared" si="7"/>
        <v>-378707732.61936629</v>
      </c>
      <c r="J22" s="238">
        <f t="shared" si="7"/>
        <v>-420448050.57733697</v>
      </c>
      <c r="K22" s="238">
        <f t="shared" si="7"/>
        <v>-464626796.38842255</v>
      </c>
    </row>
    <row r="23" spans="3:11" s="15" customFormat="1" ht="15" customHeight="1" x14ac:dyDescent="0.25">
      <c r="C23" s="240" t="s">
        <v>222</v>
      </c>
      <c r="D23" s="196">
        <v>0</v>
      </c>
      <c r="E23" s="196">
        <v>0</v>
      </c>
      <c r="F23" s="196">
        <v>-167491</v>
      </c>
      <c r="G23" s="238">
        <f>G16*-G54</f>
        <v>0</v>
      </c>
      <c r="H23" s="238">
        <f t="shared" ref="H23:K23" si="8">H16*-H54</f>
        <v>0</v>
      </c>
      <c r="I23" s="238">
        <f t="shared" si="8"/>
        <v>0</v>
      </c>
      <c r="J23" s="238">
        <f t="shared" si="8"/>
        <v>0</v>
      </c>
      <c r="K23" s="238">
        <f t="shared" si="8"/>
        <v>0</v>
      </c>
    </row>
    <row r="24" spans="3:11" s="15" customFormat="1" ht="15" customHeight="1" x14ac:dyDescent="0.25">
      <c r="C24" s="240" t="s">
        <v>223</v>
      </c>
      <c r="D24" s="196">
        <v>0</v>
      </c>
      <c r="E24" s="196">
        <v>-15000000</v>
      </c>
      <c r="F24" s="196">
        <v>-33877</v>
      </c>
      <c r="G24" s="238">
        <f>G16*-G55</f>
        <v>0</v>
      </c>
      <c r="H24" s="238">
        <f t="shared" ref="H24:K24" si="9">H16*-H55</f>
        <v>0</v>
      </c>
      <c r="I24" s="238">
        <f t="shared" si="9"/>
        <v>0</v>
      </c>
      <c r="J24" s="238">
        <f t="shared" si="9"/>
        <v>0</v>
      </c>
      <c r="K24" s="238">
        <f t="shared" si="9"/>
        <v>0</v>
      </c>
    </row>
    <row r="25" spans="3:11" s="15" customFormat="1" ht="15" customHeight="1" x14ac:dyDescent="0.25">
      <c r="C25" s="240" t="s">
        <v>224</v>
      </c>
      <c r="D25" s="196">
        <v>-5000000</v>
      </c>
      <c r="E25" s="196">
        <v>-8000000</v>
      </c>
      <c r="F25" s="196">
        <v>0</v>
      </c>
      <c r="G25" s="238">
        <f>G16*-G56</f>
        <v>0</v>
      </c>
      <c r="H25" s="238">
        <f t="shared" ref="H25:K25" si="10">H16*-H56</f>
        <v>0</v>
      </c>
      <c r="I25" s="238">
        <f t="shared" si="10"/>
        <v>0</v>
      </c>
      <c r="J25" s="238">
        <f t="shared" si="10"/>
        <v>0</v>
      </c>
      <c r="K25" s="238">
        <f t="shared" si="10"/>
        <v>0</v>
      </c>
    </row>
    <row r="26" spans="3:11" ht="15" customHeight="1" x14ac:dyDescent="0.25">
      <c r="C26" s="206" t="s">
        <v>225</v>
      </c>
      <c r="D26" s="230">
        <f>SUM(D18:D25)</f>
        <v>1147934561</v>
      </c>
      <c r="E26" s="230">
        <f t="shared" ref="E26:F26" si="11">SUM(E18:E25)</f>
        <v>2252794928</v>
      </c>
      <c r="F26" s="230">
        <f t="shared" si="11"/>
        <v>3613452963</v>
      </c>
      <c r="G26" s="230">
        <f t="shared" ref="G26" si="12">SUM(G18:G25)</f>
        <v>3839464125.071229</v>
      </c>
      <c r="H26" s="230">
        <f t="shared" ref="H26" si="13">SUM(H18:H25)</f>
        <v>4512709887.4577513</v>
      </c>
      <c r="I26" s="230">
        <f t="shared" ref="I26" si="14">SUM(I18:I25)</f>
        <v>5100995491.945857</v>
      </c>
      <c r="J26" s="230">
        <f t="shared" ref="J26" si="15">SUM(J18:J25)</f>
        <v>5663215788.4878216</v>
      </c>
      <c r="K26" s="230">
        <f t="shared" ref="K26" si="16">SUM(K18:K25)</f>
        <v>6258280435.4742403</v>
      </c>
    </row>
    <row r="27" spans="3:11" ht="15" customHeight="1" x14ac:dyDescent="0.25">
      <c r="C27" s="241" t="s">
        <v>226</v>
      </c>
      <c r="D27" s="196">
        <v>126648146</v>
      </c>
      <c r="E27" s="196">
        <v>79667963</v>
      </c>
      <c r="F27" s="196">
        <v>17654267</v>
      </c>
      <c r="G27" s="238">
        <f>G241</f>
        <v>19012519.646265272</v>
      </c>
      <c r="H27" s="238">
        <f t="shared" ref="H27:K27" si="17">H241</f>
        <v>23326612.401892584</v>
      </c>
      <c r="I27" s="238">
        <f t="shared" si="17"/>
        <v>27228878.280337531</v>
      </c>
      <c r="J27" s="238">
        <f t="shared" si="17"/>
        <v>30638698.244204368</v>
      </c>
      <c r="K27" s="238">
        <f t="shared" si="17"/>
        <v>33897438.516980596</v>
      </c>
    </row>
    <row r="28" spans="3:11" s="13" customFormat="1" ht="15" customHeight="1" x14ac:dyDescent="0.25">
      <c r="C28" s="241" t="s">
        <v>227</v>
      </c>
      <c r="D28" s="196">
        <v>38526137</v>
      </c>
      <c r="E28" s="196">
        <v>55346842</v>
      </c>
      <c r="F28" s="196">
        <v>4671096</v>
      </c>
      <c r="G28" s="238">
        <v>0</v>
      </c>
      <c r="H28" s="238">
        <v>0</v>
      </c>
      <c r="I28" s="238">
        <v>0</v>
      </c>
      <c r="J28" s="238">
        <v>0</v>
      </c>
      <c r="K28" s="238">
        <v>0</v>
      </c>
    </row>
    <row r="29" spans="3:11" s="13" customFormat="1" ht="15" customHeight="1" x14ac:dyDescent="0.25">
      <c r="C29" s="241" t="s">
        <v>237</v>
      </c>
      <c r="D29" s="196">
        <v>-1130726</v>
      </c>
      <c r="E29" s="196">
        <v>0</v>
      </c>
      <c r="F29" s="196">
        <v>0</v>
      </c>
      <c r="G29" s="238">
        <f>F29</f>
        <v>0</v>
      </c>
      <c r="H29" s="238">
        <f t="shared" ref="H29:K29" si="18">G29</f>
        <v>0</v>
      </c>
      <c r="I29" s="238">
        <f t="shared" si="18"/>
        <v>0</v>
      </c>
      <c r="J29" s="238">
        <f t="shared" si="18"/>
        <v>0</v>
      </c>
      <c r="K29" s="238">
        <f t="shared" si="18"/>
        <v>0</v>
      </c>
    </row>
    <row r="30" spans="3:11" s="13" customFormat="1" ht="15" customHeight="1" x14ac:dyDescent="0.25">
      <c r="C30" s="241" t="s">
        <v>228</v>
      </c>
      <c r="D30" s="196"/>
      <c r="E30" s="196">
        <v>1561997</v>
      </c>
      <c r="F30" s="196">
        <v>0</v>
      </c>
      <c r="G30" s="238">
        <f>F30</f>
        <v>0</v>
      </c>
      <c r="H30" s="238">
        <f t="shared" ref="H30:K31" si="19">G30</f>
        <v>0</v>
      </c>
      <c r="I30" s="238">
        <f t="shared" si="19"/>
        <v>0</v>
      </c>
      <c r="J30" s="238">
        <f t="shared" si="19"/>
        <v>0</v>
      </c>
      <c r="K30" s="238">
        <f t="shared" si="19"/>
        <v>0</v>
      </c>
    </row>
    <row r="31" spans="3:11" s="13" customFormat="1" ht="15" customHeight="1" x14ac:dyDescent="0.25">
      <c r="C31" s="241" t="s">
        <v>229</v>
      </c>
      <c r="D31" s="196">
        <v>0</v>
      </c>
      <c r="E31" s="196">
        <v>204433</v>
      </c>
      <c r="F31" s="196">
        <v>179702</v>
      </c>
      <c r="G31" s="238">
        <f>F31</f>
        <v>179702</v>
      </c>
      <c r="H31" s="238">
        <f t="shared" si="19"/>
        <v>179702</v>
      </c>
      <c r="I31" s="238">
        <f t="shared" si="19"/>
        <v>179702</v>
      </c>
      <c r="J31" s="238">
        <f t="shared" si="19"/>
        <v>179702</v>
      </c>
      <c r="K31" s="238">
        <f t="shared" si="19"/>
        <v>179702</v>
      </c>
    </row>
    <row r="32" spans="3:11" s="13" customFormat="1" ht="15" customHeight="1" x14ac:dyDescent="0.25">
      <c r="C32" s="241" t="s">
        <v>230</v>
      </c>
      <c r="D32" s="196">
        <v>-1043962683</v>
      </c>
      <c r="E32" s="196">
        <v>-1686295503</v>
      </c>
      <c r="F32" s="196">
        <v>-2558614785</v>
      </c>
      <c r="G32" s="238">
        <f>G240</f>
        <v>-2771048125.6881018</v>
      </c>
      <c r="H32" s="238">
        <f t="shared" ref="H32:K32" si="20">H240</f>
        <v>-3003139342.4195976</v>
      </c>
      <c r="I32" s="238">
        <f t="shared" si="20"/>
        <v>-3330033627.5570168</v>
      </c>
      <c r="J32" s="238">
        <f t="shared" si="20"/>
        <v>-3562267782.2996297</v>
      </c>
      <c r="K32" s="238">
        <f t="shared" si="20"/>
        <v>-3707418081.8682361</v>
      </c>
    </row>
    <row r="33" spans="3:11" s="13" customFormat="1" ht="15" customHeight="1" x14ac:dyDescent="0.25">
      <c r="C33" s="13" t="s">
        <v>203</v>
      </c>
      <c r="D33" s="230">
        <f>SUM(D27:D32)</f>
        <v>-879919126</v>
      </c>
      <c r="E33" s="230">
        <f>SUM(E27:E32)</f>
        <v>-1549514268</v>
      </c>
      <c r="F33" s="230">
        <f>SUM(F27:F32)</f>
        <v>-2536109720</v>
      </c>
      <c r="G33" s="230">
        <f t="shared" ref="G33:K33" si="21">SUM(G27:G32)</f>
        <v>-2751855904.0418363</v>
      </c>
      <c r="H33" s="230">
        <f t="shared" si="21"/>
        <v>-2979633028.017705</v>
      </c>
      <c r="I33" s="230">
        <f t="shared" si="21"/>
        <v>-3302625047.2766795</v>
      </c>
      <c r="J33" s="230">
        <f t="shared" si="21"/>
        <v>-3531449382.0554252</v>
      </c>
      <c r="K33" s="230">
        <f t="shared" si="21"/>
        <v>-3673340941.3512554</v>
      </c>
    </row>
    <row r="34" spans="3:11" ht="15" customHeight="1" x14ac:dyDescent="0.25">
      <c r="C34" s="13" t="s">
        <v>231</v>
      </c>
      <c r="D34" s="230">
        <f>D26+D33</f>
        <v>268015435</v>
      </c>
      <c r="E34" s="230">
        <f>E26+E33</f>
        <v>703280660</v>
      </c>
      <c r="F34" s="230">
        <f>F26+F33</f>
        <v>1077343243</v>
      </c>
      <c r="G34" s="230">
        <f t="shared" ref="G34:K34" si="22">G26+G33</f>
        <v>1087608221.0293927</v>
      </c>
      <c r="H34" s="230">
        <f t="shared" si="22"/>
        <v>1533076859.4400463</v>
      </c>
      <c r="I34" s="230">
        <f t="shared" si="22"/>
        <v>1798370444.6691775</v>
      </c>
      <c r="J34" s="230">
        <f t="shared" si="22"/>
        <v>2131766406.4323964</v>
      </c>
      <c r="K34" s="230">
        <f t="shared" si="22"/>
        <v>2584939494.1229849</v>
      </c>
    </row>
    <row r="35" spans="3:11" ht="15" customHeight="1" x14ac:dyDescent="0.25">
      <c r="C35" s="6" t="s">
        <v>232</v>
      </c>
      <c r="D35" s="259">
        <v>-87140976</v>
      </c>
      <c r="E35" s="259">
        <v>-203053836</v>
      </c>
      <c r="F35" s="259">
        <v>-256985432</v>
      </c>
      <c r="G35" s="230">
        <f>-G34*G57</f>
        <v>-244711849.73161337</v>
      </c>
      <c r="H35" s="230">
        <f t="shared" ref="H35:K35" si="23">-H34*H57</f>
        <v>-344942293.37401044</v>
      </c>
      <c r="I35" s="230">
        <f t="shared" si="23"/>
        <v>-404633350.05056494</v>
      </c>
      <c r="J35" s="230">
        <f t="shared" si="23"/>
        <v>-479647441.44728923</v>
      </c>
      <c r="K35" s="230">
        <f t="shared" si="23"/>
        <v>-581611386.17767167</v>
      </c>
    </row>
    <row r="36" spans="3:11" ht="15" customHeight="1" x14ac:dyDescent="0.25">
      <c r="C36" s="6" t="s">
        <v>233</v>
      </c>
      <c r="D36" s="259">
        <v>32398011</v>
      </c>
      <c r="E36" s="259">
        <v>114335521</v>
      </c>
      <c r="F36" s="259">
        <v>131625556</v>
      </c>
      <c r="G36" s="196">
        <v>0</v>
      </c>
      <c r="H36" s="196">
        <v>0</v>
      </c>
      <c r="I36" s="196">
        <v>0</v>
      </c>
      <c r="J36" s="196">
        <v>0</v>
      </c>
      <c r="K36" s="196">
        <v>0</v>
      </c>
    </row>
    <row r="37" spans="3:11" ht="15" customHeight="1" x14ac:dyDescent="0.25">
      <c r="C37" s="13" t="s">
        <v>234</v>
      </c>
      <c r="D37" s="230">
        <f>SUM(D34:D36)</f>
        <v>213272470</v>
      </c>
      <c r="E37" s="230">
        <f t="shared" ref="E37:F37" si="24">SUM(E34:E36)</f>
        <v>614562345</v>
      </c>
      <c r="F37" s="230">
        <f t="shared" si="24"/>
        <v>951983367</v>
      </c>
      <c r="G37" s="230">
        <f t="shared" ref="G37" si="25">SUM(G34:G36)</f>
        <v>842896371.29777932</v>
      </c>
      <c r="H37" s="230">
        <f t="shared" ref="H37" si="26">SUM(H34:H36)</f>
        <v>1188134566.0660357</v>
      </c>
      <c r="I37" s="230">
        <f t="shared" ref="I37" si="27">SUM(I34:I36)</f>
        <v>1393737094.6186125</v>
      </c>
      <c r="J37" s="230">
        <f t="shared" ref="J37" si="28">SUM(J34:J36)</f>
        <v>1652118964.9851072</v>
      </c>
      <c r="K37" s="230">
        <f t="shared" ref="K37" si="29">SUM(K34:K36)</f>
        <v>2003328107.9453132</v>
      </c>
    </row>
    <row r="38" spans="3:11" ht="15" customHeight="1" x14ac:dyDescent="0.25">
      <c r="C38" s="6" t="s">
        <v>235</v>
      </c>
      <c r="D38" s="238">
        <f>D37-D39</f>
        <v>213660634</v>
      </c>
      <c r="E38" s="238">
        <f t="shared" ref="E38:F38" si="30">E37-E39</f>
        <v>614562351</v>
      </c>
      <c r="F38" s="238">
        <f t="shared" si="30"/>
        <v>951983350</v>
      </c>
      <c r="G38" s="238">
        <f t="shared" ref="G38" si="31">G37-G39</f>
        <v>842896354.29777932</v>
      </c>
      <c r="H38" s="238">
        <f t="shared" ref="H38" si="32">H37-H39</f>
        <v>1188134549.0660357</v>
      </c>
      <c r="I38" s="238">
        <f t="shared" ref="I38" si="33">I37-I39</f>
        <v>1393737077.6186125</v>
      </c>
      <c r="J38" s="238">
        <f t="shared" ref="J38" si="34">J37-J39</f>
        <v>1652118947.9851072</v>
      </c>
      <c r="K38" s="238">
        <f t="shared" ref="K38" si="35">K37-K39</f>
        <v>2003328090.9453132</v>
      </c>
    </row>
    <row r="39" spans="3:11" ht="15" customHeight="1" x14ac:dyDescent="0.25">
      <c r="C39" s="6" t="s">
        <v>236</v>
      </c>
      <c r="D39" s="259">
        <v>-388164</v>
      </c>
      <c r="E39" s="259">
        <v>-6</v>
      </c>
      <c r="F39" s="259">
        <v>17</v>
      </c>
      <c r="G39" s="19">
        <f>F39</f>
        <v>17</v>
      </c>
      <c r="H39" s="19">
        <f t="shared" ref="H39:K39" si="36">G39</f>
        <v>17</v>
      </c>
      <c r="I39" s="19">
        <f t="shared" si="36"/>
        <v>17</v>
      </c>
      <c r="J39" s="19">
        <f t="shared" si="36"/>
        <v>17</v>
      </c>
      <c r="K39" s="19">
        <f t="shared" si="36"/>
        <v>17</v>
      </c>
    </row>
    <row r="40" spans="3:11" ht="15" customHeight="1" x14ac:dyDescent="0.25">
      <c r="D40" s="14"/>
      <c r="E40" s="14"/>
      <c r="F40" s="14"/>
      <c r="G40" s="239"/>
      <c r="H40" s="242"/>
      <c r="I40" s="242"/>
      <c r="J40" s="242"/>
      <c r="K40" s="242"/>
    </row>
    <row r="41" spans="3:11" s="13" customFormat="1" ht="15" customHeight="1" x14ac:dyDescent="0.25">
      <c r="C41" s="243" t="s">
        <v>24</v>
      </c>
      <c r="D41" s="14">
        <f t="shared" ref="D41:K41" si="37">D26+D177</f>
        <v>1338723079</v>
      </c>
      <c r="E41" s="14">
        <f t="shared" si="37"/>
        <v>2518531176</v>
      </c>
      <c r="F41" s="14">
        <f t="shared" si="37"/>
        <v>3962215703</v>
      </c>
      <c r="G41" s="14">
        <f t="shared" si="37"/>
        <v>4267593810.460001</v>
      </c>
      <c r="H41" s="14">
        <f t="shared" si="37"/>
        <v>5015911636.8248568</v>
      </c>
      <c r="I41" s="14">
        <f t="shared" si="37"/>
        <v>5669795596.3343334</v>
      </c>
      <c r="J41" s="14">
        <f t="shared" si="37"/>
        <v>6294707766.2306881</v>
      </c>
      <c r="K41" s="14">
        <f t="shared" si="37"/>
        <v>6956126683.4489069</v>
      </c>
    </row>
    <row r="42" spans="3:11" ht="15" customHeight="1" x14ac:dyDescent="0.25">
      <c r="C42" s="244" t="s">
        <v>151</v>
      </c>
      <c r="D42" s="15">
        <f>D41/D16</f>
        <v>3.9432976468522236E-2</v>
      </c>
      <c r="E42" s="15">
        <f t="shared" ref="E42:F42" si="38">E41/E16</f>
        <v>4.5100653748384546E-2</v>
      </c>
      <c r="F42" s="15">
        <f t="shared" si="38"/>
        <v>5.1728040606833572E-2</v>
      </c>
      <c r="G42" s="15">
        <f t="shared" ref="G42" si="39">G41/G16</f>
        <v>4.49142843515659E-2</v>
      </c>
      <c r="H42" s="15">
        <f t="shared" ref="H42" si="40">H41/H16</f>
        <v>4.4914284351565893E-2</v>
      </c>
      <c r="I42" s="15">
        <f t="shared" ref="I42" si="41">I41/I16</f>
        <v>4.4914284351565879E-2</v>
      </c>
      <c r="J42" s="15">
        <f t="shared" ref="J42" si="42">J41/J16</f>
        <v>4.4914284351565879E-2</v>
      </c>
      <c r="K42" s="15">
        <f t="shared" ref="K42" si="43">K41/K16</f>
        <v>4.49142843515659E-2</v>
      </c>
    </row>
    <row r="43" spans="3:11" ht="15" customHeight="1" x14ac:dyDescent="0.25">
      <c r="C43" s="243"/>
      <c r="D43" s="14"/>
      <c r="E43" s="14"/>
      <c r="F43" s="14"/>
      <c r="G43" s="14"/>
      <c r="H43" s="14"/>
      <c r="I43" s="14"/>
      <c r="J43" s="14"/>
      <c r="K43" s="14"/>
    </row>
    <row r="44" spans="3:11" ht="15" customHeight="1" x14ac:dyDescent="0.25">
      <c r="C44" s="245" t="s">
        <v>30</v>
      </c>
      <c r="D44" s="19"/>
      <c r="E44" s="19"/>
      <c r="F44" s="19">
        <f>$D$10</f>
        <v>1008000000</v>
      </c>
      <c r="G44" s="19">
        <f t="shared" ref="G44:K44" si="44">$D$10</f>
        <v>1008000000</v>
      </c>
      <c r="H44" s="19">
        <f t="shared" si="44"/>
        <v>1008000000</v>
      </c>
      <c r="I44" s="19">
        <f t="shared" si="44"/>
        <v>1008000000</v>
      </c>
      <c r="J44" s="19">
        <f t="shared" si="44"/>
        <v>1008000000</v>
      </c>
      <c r="K44" s="19">
        <f t="shared" si="44"/>
        <v>1008000000</v>
      </c>
    </row>
    <row r="45" spans="3:11" ht="15" customHeight="1" x14ac:dyDescent="0.25">
      <c r="C45" s="245" t="s">
        <v>42</v>
      </c>
      <c r="D45" s="246"/>
      <c r="E45" s="246"/>
      <c r="F45" s="246">
        <f>F38/F44</f>
        <v>0.94442792658730157</v>
      </c>
      <c r="G45" s="246">
        <f t="shared" ref="G45:K45" si="45">G38/G44</f>
        <v>0.83620670069224134</v>
      </c>
      <c r="H45" s="246">
        <f t="shared" si="45"/>
        <v>1.1787049097877338</v>
      </c>
      <c r="I45" s="246">
        <f t="shared" si="45"/>
        <v>1.382675672240687</v>
      </c>
      <c r="J45" s="246">
        <f t="shared" si="45"/>
        <v>1.6390068928423682</v>
      </c>
      <c r="K45" s="246">
        <f t="shared" si="45"/>
        <v>1.9874286616520964</v>
      </c>
    </row>
    <row r="46" spans="3:11" ht="15" customHeight="1" x14ac:dyDescent="0.25">
      <c r="C46" s="17"/>
      <c r="D46" s="14"/>
      <c r="E46" s="14"/>
      <c r="F46" s="14"/>
      <c r="G46" s="205"/>
      <c r="H46" s="14"/>
      <c r="I46" s="14"/>
      <c r="J46" s="14"/>
      <c r="K46" s="14"/>
    </row>
    <row r="47" spans="3:11" ht="15" customHeight="1" x14ac:dyDescent="0.25">
      <c r="C47" s="20" t="s">
        <v>27</v>
      </c>
      <c r="D47" s="21"/>
      <c r="E47" s="21"/>
      <c r="F47" s="14"/>
      <c r="H47" s="21"/>
      <c r="I47" s="21"/>
      <c r="J47" s="21"/>
      <c r="K47" s="21"/>
    </row>
    <row r="48" spans="3:11" ht="15" customHeight="1" x14ac:dyDescent="0.25">
      <c r="C48" s="17" t="s">
        <v>25</v>
      </c>
      <c r="D48" s="22"/>
      <c r="E48" s="222">
        <f>E16/D16-1</f>
        <v>0.6448765271536181</v>
      </c>
      <c r="F48" s="222">
        <f t="shared" ref="F48:K48" si="46">F16/E16-1</f>
        <v>0.37166353283888443</v>
      </c>
      <c r="G48" s="222">
        <f t="shared" si="46"/>
        <v>0.2404706859743182</v>
      </c>
      <c r="H48" s="222">
        <f t="shared" si="46"/>
        <v>0.17534888735912646</v>
      </c>
      <c r="I48" s="222">
        <f t="shared" si="46"/>
        <v>0.13036193754070924</v>
      </c>
      <c r="J48" s="222">
        <f t="shared" si="46"/>
        <v>0.11021775993130634</v>
      </c>
      <c r="K48" s="222">
        <f t="shared" si="46"/>
        <v>0.10507539694956769</v>
      </c>
    </row>
    <row r="49" spans="3:11" ht="15" customHeight="1" x14ac:dyDescent="0.25">
      <c r="C49" s="17" t="s">
        <v>198</v>
      </c>
      <c r="D49" s="22">
        <f>D18/D16</f>
        <v>7.4083612893576553E-2</v>
      </c>
      <c r="E49" s="22">
        <f t="shared" ref="E49:F49" si="47">E18/E16</f>
        <v>7.8731668221859188E-2</v>
      </c>
      <c r="F49" s="22">
        <f t="shared" si="47"/>
        <v>8.4198755262827885E-2</v>
      </c>
      <c r="G49" s="22">
        <f>AVERAGE(D49:F49)</f>
        <v>7.9004678792754537E-2</v>
      </c>
      <c r="H49" s="22">
        <f>G49</f>
        <v>7.9004678792754537E-2</v>
      </c>
      <c r="I49" s="22">
        <f t="shared" ref="I49:K50" si="48">H49</f>
        <v>7.9004678792754537E-2</v>
      </c>
      <c r="J49" s="22">
        <f t="shared" si="48"/>
        <v>7.9004678792754537E-2</v>
      </c>
      <c r="K49" s="22">
        <f t="shared" si="48"/>
        <v>7.9004678792754537E-2</v>
      </c>
    </row>
    <row r="50" spans="3:11" ht="15" customHeight="1" x14ac:dyDescent="0.25">
      <c r="C50" s="17" t="s">
        <v>273</v>
      </c>
      <c r="D50" s="22">
        <f>D19/D16</f>
        <v>3.1963262372469297E-4</v>
      </c>
      <c r="E50" s="22">
        <f t="shared" ref="E50:F50" si="49">E19/E16</f>
        <v>1.909167177131639E-4</v>
      </c>
      <c r="F50" s="22">
        <f t="shared" si="49"/>
        <v>1.0762323729295446E-3</v>
      </c>
      <c r="G50" s="22">
        <f>AVERAGE(D50:E50)</f>
        <v>2.5527467071892842E-4</v>
      </c>
      <c r="H50" s="22">
        <f>G50</f>
        <v>2.5527467071892842E-4</v>
      </c>
      <c r="I50" s="22">
        <f t="shared" si="48"/>
        <v>2.5527467071892842E-4</v>
      </c>
      <c r="J50" s="22">
        <f t="shared" si="48"/>
        <v>2.5527467071892842E-4</v>
      </c>
      <c r="K50" s="22">
        <f t="shared" si="48"/>
        <v>2.5527467071892842E-4</v>
      </c>
    </row>
    <row r="51" spans="3:11" ht="15" customHeight="1" x14ac:dyDescent="0.25">
      <c r="C51" s="17" t="s">
        <v>205</v>
      </c>
      <c r="D51" s="22">
        <f>-D20/D16</f>
        <v>2.2963951668249483E-2</v>
      </c>
      <c r="E51" s="22">
        <f t="shared" ref="E51:F51" si="50">-E20/E16</f>
        <v>2.0973497116303121E-2</v>
      </c>
      <c r="F51" s="22">
        <f t="shared" si="50"/>
        <v>2.1790902882153147E-2</v>
      </c>
      <c r="G51" s="22">
        <f t="shared" ref="G51:G52" si="51">AVERAGE(D51:F51)</f>
        <v>2.1909450555568585E-2</v>
      </c>
      <c r="H51" s="22">
        <f t="shared" ref="H51:K51" si="52">G51</f>
        <v>2.1909450555568585E-2</v>
      </c>
      <c r="I51" s="22">
        <f t="shared" si="52"/>
        <v>2.1909450555568585E-2</v>
      </c>
      <c r="J51" s="22">
        <f t="shared" si="52"/>
        <v>2.1909450555568585E-2</v>
      </c>
      <c r="K51" s="22">
        <f t="shared" si="52"/>
        <v>2.1909450555568585E-2</v>
      </c>
    </row>
    <row r="52" spans="3:11" ht="15" customHeight="1" x14ac:dyDescent="0.25">
      <c r="C52" s="17" t="s">
        <v>199</v>
      </c>
      <c r="D52" s="22">
        <f>-D21/D16</f>
        <v>1.5009124945824728E-2</v>
      </c>
      <c r="E52" s="22">
        <f t="shared" ref="E52:F52" si="53">-E21/E16</f>
        <v>1.3607029159302063E-2</v>
      </c>
      <c r="F52" s="22">
        <f t="shared" si="53"/>
        <v>1.3210052167066048E-2</v>
      </c>
      <c r="G52" s="22">
        <f t="shared" si="51"/>
        <v>1.3942068757397614E-2</v>
      </c>
      <c r="H52" s="22">
        <f t="shared" ref="H52:K52" si="54">G52</f>
        <v>1.3942068757397614E-2</v>
      </c>
      <c r="I52" s="22">
        <f t="shared" si="54"/>
        <v>1.3942068757397614E-2</v>
      </c>
      <c r="J52" s="22">
        <f t="shared" si="54"/>
        <v>1.3942068757397614E-2</v>
      </c>
      <c r="K52" s="22">
        <f t="shared" si="54"/>
        <v>1.3942068757397614E-2</v>
      </c>
    </row>
    <row r="53" spans="3:11" ht="15" customHeight="1" x14ac:dyDescent="0.25">
      <c r="C53" s="17" t="s">
        <v>274</v>
      </c>
      <c r="D53" s="39">
        <f>-D22/D16</f>
        <v>2.4697164938912212E-3</v>
      </c>
      <c r="E53" s="39">
        <f t="shared" ref="E53:F53" si="55">-E22/E16</f>
        <v>3.5882097427586074E-3</v>
      </c>
      <c r="F53" s="39">
        <f t="shared" si="55"/>
        <v>3.0965763386374291E-3</v>
      </c>
      <c r="G53" s="39">
        <v>3.0000000000000001E-3</v>
      </c>
      <c r="H53" s="39">
        <f t="shared" ref="H53:K53" si="56">G53</f>
        <v>3.0000000000000001E-3</v>
      </c>
      <c r="I53" s="39">
        <f t="shared" si="56"/>
        <v>3.0000000000000001E-3</v>
      </c>
      <c r="J53" s="39">
        <f t="shared" si="56"/>
        <v>3.0000000000000001E-3</v>
      </c>
      <c r="K53" s="39">
        <f t="shared" si="56"/>
        <v>3.0000000000000001E-3</v>
      </c>
    </row>
    <row r="54" spans="3:11" ht="15" customHeight="1" x14ac:dyDescent="0.25">
      <c r="C54" s="17" t="s">
        <v>275</v>
      </c>
      <c r="D54" s="39">
        <f>-D23/D16</f>
        <v>0</v>
      </c>
      <c r="E54" s="39">
        <f t="shared" ref="E54:F54" si="57">-E23/E16</f>
        <v>0</v>
      </c>
      <c r="F54" s="39">
        <f t="shared" si="57"/>
        <v>2.1866505760196779E-6</v>
      </c>
      <c r="G54" s="39">
        <v>0</v>
      </c>
      <c r="H54" s="39">
        <f t="shared" ref="H54:K54" si="58">G54</f>
        <v>0</v>
      </c>
      <c r="I54" s="39">
        <f t="shared" si="58"/>
        <v>0</v>
      </c>
      <c r="J54" s="39">
        <f t="shared" si="58"/>
        <v>0</v>
      </c>
      <c r="K54" s="39">
        <f t="shared" si="58"/>
        <v>0</v>
      </c>
    </row>
    <row r="55" spans="3:11" ht="15" customHeight="1" x14ac:dyDescent="0.25">
      <c r="C55" s="17" t="s">
        <v>276</v>
      </c>
      <c r="D55" s="39">
        <f>-D24/D16</f>
        <v>0</v>
      </c>
      <c r="E55" s="39">
        <f t="shared" ref="E55:F55" si="59">-E24/E16</f>
        <v>2.6861283778119419E-4</v>
      </c>
      <c r="F55" s="39">
        <f t="shared" si="59"/>
        <v>4.422754748841348E-7</v>
      </c>
      <c r="G55" s="39">
        <v>0</v>
      </c>
      <c r="H55" s="39">
        <f t="shared" ref="H55:K55" si="60">G55</f>
        <v>0</v>
      </c>
      <c r="I55" s="39">
        <f t="shared" si="60"/>
        <v>0</v>
      </c>
      <c r="J55" s="39">
        <f t="shared" si="60"/>
        <v>0</v>
      </c>
      <c r="K55" s="39">
        <f t="shared" si="60"/>
        <v>0</v>
      </c>
    </row>
    <row r="56" spans="3:11" ht="15" customHeight="1" x14ac:dyDescent="0.25">
      <c r="C56" s="17" t="s">
        <v>277</v>
      </c>
      <c r="D56" s="39">
        <f>-D25/D16</f>
        <v>1.4727831725280295E-4</v>
      </c>
      <c r="E56" s="39">
        <f t="shared" ref="E56:F56" si="61">-E25/E16</f>
        <v>1.4326018014997023E-4</v>
      </c>
      <c r="F56" s="39">
        <f t="shared" si="61"/>
        <v>0</v>
      </c>
      <c r="G56" s="39">
        <v>0</v>
      </c>
      <c r="H56" s="39">
        <f t="shared" ref="H56:K56" si="62">G56</f>
        <v>0</v>
      </c>
      <c r="I56" s="39">
        <f t="shared" si="62"/>
        <v>0</v>
      </c>
      <c r="J56" s="39">
        <f t="shared" si="62"/>
        <v>0</v>
      </c>
      <c r="K56" s="39">
        <f t="shared" si="62"/>
        <v>0</v>
      </c>
    </row>
    <row r="57" spans="3:11" ht="15" customHeight="1" x14ac:dyDescent="0.25">
      <c r="C57" s="17" t="s">
        <v>26</v>
      </c>
      <c r="D57" s="223">
        <f>-SUM(D35:D36)/D34</f>
        <v>0.20425303117337254</v>
      </c>
      <c r="E57" s="223">
        <f t="shared" ref="E57:F57" si="63">-SUM(E35:E36)/E34</f>
        <v>0.12614923180171056</v>
      </c>
      <c r="F57" s="223">
        <f t="shared" si="63"/>
        <v>0.11636020072017103</v>
      </c>
      <c r="G57" s="23">
        <v>0.22500000000000001</v>
      </c>
      <c r="H57" s="23">
        <v>0.22500000000000001</v>
      </c>
      <c r="I57" s="23">
        <v>0.22500000000000001</v>
      </c>
      <c r="J57" s="23">
        <v>0.22500000000000001</v>
      </c>
      <c r="K57" s="23">
        <v>0.22500000000000001</v>
      </c>
    </row>
    <row r="58" spans="3:11" ht="15" customHeight="1" x14ac:dyDescent="0.25">
      <c r="C58" s="17"/>
      <c r="D58" s="24"/>
      <c r="E58" s="24"/>
      <c r="F58" s="24"/>
      <c r="G58" s="24"/>
      <c r="H58" s="24"/>
      <c r="I58" s="24"/>
      <c r="J58" s="24"/>
      <c r="K58" s="24"/>
    </row>
    <row r="59" spans="3:11" customFormat="1" x14ac:dyDescent="0.25">
      <c r="C59" s="41" t="s">
        <v>46</v>
      </c>
      <c r="D59" s="48"/>
      <c r="E59" s="48"/>
      <c r="F59" s="48"/>
      <c r="G59" s="42"/>
      <c r="H59" s="42"/>
      <c r="I59" s="42"/>
      <c r="J59" s="42"/>
      <c r="K59" s="42"/>
    </row>
    <row r="60" spans="3:11" customFormat="1" x14ac:dyDescent="0.25">
      <c r="C60" t="s">
        <v>44</v>
      </c>
      <c r="D60" s="43">
        <f>D$13</f>
        <v>2023</v>
      </c>
      <c r="E60" s="43">
        <f t="shared" ref="E60:K60" si="64">E$13</f>
        <v>2024</v>
      </c>
      <c r="F60" s="43">
        <f t="shared" si="64"/>
        <v>2025</v>
      </c>
      <c r="G60" s="44">
        <f t="shared" si="64"/>
        <v>2026</v>
      </c>
      <c r="H60" s="44">
        <f t="shared" si="64"/>
        <v>2027</v>
      </c>
      <c r="I60" s="44">
        <f t="shared" si="64"/>
        <v>2028</v>
      </c>
      <c r="J60" s="44">
        <f t="shared" si="64"/>
        <v>2029</v>
      </c>
      <c r="K60" s="44">
        <f t="shared" si="64"/>
        <v>2030</v>
      </c>
    </row>
    <row r="61" spans="3:11" customFormat="1" x14ac:dyDescent="0.25">
      <c r="C61" s="45" t="s">
        <v>45</v>
      </c>
      <c r="D61" s="248">
        <f>D$14</f>
        <v>45291</v>
      </c>
      <c r="E61" s="248">
        <f t="shared" ref="E61:K61" si="65">E$14</f>
        <v>45657</v>
      </c>
      <c r="F61" s="248">
        <f t="shared" si="65"/>
        <v>46022</v>
      </c>
      <c r="G61" s="248">
        <f t="shared" si="65"/>
        <v>46387</v>
      </c>
      <c r="H61" s="248">
        <f t="shared" si="65"/>
        <v>46752</v>
      </c>
      <c r="I61" s="248">
        <f t="shared" si="65"/>
        <v>47118</v>
      </c>
      <c r="J61" s="248">
        <f t="shared" si="65"/>
        <v>47483</v>
      </c>
      <c r="K61" s="248">
        <f t="shared" si="65"/>
        <v>47848</v>
      </c>
    </row>
    <row r="62" spans="3:11" s="37" customFormat="1" ht="15" customHeight="1" x14ac:dyDescent="0.25">
      <c r="C62" s="47" t="s">
        <v>3</v>
      </c>
    </row>
    <row r="63" spans="3:11" ht="15" customHeight="1" x14ac:dyDescent="0.25"/>
    <row r="64" spans="3:11" ht="15" customHeight="1" x14ac:dyDescent="0.25">
      <c r="C64" s="13" t="s">
        <v>4</v>
      </c>
    </row>
    <row r="65" spans="3:11" ht="15" customHeight="1" x14ac:dyDescent="0.25">
      <c r="C65" s="17" t="s">
        <v>238</v>
      </c>
      <c r="D65" s="10">
        <v>3194808025</v>
      </c>
      <c r="E65" s="10">
        <v>6575091571</v>
      </c>
      <c r="F65" s="10">
        <v>8246348097</v>
      </c>
      <c r="G65" s="193">
        <f>G201</f>
        <v>10121880853.32663</v>
      </c>
      <c r="H65" s="193">
        <f t="shared" ref="H65:K65" si="66">H201</f>
        <v>11896741398.939098</v>
      </c>
      <c r="I65" s="193">
        <f t="shared" si="66"/>
        <v>13447623658.125568</v>
      </c>
      <c r="J65" s="193">
        <f t="shared" si="66"/>
        <v>14929790614.123407</v>
      </c>
      <c r="K65" s="193">
        <f t="shared" si="66"/>
        <v>16498544289.276352</v>
      </c>
    </row>
    <row r="66" spans="3:11" ht="15" customHeight="1" x14ac:dyDescent="0.25">
      <c r="C66" s="17" t="s">
        <v>239</v>
      </c>
      <c r="D66" s="10">
        <v>9743889331</v>
      </c>
      <c r="E66" s="10">
        <v>16227019722</v>
      </c>
      <c r="F66" s="10">
        <v>21520398466</v>
      </c>
      <c r="G66" s="193">
        <f t="shared" ref="G66:K67" si="67">G202</f>
        <v>27192250344.066723</v>
      </c>
      <c r="H66" s="193">
        <f t="shared" si="67"/>
        <v>31960381186.689648</v>
      </c>
      <c r="I66" s="193">
        <f t="shared" si="67"/>
        <v>36126798402.726135</v>
      </c>
      <c r="J66" s="193">
        <f t="shared" si="67"/>
        <v>40108613196.164505</v>
      </c>
      <c r="K66" s="193">
        <f t="shared" si="67"/>
        <v>44323041648.84816</v>
      </c>
    </row>
    <row r="67" spans="3:11" ht="15" customHeight="1" x14ac:dyDescent="0.25">
      <c r="C67" s="17" t="s">
        <v>240</v>
      </c>
      <c r="D67" s="10">
        <v>328105821</v>
      </c>
      <c r="E67" s="10">
        <v>525355863</v>
      </c>
      <c r="F67" s="10">
        <v>274119847</v>
      </c>
      <c r="G67" s="193">
        <f t="shared" si="67"/>
        <v>340037634.64726514</v>
      </c>
      <c r="H67" s="193">
        <f t="shared" si="67"/>
        <v>399662855.54289222</v>
      </c>
      <c r="I67" s="193">
        <f t="shared" si="67"/>
        <v>451763679.75451624</v>
      </c>
      <c r="J67" s="193">
        <f t="shared" si="67"/>
        <v>501556060.55538303</v>
      </c>
      <c r="K67" s="193">
        <f t="shared" si="67"/>
        <v>554257262.71070123</v>
      </c>
    </row>
    <row r="68" spans="3:11" ht="15" customHeight="1" x14ac:dyDescent="0.25">
      <c r="C68" s="17" t="s">
        <v>241</v>
      </c>
      <c r="D68" s="10">
        <v>0</v>
      </c>
      <c r="E68" s="10">
        <v>0</v>
      </c>
      <c r="F68" s="10">
        <v>40000000</v>
      </c>
      <c r="G68" s="19">
        <f>F68</f>
        <v>40000000</v>
      </c>
      <c r="H68" s="19">
        <f t="shared" ref="H68:K68" si="68">G68</f>
        <v>40000000</v>
      </c>
      <c r="I68" s="19">
        <f t="shared" si="68"/>
        <v>40000000</v>
      </c>
      <c r="J68" s="19">
        <f t="shared" si="68"/>
        <v>40000000</v>
      </c>
      <c r="K68" s="19">
        <f t="shared" si="68"/>
        <v>40000000</v>
      </c>
    </row>
    <row r="69" spans="3:11" ht="15" customHeight="1" x14ac:dyDescent="0.25">
      <c r="C69" s="17" t="s">
        <v>242</v>
      </c>
      <c r="D69" s="10">
        <v>767821328</v>
      </c>
      <c r="E69" s="10">
        <v>1089525095</v>
      </c>
      <c r="F69" s="10">
        <v>1355525546</v>
      </c>
      <c r="G69" s="19">
        <f>G204</f>
        <v>1681489703.9023321</v>
      </c>
      <c r="H69" s="19">
        <f t="shared" ref="H69:K69" si="69">H204</f>
        <v>1976337052.5874331</v>
      </c>
      <c r="I69" s="19">
        <f t="shared" si="69"/>
        <v>2233976179.9962254</v>
      </c>
      <c r="J69" s="19">
        <f t="shared" si="69"/>
        <v>2480200030.2953057</v>
      </c>
      <c r="K69" s="19">
        <f t="shared" si="69"/>
        <v>2740808032.9929147</v>
      </c>
    </row>
    <row r="70" spans="3:11" ht="15" customHeight="1" x14ac:dyDescent="0.25">
      <c r="C70" s="17" t="s">
        <v>243</v>
      </c>
      <c r="D70" s="10">
        <v>0</v>
      </c>
      <c r="E70" s="10">
        <v>0</v>
      </c>
      <c r="F70" s="10">
        <v>55001459</v>
      </c>
      <c r="G70" s="19">
        <f>F70</f>
        <v>55001459</v>
      </c>
      <c r="H70" s="19">
        <f t="shared" ref="H70:K70" si="70">G70</f>
        <v>55001459</v>
      </c>
      <c r="I70" s="19">
        <f t="shared" si="70"/>
        <v>55001459</v>
      </c>
      <c r="J70" s="19">
        <f t="shared" si="70"/>
        <v>55001459</v>
      </c>
      <c r="K70" s="19">
        <f t="shared" si="70"/>
        <v>55001459</v>
      </c>
    </row>
    <row r="71" spans="3:11" ht="15" customHeight="1" x14ac:dyDescent="0.25">
      <c r="C71" s="17" t="s">
        <v>244</v>
      </c>
      <c r="D71" s="10">
        <v>10540</v>
      </c>
      <c r="E71" s="10">
        <v>0</v>
      </c>
      <c r="F71" s="10">
        <v>0</v>
      </c>
      <c r="G71" s="19">
        <f>G205</f>
        <v>0</v>
      </c>
      <c r="H71" s="19">
        <f t="shared" ref="H71:K71" si="71">H205</f>
        <v>0</v>
      </c>
      <c r="I71" s="19">
        <f t="shared" si="71"/>
        <v>0</v>
      </c>
      <c r="J71" s="19">
        <f t="shared" si="71"/>
        <v>0</v>
      </c>
      <c r="K71" s="19">
        <f t="shared" si="71"/>
        <v>0</v>
      </c>
    </row>
    <row r="72" spans="3:11" ht="15" customHeight="1" x14ac:dyDescent="0.25">
      <c r="C72" s="17" t="s">
        <v>245</v>
      </c>
      <c r="D72" s="10">
        <v>1130726519</v>
      </c>
      <c r="E72" s="10">
        <v>835857571</v>
      </c>
      <c r="F72" s="10">
        <v>920191502</v>
      </c>
      <c r="G72" s="19">
        <f>G157</f>
        <v>1141470583.7136784</v>
      </c>
      <c r="H72" s="19">
        <f t="shared" ref="H72:K72" si="72">H157</f>
        <v>1341626180.5210443</v>
      </c>
      <c r="I72" s="19">
        <f t="shared" si="72"/>
        <v>1516523168.8691092</v>
      </c>
      <c r="J72" s="19">
        <f t="shared" si="72"/>
        <v>1683670955.4257874</v>
      </c>
      <c r="K72" s="19">
        <f t="shared" si="72"/>
        <v>1860583349.39961</v>
      </c>
    </row>
    <row r="73" spans="3:11" ht="15" customHeight="1" x14ac:dyDescent="0.25">
      <c r="C73" s="17" t="s">
        <v>246</v>
      </c>
      <c r="D73" s="10">
        <v>771873889</v>
      </c>
      <c r="E73" s="10">
        <v>221298055</v>
      </c>
      <c r="F73" s="10">
        <v>115531749</v>
      </c>
      <c r="G73" s="19">
        <f>F73</f>
        <v>115531749</v>
      </c>
      <c r="H73" s="19">
        <f t="shared" ref="H73:K73" si="73">G73</f>
        <v>115531749</v>
      </c>
      <c r="I73" s="19">
        <f t="shared" si="73"/>
        <v>115531749</v>
      </c>
      <c r="J73" s="19">
        <f t="shared" si="73"/>
        <v>115531749</v>
      </c>
      <c r="K73" s="19">
        <f t="shared" si="73"/>
        <v>115531749</v>
      </c>
    </row>
    <row r="74" spans="3:11" ht="15" customHeight="1" x14ac:dyDescent="0.25">
      <c r="C74" s="11" t="s">
        <v>5</v>
      </c>
      <c r="D74" s="12">
        <f>SUM(D65:D73)</f>
        <v>15937235453</v>
      </c>
      <c r="E74" s="12">
        <f t="shared" ref="E74:K74" si="74">SUM(E65:E73)</f>
        <v>25474147877</v>
      </c>
      <c r="F74" s="12">
        <f t="shared" si="74"/>
        <v>32527116666</v>
      </c>
      <c r="G74" s="12">
        <f t="shared" si="74"/>
        <v>40687662327.656624</v>
      </c>
      <c r="H74" s="12">
        <f t="shared" si="74"/>
        <v>47785281882.280113</v>
      </c>
      <c r="I74" s="12">
        <f t="shared" si="74"/>
        <v>53987218297.47155</v>
      </c>
      <c r="J74" s="12">
        <f t="shared" si="74"/>
        <v>59914364064.564384</v>
      </c>
      <c r="K74" s="12">
        <f t="shared" si="74"/>
        <v>66187767791.227737</v>
      </c>
    </row>
    <row r="75" spans="3:11" ht="15" customHeight="1" x14ac:dyDescent="0.25">
      <c r="E75" s="18"/>
      <c r="F75" s="18"/>
      <c r="G75" s="18"/>
      <c r="H75" s="18"/>
      <c r="I75" s="18"/>
      <c r="J75" s="18"/>
      <c r="K75" s="18"/>
    </row>
    <row r="76" spans="3:11" ht="15" customHeight="1" x14ac:dyDescent="0.25">
      <c r="C76" s="13" t="s">
        <v>6</v>
      </c>
      <c r="E76" s="18"/>
      <c r="F76" s="18"/>
      <c r="G76" s="18"/>
      <c r="H76" s="18"/>
      <c r="I76" s="18"/>
      <c r="J76" s="18"/>
      <c r="K76" s="18"/>
    </row>
    <row r="77" spans="3:11" ht="15" customHeight="1" x14ac:dyDescent="0.25">
      <c r="C77" s="25" t="s">
        <v>247</v>
      </c>
      <c r="D77" s="10">
        <v>1061746170</v>
      </c>
      <c r="E77" s="10">
        <v>1118026279</v>
      </c>
      <c r="F77" s="10">
        <v>1271993989</v>
      </c>
      <c r="G77" s="19">
        <f>G168</f>
        <v>1970170651.8732438</v>
      </c>
      <c r="H77" s="19">
        <f t="shared" ref="H77:K77" si="75">H168</f>
        <v>2790771815.7614188</v>
      </c>
      <c r="I77" s="19">
        <f t="shared" si="75"/>
        <v>3718348137.3222175</v>
      </c>
      <c r="J77" s="19">
        <f t="shared" si="75"/>
        <v>4748159843.2107687</v>
      </c>
      <c r="K77" s="19">
        <f t="shared" si="75"/>
        <v>5886179422.878871</v>
      </c>
    </row>
    <row r="78" spans="3:11" ht="15" customHeight="1" x14ac:dyDescent="0.25">
      <c r="C78" s="17" t="s">
        <v>248</v>
      </c>
      <c r="D78" s="10">
        <v>427510272</v>
      </c>
      <c r="E78" s="10">
        <v>210774276</v>
      </c>
      <c r="F78" s="10">
        <v>832140122</v>
      </c>
      <c r="G78" s="19">
        <f>F78</f>
        <v>832140122</v>
      </c>
      <c r="H78" s="19">
        <f t="shared" ref="H78:K78" si="76">G78</f>
        <v>832140122</v>
      </c>
      <c r="I78" s="19">
        <f t="shared" si="76"/>
        <v>832140122</v>
      </c>
      <c r="J78" s="19">
        <f t="shared" si="76"/>
        <v>832140122</v>
      </c>
      <c r="K78" s="19">
        <f t="shared" si="76"/>
        <v>832140122</v>
      </c>
    </row>
    <row r="79" spans="3:11" ht="15" customHeight="1" x14ac:dyDescent="0.25">
      <c r="C79" s="17" t="s">
        <v>249</v>
      </c>
      <c r="D79" s="10">
        <v>219017302</v>
      </c>
      <c r="E79" s="10">
        <v>218372710</v>
      </c>
      <c r="F79" s="10">
        <v>236359506</v>
      </c>
      <c r="G79" s="19">
        <f>G271</f>
        <v>237796355.51449496</v>
      </c>
      <c r="H79" s="19">
        <f t="shared" ref="H79:K79" si="77">H271</f>
        <v>239485154.99265906</v>
      </c>
      <c r="I79" s="19">
        <f t="shared" si="77"/>
        <v>241394109.64291438</v>
      </c>
      <c r="J79" s="19">
        <f t="shared" si="77"/>
        <v>243513464.99853131</v>
      </c>
      <c r="K79" s="19">
        <f t="shared" si="77"/>
        <v>245855512.45941687</v>
      </c>
    </row>
    <row r="80" spans="3:11" ht="15" customHeight="1" x14ac:dyDescent="0.25">
      <c r="C80" s="17" t="s">
        <v>250</v>
      </c>
      <c r="D80" s="10">
        <v>695052758</v>
      </c>
      <c r="E80" s="10">
        <v>1343160348</v>
      </c>
      <c r="F80" s="10">
        <v>971629079</v>
      </c>
      <c r="G80" s="19">
        <f>G282</f>
        <v>1337164421.1339247</v>
      </c>
      <c r="H80" s="19">
        <f t="shared" ref="H80:K80" si="78">H282</f>
        <v>1766795978.8014708</v>
      </c>
      <c r="I80" s="19">
        <f t="shared" si="78"/>
        <v>2252435138.7551913</v>
      </c>
      <c r="J80" s="19">
        <f t="shared" si="78"/>
        <v>2791600359.0539317</v>
      </c>
      <c r="K80" s="19">
        <f t="shared" si="78"/>
        <v>3387418578.8969631</v>
      </c>
    </row>
    <row r="81" spans="3:11" ht="15" customHeight="1" x14ac:dyDescent="0.25">
      <c r="C81" s="17" t="s">
        <v>251</v>
      </c>
      <c r="D81" s="10">
        <v>15918463</v>
      </c>
      <c r="E81" s="10">
        <v>0</v>
      </c>
      <c r="F81" s="10">
        <v>0</v>
      </c>
      <c r="G81" s="19">
        <f>F81</f>
        <v>0</v>
      </c>
      <c r="H81" s="19">
        <f t="shared" ref="H81:K83" si="79">G81</f>
        <v>0</v>
      </c>
      <c r="I81" s="19">
        <f t="shared" si="79"/>
        <v>0</v>
      </c>
      <c r="J81" s="19">
        <f t="shared" si="79"/>
        <v>0</v>
      </c>
      <c r="K81" s="19">
        <f t="shared" si="79"/>
        <v>0</v>
      </c>
    </row>
    <row r="82" spans="3:11" ht="15" customHeight="1" x14ac:dyDescent="0.25">
      <c r="C82" s="17" t="s">
        <v>252</v>
      </c>
      <c r="D82" s="10">
        <v>78932234</v>
      </c>
      <c r="E82" s="10">
        <v>48342462</v>
      </c>
      <c r="F82" s="10">
        <v>14105106</v>
      </c>
      <c r="G82" s="19">
        <f>F82</f>
        <v>14105106</v>
      </c>
      <c r="H82" s="19">
        <f t="shared" si="79"/>
        <v>14105106</v>
      </c>
      <c r="I82" s="19">
        <f t="shared" si="79"/>
        <v>14105106</v>
      </c>
      <c r="J82" s="19">
        <f t="shared" si="79"/>
        <v>14105106</v>
      </c>
      <c r="K82" s="19">
        <f t="shared" si="79"/>
        <v>14105106</v>
      </c>
    </row>
    <row r="83" spans="3:11" ht="15" customHeight="1" x14ac:dyDescent="0.25">
      <c r="C83" s="17" t="s">
        <v>253</v>
      </c>
      <c r="D83" s="10">
        <v>114398274</v>
      </c>
      <c r="E83" s="10">
        <v>228733795</v>
      </c>
      <c r="F83" s="10">
        <v>360359351</v>
      </c>
      <c r="G83" s="19">
        <f>F83</f>
        <v>360359351</v>
      </c>
      <c r="H83" s="19">
        <f t="shared" si="79"/>
        <v>360359351</v>
      </c>
      <c r="I83" s="19">
        <f t="shared" si="79"/>
        <v>360359351</v>
      </c>
      <c r="J83" s="19">
        <f t="shared" si="79"/>
        <v>360359351</v>
      </c>
      <c r="K83" s="19">
        <f t="shared" si="79"/>
        <v>360359351</v>
      </c>
    </row>
    <row r="84" spans="3:11" ht="15" customHeight="1" x14ac:dyDescent="0.25">
      <c r="C84" s="11" t="s">
        <v>7</v>
      </c>
      <c r="D84" s="12">
        <f>SUM(D77:D83)</f>
        <v>2612575473</v>
      </c>
      <c r="E84" s="12">
        <f t="shared" ref="E84:K84" si="80">SUM(E77:E83)</f>
        <v>3167409870</v>
      </c>
      <c r="F84" s="12">
        <f t="shared" si="80"/>
        <v>3686587153</v>
      </c>
      <c r="G84" s="12">
        <f t="shared" si="80"/>
        <v>4751736007.5216637</v>
      </c>
      <c r="H84" s="12">
        <f t="shared" si="80"/>
        <v>6003657528.5555487</v>
      </c>
      <c r="I84" s="12">
        <f t="shared" si="80"/>
        <v>7418781964.7203236</v>
      </c>
      <c r="J84" s="12">
        <f t="shared" si="80"/>
        <v>8989878246.2632313</v>
      </c>
      <c r="K84" s="12">
        <f t="shared" si="80"/>
        <v>10726058093.23525</v>
      </c>
    </row>
    <row r="85" spans="3:11" ht="15" customHeight="1" x14ac:dyDescent="0.25">
      <c r="E85" s="19"/>
      <c r="F85" s="19"/>
      <c r="G85" s="19"/>
      <c r="H85" s="19"/>
      <c r="I85" s="19"/>
      <c r="J85" s="19"/>
      <c r="K85" s="19"/>
    </row>
    <row r="86" spans="3:11" ht="15" customHeight="1" x14ac:dyDescent="0.25">
      <c r="C86" s="13" t="s">
        <v>8</v>
      </c>
      <c r="D86" s="14">
        <f>D74+D84</f>
        <v>18549810926</v>
      </c>
      <c r="E86" s="14">
        <f t="shared" ref="E86:K86" si="81">E74+E84</f>
        <v>28641557747</v>
      </c>
      <c r="F86" s="14">
        <f t="shared" si="81"/>
        <v>36213703819</v>
      </c>
      <c r="G86" s="14">
        <f t="shared" si="81"/>
        <v>45439398335.178284</v>
      </c>
      <c r="H86" s="14">
        <f t="shared" si="81"/>
        <v>53788939410.835663</v>
      </c>
      <c r="I86" s="14">
        <f t="shared" si="81"/>
        <v>61406000262.191872</v>
      </c>
      <c r="J86" s="14">
        <f t="shared" si="81"/>
        <v>68904242310.827621</v>
      </c>
      <c r="K86" s="14">
        <f t="shared" si="81"/>
        <v>76913825884.462982</v>
      </c>
    </row>
    <row r="87" spans="3:11" ht="15" customHeight="1" x14ac:dyDescent="0.25">
      <c r="E87" s="18"/>
      <c r="F87" s="18"/>
      <c r="G87" s="18"/>
      <c r="H87" s="18"/>
      <c r="I87" s="18"/>
      <c r="J87" s="18"/>
      <c r="K87" s="18"/>
    </row>
    <row r="88" spans="3:11" s="37" customFormat="1" ht="15" customHeight="1" x14ac:dyDescent="0.25">
      <c r="C88" s="47" t="s">
        <v>9</v>
      </c>
      <c r="D88" s="49"/>
      <c r="E88" s="50"/>
      <c r="F88" s="50"/>
      <c r="G88" s="229"/>
      <c r="H88" s="229"/>
      <c r="I88" s="229"/>
      <c r="J88" s="229"/>
      <c r="K88" s="229"/>
    </row>
    <row r="89" spans="3:11" ht="15" customHeight="1" x14ac:dyDescent="0.25">
      <c r="E89" s="18"/>
      <c r="F89" s="18"/>
      <c r="G89" s="18"/>
      <c r="H89" s="18"/>
      <c r="I89" s="18"/>
      <c r="J89" s="18"/>
      <c r="K89" s="18"/>
    </row>
    <row r="90" spans="3:11" ht="15" customHeight="1" x14ac:dyDescent="0.25">
      <c r="C90" s="13" t="s">
        <v>10</v>
      </c>
      <c r="E90" s="18"/>
      <c r="F90" s="18"/>
      <c r="G90" s="18"/>
      <c r="H90" s="18"/>
      <c r="I90" s="18"/>
      <c r="J90" s="18"/>
      <c r="K90" s="18"/>
    </row>
    <row r="91" spans="3:11" ht="15" customHeight="1" x14ac:dyDescent="0.25">
      <c r="C91" s="17" t="s">
        <v>254</v>
      </c>
      <c r="D91" s="10">
        <v>3165450940</v>
      </c>
      <c r="E91" s="10">
        <v>4379311131</v>
      </c>
      <c r="F91" s="10">
        <v>5169637310</v>
      </c>
      <c r="G91" s="19">
        <f>G296</f>
        <v>5837525714.425149</v>
      </c>
      <c r="H91" s="19">
        <f t="shared" ref="H91:K91" si="82">H296</f>
        <v>6836869440.7390461</v>
      </c>
      <c r="I91" s="19">
        <f t="shared" si="82"/>
        <v>7664524816.0025682</v>
      </c>
      <c r="J91" s="19">
        <f t="shared" si="82"/>
        <v>8325062392.2833328</v>
      </c>
      <c r="K91" s="19">
        <f t="shared" si="82"/>
        <v>8846011294.7683659</v>
      </c>
    </row>
    <row r="92" spans="3:11" ht="15" customHeight="1" x14ac:dyDescent="0.25">
      <c r="C92" s="17" t="s">
        <v>255</v>
      </c>
      <c r="D92" s="10">
        <v>475877345</v>
      </c>
      <c r="E92" s="10">
        <v>313810157</v>
      </c>
      <c r="F92" s="10">
        <v>103296434</v>
      </c>
      <c r="G92" s="19">
        <f>F92</f>
        <v>103296434</v>
      </c>
      <c r="H92" s="19">
        <f t="shared" ref="H92:K92" si="83">G92</f>
        <v>103296434</v>
      </c>
      <c r="I92" s="19">
        <f t="shared" si="83"/>
        <v>103296434</v>
      </c>
      <c r="J92" s="19">
        <f t="shared" si="83"/>
        <v>103296434</v>
      </c>
      <c r="K92" s="19">
        <f t="shared" si="83"/>
        <v>103296434</v>
      </c>
    </row>
    <row r="93" spans="3:11" ht="15" customHeight="1" x14ac:dyDescent="0.25">
      <c r="C93" s="17" t="s">
        <v>256</v>
      </c>
      <c r="D93" s="10">
        <v>11858321994</v>
      </c>
      <c r="E93" s="10">
        <v>19921015867</v>
      </c>
      <c r="F93" s="10">
        <v>25475648743</v>
      </c>
      <c r="G93" s="19">
        <f>G209</f>
        <v>32893032938.455982</v>
      </c>
      <c r="H93" s="19">
        <f t="shared" ref="H93:K93" si="84">H209</f>
        <v>38660789666.081337</v>
      </c>
      <c r="I93" s="19">
        <f t="shared" si="84"/>
        <v>43700685113.805527</v>
      </c>
      <c r="J93" s="19">
        <f t="shared" si="84"/>
        <v>48517276734.512558</v>
      </c>
      <c r="K93" s="19">
        <f t="shared" si="84"/>
        <v>53615248846.303482</v>
      </c>
    </row>
    <row r="94" spans="3:11" ht="15" customHeight="1" x14ac:dyDescent="0.25">
      <c r="C94" s="17" t="s">
        <v>257</v>
      </c>
      <c r="D94" s="10">
        <v>206855072</v>
      </c>
      <c r="E94" s="10">
        <v>349019979</v>
      </c>
      <c r="F94" s="10">
        <v>451680002</v>
      </c>
      <c r="G94" s="19">
        <f t="shared" ref="G94:K96" si="85">G210</f>
        <v>560295801.92182136</v>
      </c>
      <c r="H94" s="19">
        <f t="shared" si="85"/>
        <v>658543047.38080227</v>
      </c>
      <c r="I94" s="19">
        <f t="shared" si="85"/>
        <v>744391994.99132669</v>
      </c>
      <c r="J94" s="19">
        <f t="shared" si="85"/>
        <v>826437213.19006693</v>
      </c>
      <c r="K94" s="19">
        <f t="shared" si="85"/>
        <v>913275431.41990769</v>
      </c>
    </row>
    <row r="95" spans="3:11" ht="15" customHeight="1" x14ac:dyDescent="0.25">
      <c r="C95" s="17" t="s">
        <v>258</v>
      </c>
      <c r="D95" s="10">
        <v>13048790</v>
      </c>
      <c r="E95" s="10">
        <v>15371145</v>
      </c>
      <c r="F95" s="10">
        <v>17579091</v>
      </c>
      <c r="G95" s="19">
        <f t="shared" si="85"/>
        <v>21806347.071574964</v>
      </c>
      <c r="H95" s="19">
        <f t="shared" si="85"/>
        <v>25630065.767942578</v>
      </c>
      <c r="I95" s="19">
        <f t="shared" si="85"/>
        <v>28971250.800747376</v>
      </c>
      <c r="J95" s="19">
        <f t="shared" si="85"/>
        <v>32164397.166413814</v>
      </c>
      <c r="K95" s="19">
        <f t="shared" si="85"/>
        <v>35544083.966318294</v>
      </c>
    </row>
    <row r="96" spans="3:11" ht="15" customHeight="1" x14ac:dyDescent="0.25">
      <c r="C96" s="17" t="s">
        <v>259</v>
      </c>
      <c r="D96" s="10">
        <v>79906663</v>
      </c>
      <c r="E96" s="10">
        <v>203053836</v>
      </c>
      <c r="F96" s="10">
        <v>256985432</v>
      </c>
      <c r="G96" s="19">
        <f t="shared" si="85"/>
        <v>244711849.73161337</v>
      </c>
      <c r="H96" s="19">
        <f t="shared" si="85"/>
        <v>344942293.37401044</v>
      </c>
      <c r="I96" s="19">
        <f t="shared" si="85"/>
        <v>404633350.05056494</v>
      </c>
      <c r="J96" s="19">
        <f t="shared" si="85"/>
        <v>479647441.44728923</v>
      </c>
      <c r="K96" s="19">
        <f t="shared" si="85"/>
        <v>581611386.17767167</v>
      </c>
    </row>
    <row r="97" spans="3:11" ht="15" customHeight="1" x14ac:dyDescent="0.25">
      <c r="C97" s="17" t="s">
        <v>260</v>
      </c>
      <c r="D97" s="10">
        <v>117939365</v>
      </c>
      <c r="E97" s="10">
        <v>230649664</v>
      </c>
      <c r="F97" s="10">
        <v>242686318</v>
      </c>
      <c r="G97" s="19">
        <f>G285*G284</f>
        <v>263970254.81669769</v>
      </c>
      <c r="H97" s="19">
        <f t="shared" ref="H97:K97" si="86">H285*H284</f>
        <v>344157834.6837011</v>
      </c>
      <c r="I97" s="19">
        <f t="shared" si="86"/>
        <v>434798822.82886744</v>
      </c>
      <c r="J97" s="19">
        <f t="shared" si="86"/>
        <v>535430057.64535397</v>
      </c>
      <c r="K97" s="19">
        <f t="shared" si="86"/>
        <v>646635159.40570796</v>
      </c>
    </row>
    <row r="98" spans="3:11" ht="15" customHeight="1" x14ac:dyDescent="0.25">
      <c r="C98" s="17" t="s">
        <v>261</v>
      </c>
      <c r="D98" s="10">
        <v>6856946</v>
      </c>
      <c r="E98" s="10">
        <v>14856946</v>
      </c>
      <c r="F98" s="10">
        <v>14856946</v>
      </c>
      <c r="G98" s="19">
        <f>G213</f>
        <v>14856946</v>
      </c>
      <c r="H98" s="19">
        <f t="shared" ref="H98:K98" si="87">H213</f>
        <v>14856946</v>
      </c>
      <c r="I98" s="19">
        <f t="shared" si="87"/>
        <v>14856946</v>
      </c>
      <c r="J98" s="19">
        <f t="shared" si="87"/>
        <v>14856946</v>
      </c>
      <c r="K98" s="19">
        <f t="shared" si="87"/>
        <v>14856946</v>
      </c>
    </row>
    <row r="99" spans="3:11" ht="15" customHeight="1" x14ac:dyDescent="0.25">
      <c r="C99" s="11" t="s">
        <v>11</v>
      </c>
      <c r="D99" s="12">
        <f>SUM(D91:D98)</f>
        <v>15924257115</v>
      </c>
      <c r="E99" s="12">
        <f t="shared" ref="E99:G99" si="88">SUM(E91:E98)</f>
        <v>25427088725</v>
      </c>
      <c r="F99" s="12">
        <f t="shared" si="88"/>
        <v>31732370276</v>
      </c>
      <c r="G99" s="12">
        <f t="shared" si="88"/>
        <v>39939496286.422836</v>
      </c>
      <c r="H99" s="12">
        <f t="shared" ref="H99" si="89">SUM(H91:H98)</f>
        <v>46989085728.02684</v>
      </c>
      <c r="I99" s="12">
        <f t="shared" ref="I99" si="90">SUM(I91:I98)</f>
        <v>53096158728.479607</v>
      </c>
      <c r="J99" s="12">
        <f t="shared" ref="J99" si="91">SUM(J91:J98)</f>
        <v>58834171616.24501</v>
      </c>
      <c r="K99" s="12">
        <f t="shared" ref="K99" si="92">SUM(K91:K98)</f>
        <v>64756479582.041451</v>
      </c>
    </row>
    <row r="100" spans="3:11" ht="15" customHeight="1" x14ac:dyDescent="0.25">
      <c r="E100" s="18"/>
      <c r="F100" s="18"/>
      <c r="G100" s="18"/>
      <c r="H100" s="18"/>
      <c r="I100" s="18"/>
      <c r="J100" s="18"/>
      <c r="K100" s="18"/>
    </row>
    <row r="101" spans="3:11" ht="15" customHeight="1" x14ac:dyDescent="0.25">
      <c r="C101" s="13" t="s">
        <v>12</v>
      </c>
      <c r="E101" s="18"/>
      <c r="F101" s="18"/>
      <c r="G101" s="18"/>
      <c r="H101" s="18"/>
      <c r="I101" s="18"/>
      <c r="J101" s="18"/>
      <c r="K101" s="18"/>
    </row>
    <row r="102" spans="3:11" ht="15" customHeight="1" x14ac:dyDescent="0.25">
      <c r="C102" s="17" t="s">
        <v>262</v>
      </c>
      <c r="D102" s="10">
        <v>363816582</v>
      </c>
      <c r="E102" s="10">
        <v>47455053</v>
      </c>
      <c r="F102" s="10">
        <v>891226704</v>
      </c>
      <c r="G102" s="19">
        <f>F102</f>
        <v>891226704</v>
      </c>
      <c r="H102" s="19">
        <f t="shared" ref="H102:K102" si="93">G102</f>
        <v>891226704</v>
      </c>
      <c r="I102" s="19">
        <f t="shared" si="93"/>
        <v>891226704</v>
      </c>
      <c r="J102" s="19">
        <f t="shared" si="93"/>
        <v>891226704</v>
      </c>
      <c r="K102" s="19">
        <f t="shared" si="93"/>
        <v>891226704</v>
      </c>
    </row>
    <row r="103" spans="3:11" ht="15" customHeight="1" x14ac:dyDescent="0.25">
      <c r="C103" s="17" t="s">
        <v>263</v>
      </c>
      <c r="D103" s="10">
        <v>620416926</v>
      </c>
      <c r="E103" s="10">
        <v>1135795423</v>
      </c>
      <c r="F103" s="10">
        <v>806086540</v>
      </c>
      <c r="G103" s="19">
        <f>(1-G285)*G284</f>
        <v>1150337945.3172271</v>
      </c>
      <c r="H103" s="19">
        <f t="shared" ref="H103:K103" si="94">(1-H285)*H284</f>
        <v>1499781923.1177697</v>
      </c>
      <c r="I103" s="19">
        <f t="shared" si="94"/>
        <v>1894780094.9263239</v>
      </c>
      <c r="J103" s="19">
        <f t="shared" si="94"/>
        <v>2333314080.4085779</v>
      </c>
      <c r="K103" s="19">
        <f t="shared" si="94"/>
        <v>2817927198.4912553</v>
      </c>
    </row>
    <row r="104" spans="3:11" ht="15" customHeight="1" x14ac:dyDescent="0.25">
      <c r="C104" s="17" t="s">
        <v>264</v>
      </c>
      <c r="D104" s="10">
        <v>192200504</v>
      </c>
      <c r="E104" s="10">
        <v>0</v>
      </c>
      <c r="F104" s="10">
        <v>0</v>
      </c>
      <c r="G104" s="19">
        <f>F104</f>
        <v>0</v>
      </c>
      <c r="H104" s="19">
        <f t="shared" ref="H104:K104" si="95">G104</f>
        <v>0</v>
      </c>
      <c r="I104" s="19">
        <f t="shared" si="95"/>
        <v>0</v>
      </c>
      <c r="J104" s="19">
        <f t="shared" si="95"/>
        <v>0</v>
      </c>
      <c r="K104" s="19">
        <f t="shared" si="95"/>
        <v>0</v>
      </c>
    </row>
    <row r="105" spans="3:11" ht="15" customHeight="1" x14ac:dyDescent="0.25">
      <c r="C105" s="11" t="s">
        <v>13</v>
      </c>
      <c r="D105" s="12">
        <f>SUM(D102:D104)</f>
        <v>1176434012</v>
      </c>
      <c r="E105" s="12">
        <f t="shared" ref="E105:F105" si="96">SUM(E102:E104)</f>
        <v>1183250476</v>
      </c>
      <c r="F105" s="12">
        <f t="shared" si="96"/>
        <v>1697313244</v>
      </c>
      <c r="G105" s="12">
        <f t="shared" ref="G105" si="97">SUM(G102:G104)</f>
        <v>2041564649.3172271</v>
      </c>
      <c r="H105" s="12">
        <f t="shared" ref="H105" si="98">SUM(H102:H104)</f>
        <v>2391008627.1177697</v>
      </c>
      <c r="I105" s="12">
        <f t="shared" ref="I105" si="99">SUM(I102:I104)</f>
        <v>2786006798.9263239</v>
      </c>
      <c r="J105" s="12">
        <f t="shared" ref="J105" si="100">SUM(J102:J104)</f>
        <v>3224540784.4085779</v>
      </c>
      <c r="K105" s="12">
        <f t="shared" ref="K105" si="101">SUM(K102:K104)</f>
        <v>3709153902.4912553</v>
      </c>
    </row>
    <row r="106" spans="3:11" ht="15" customHeight="1" x14ac:dyDescent="0.25">
      <c r="E106" s="18"/>
      <c r="F106" s="18"/>
      <c r="G106" s="18"/>
      <c r="H106" s="18"/>
      <c r="I106" s="18"/>
      <c r="J106" s="18"/>
      <c r="K106" s="18"/>
    </row>
    <row r="107" spans="3:11" ht="15" customHeight="1" x14ac:dyDescent="0.25">
      <c r="C107" s="13" t="s">
        <v>14</v>
      </c>
      <c r="D107" s="26">
        <f>D99+D105</f>
        <v>17100691127</v>
      </c>
      <c r="E107" s="26">
        <f t="shared" ref="E107:K107" si="102">E99+E105</f>
        <v>26610339201</v>
      </c>
      <c r="F107" s="26">
        <f t="shared" si="102"/>
        <v>33429683520</v>
      </c>
      <c r="G107" s="26">
        <f t="shared" si="102"/>
        <v>41981060935.740067</v>
      </c>
      <c r="H107" s="26">
        <f t="shared" si="102"/>
        <v>49380094355.144608</v>
      </c>
      <c r="I107" s="26">
        <f t="shared" si="102"/>
        <v>55882165527.40593</v>
      </c>
      <c r="J107" s="26">
        <f t="shared" si="102"/>
        <v>62058712400.653587</v>
      </c>
      <c r="K107" s="26">
        <f t="shared" si="102"/>
        <v>68465633484.532707</v>
      </c>
    </row>
    <row r="108" spans="3:11" ht="15" customHeight="1" x14ac:dyDescent="0.25">
      <c r="E108" s="18"/>
      <c r="F108" s="18"/>
      <c r="G108" s="18"/>
      <c r="H108" s="18"/>
      <c r="I108" s="18"/>
      <c r="J108" s="18"/>
      <c r="K108" s="18"/>
    </row>
    <row r="109" spans="3:11" ht="15" customHeight="1" x14ac:dyDescent="0.25">
      <c r="C109" s="13" t="s">
        <v>15</v>
      </c>
      <c r="E109" s="18"/>
      <c r="F109" s="18"/>
      <c r="G109" s="18"/>
      <c r="H109" s="18"/>
      <c r="I109" s="18"/>
      <c r="J109" s="18"/>
      <c r="K109" s="18"/>
    </row>
    <row r="110" spans="3:11" ht="15" customHeight="1" x14ac:dyDescent="0.25">
      <c r="C110" s="17" t="s">
        <v>265</v>
      </c>
      <c r="D110" s="10">
        <v>252000000</v>
      </c>
      <c r="E110" s="10">
        <v>252000000</v>
      </c>
      <c r="F110" s="10">
        <v>252000000</v>
      </c>
      <c r="G110" s="19">
        <f>F110</f>
        <v>252000000</v>
      </c>
      <c r="H110" s="19">
        <f t="shared" ref="H110:K110" si="103">G110</f>
        <v>252000000</v>
      </c>
      <c r="I110" s="19">
        <f t="shared" si="103"/>
        <v>252000000</v>
      </c>
      <c r="J110" s="19">
        <f t="shared" si="103"/>
        <v>252000000</v>
      </c>
      <c r="K110" s="19">
        <f t="shared" si="103"/>
        <v>252000000</v>
      </c>
    </row>
    <row r="111" spans="3:11" ht="15" customHeight="1" x14ac:dyDescent="0.25">
      <c r="C111" s="17" t="s">
        <v>266</v>
      </c>
      <c r="D111" s="10">
        <v>237412116</v>
      </c>
      <c r="E111" s="10">
        <v>237412116</v>
      </c>
      <c r="F111" s="10">
        <v>237412116</v>
      </c>
      <c r="G111" s="19">
        <f t="shared" ref="G111:K115" si="104">F111</f>
        <v>237412116</v>
      </c>
      <c r="H111" s="19">
        <f t="shared" si="104"/>
        <v>237412116</v>
      </c>
      <c r="I111" s="19">
        <f t="shared" si="104"/>
        <v>237412116</v>
      </c>
      <c r="J111" s="19">
        <f t="shared" si="104"/>
        <v>237412116</v>
      </c>
      <c r="K111" s="19">
        <f t="shared" si="104"/>
        <v>237412116</v>
      </c>
    </row>
    <row r="112" spans="3:11" ht="15" customHeight="1" x14ac:dyDescent="0.25">
      <c r="C112" s="17" t="s">
        <v>267</v>
      </c>
      <c r="D112" s="10">
        <v>126000000</v>
      </c>
      <c r="E112" s="10">
        <v>126000000</v>
      </c>
      <c r="F112" s="10">
        <v>126000000</v>
      </c>
      <c r="G112" s="19">
        <f t="shared" si="104"/>
        <v>126000000</v>
      </c>
      <c r="H112" s="19">
        <f t="shared" si="104"/>
        <v>126000000</v>
      </c>
      <c r="I112" s="19">
        <f t="shared" si="104"/>
        <v>126000000</v>
      </c>
      <c r="J112" s="19">
        <f t="shared" si="104"/>
        <v>126000000</v>
      </c>
      <c r="K112" s="19">
        <f t="shared" si="104"/>
        <v>126000000</v>
      </c>
    </row>
    <row r="113" spans="3:11" ht="15" customHeight="1" x14ac:dyDescent="0.25">
      <c r="C113" s="17" t="s">
        <v>268</v>
      </c>
      <c r="D113" s="10">
        <v>217252</v>
      </c>
      <c r="E113" s="10">
        <v>217252</v>
      </c>
      <c r="F113" s="10">
        <v>217252</v>
      </c>
      <c r="G113" s="19">
        <f t="shared" si="104"/>
        <v>217252</v>
      </c>
      <c r="H113" s="19">
        <f t="shared" si="104"/>
        <v>217252</v>
      </c>
      <c r="I113" s="19">
        <f t="shared" si="104"/>
        <v>217252</v>
      </c>
      <c r="J113" s="19">
        <f t="shared" si="104"/>
        <v>217252</v>
      </c>
      <c r="K113" s="19">
        <f t="shared" si="104"/>
        <v>217252</v>
      </c>
    </row>
    <row r="114" spans="3:11" ht="15" customHeight="1" x14ac:dyDescent="0.25">
      <c r="C114" s="17" t="s">
        <v>269</v>
      </c>
      <c r="D114" s="10">
        <v>3079334</v>
      </c>
      <c r="E114" s="10">
        <v>3079334</v>
      </c>
      <c r="F114" s="10">
        <v>3079334</v>
      </c>
      <c r="G114" s="19">
        <f t="shared" si="104"/>
        <v>3079334</v>
      </c>
      <c r="H114" s="19">
        <f t="shared" si="104"/>
        <v>3079334</v>
      </c>
      <c r="I114" s="19">
        <f t="shared" si="104"/>
        <v>3079334</v>
      </c>
      <c r="J114" s="19">
        <f t="shared" si="104"/>
        <v>3079334</v>
      </c>
      <c r="K114" s="19">
        <f t="shared" si="104"/>
        <v>3079334</v>
      </c>
    </row>
    <row r="115" spans="3:11" ht="15" customHeight="1" x14ac:dyDescent="0.25">
      <c r="C115" s="17" t="s">
        <v>270</v>
      </c>
      <c r="D115" s="10">
        <v>-171643212</v>
      </c>
      <c r="E115" s="10">
        <v>-171643212</v>
      </c>
      <c r="F115" s="10">
        <v>-171643212</v>
      </c>
      <c r="G115" s="19">
        <f t="shared" si="104"/>
        <v>-171643212</v>
      </c>
      <c r="H115" s="19">
        <f t="shared" si="104"/>
        <v>-171643212</v>
      </c>
      <c r="I115" s="19">
        <f t="shared" si="104"/>
        <v>-171643212</v>
      </c>
      <c r="J115" s="19">
        <f t="shared" si="104"/>
        <v>-171643212</v>
      </c>
      <c r="K115" s="19">
        <f t="shared" si="104"/>
        <v>-171643212</v>
      </c>
    </row>
    <row r="116" spans="3:11" ht="15" customHeight="1" x14ac:dyDescent="0.25">
      <c r="C116" s="17" t="s">
        <v>178</v>
      </c>
      <c r="D116" s="10">
        <v>1002054151</v>
      </c>
      <c r="E116" s="10">
        <v>1584153010</v>
      </c>
      <c r="F116" s="10">
        <v>2336954746</v>
      </c>
      <c r="G116" s="19">
        <f>G253</f>
        <v>3011271829.4382234</v>
      </c>
      <c r="H116" s="19">
        <f t="shared" ref="H116:K116" si="105">H253</f>
        <v>3961779468.691052</v>
      </c>
      <c r="I116" s="19">
        <f t="shared" si="105"/>
        <v>5076769130.7859421</v>
      </c>
      <c r="J116" s="19">
        <f t="shared" si="105"/>
        <v>6398464289.1740284</v>
      </c>
      <c r="K116" s="19">
        <f t="shared" si="105"/>
        <v>8001126761.9302788</v>
      </c>
    </row>
    <row r="117" spans="3:11" ht="15" customHeight="1" x14ac:dyDescent="0.25">
      <c r="C117" s="247" t="s">
        <v>271</v>
      </c>
      <c r="D117" s="165">
        <f>SUM(D110:D116)</f>
        <v>1449119641</v>
      </c>
      <c r="E117" s="165">
        <f t="shared" ref="E117:F117" si="106">SUM(E110:E116)</f>
        <v>2031218500</v>
      </c>
      <c r="F117" s="165">
        <f t="shared" si="106"/>
        <v>2784020236</v>
      </c>
      <c r="G117" s="165">
        <f t="shared" ref="G117" si="107">SUM(G110:G116)</f>
        <v>3458337319.4382234</v>
      </c>
      <c r="H117" s="165">
        <f t="shared" ref="H117" si="108">SUM(H110:H116)</f>
        <v>4408844958.6910515</v>
      </c>
      <c r="I117" s="165">
        <f t="shared" ref="I117" si="109">SUM(I110:I116)</f>
        <v>5523834620.7859421</v>
      </c>
      <c r="J117" s="165">
        <f t="shared" ref="J117" si="110">SUM(J110:J116)</f>
        <v>6845529779.1740284</v>
      </c>
      <c r="K117" s="165">
        <f t="shared" ref="K117" si="111">SUM(K110:K116)</f>
        <v>8448192251.9302788</v>
      </c>
    </row>
    <row r="118" spans="3:11" ht="15" customHeight="1" x14ac:dyDescent="0.25">
      <c r="C118" s="17" t="s">
        <v>272</v>
      </c>
      <c r="D118" s="10">
        <v>158</v>
      </c>
      <c r="E118" s="10">
        <v>46</v>
      </c>
      <c r="F118" s="10">
        <v>63</v>
      </c>
      <c r="G118" s="19">
        <f>G259</f>
        <v>80</v>
      </c>
      <c r="H118" s="19">
        <f t="shared" ref="H118:K118" si="112">H259</f>
        <v>97</v>
      </c>
      <c r="I118" s="19">
        <f t="shared" si="112"/>
        <v>114</v>
      </c>
      <c r="J118" s="19">
        <f t="shared" si="112"/>
        <v>131</v>
      </c>
      <c r="K118" s="19">
        <f t="shared" si="112"/>
        <v>148</v>
      </c>
    </row>
    <row r="119" spans="3:11" ht="15" customHeight="1" x14ac:dyDescent="0.25">
      <c r="C119" s="27" t="s">
        <v>16</v>
      </c>
      <c r="D119" s="12">
        <f>SUM(D117:D118)</f>
        <v>1449119799</v>
      </c>
      <c r="E119" s="12">
        <f t="shared" ref="E119:K119" si="113">SUM(E117:E118)</f>
        <v>2031218546</v>
      </c>
      <c r="F119" s="12">
        <f t="shared" si="113"/>
        <v>2784020299</v>
      </c>
      <c r="G119" s="12">
        <f t="shared" si="113"/>
        <v>3458337399.4382234</v>
      </c>
      <c r="H119" s="12">
        <f t="shared" si="113"/>
        <v>4408845055.6910515</v>
      </c>
      <c r="I119" s="12">
        <f t="shared" si="113"/>
        <v>5523834734.7859421</v>
      </c>
      <c r="J119" s="12">
        <f t="shared" si="113"/>
        <v>6845529910.1740284</v>
      </c>
      <c r="K119" s="12">
        <f t="shared" si="113"/>
        <v>8448192399.9302788</v>
      </c>
    </row>
    <row r="120" spans="3:11" ht="15" customHeight="1" x14ac:dyDescent="0.25">
      <c r="E120" s="19"/>
      <c r="F120" s="19"/>
      <c r="G120" s="19"/>
      <c r="H120" s="19"/>
      <c r="I120" s="19"/>
      <c r="J120" s="19"/>
      <c r="K120" s="19"/>
    </row>
    <row r="121" spans="3:11" ht="15" customHeight="1" x14ac:dyDescent="0.25">
      <c r="C121" s="13" t="s">
        <v>17</v>
      </c>
      <c r="D121" s="14">
        <f>D107+D119</f>
        <v>18549810926</v>
      </c>
      <c r="E121" s="14">
        <f t="shared" ref="E121:K121" si="114">E107+E119</f>
        <v>28641557747</v>
      </c>
      <c r="F121" s="14">
        <f t="shared" si="114"/>
        <v>36213703819</v>
      </c>
      <c r="G121" s="14">
        <f t="shared" si="114"/>
        <v>45439398335.178291</v>
      </c>
      <c r="H121" s="14">
        <f t="shared" si="114"/>
        <v>53788939410.835663</v>
      </c>
      <c r="I121" s="14">
        <f t="shared" si="114"/>
        <v>61406000262.191872</v>
      </c>
      <c r="J121" s="14">
        <f t="shared" si="114"/>
        <v>68904242310.827621</v>
      </c>
      <c r="K121" s="14">
        <f t="shared" si="114"/>
        <v>76913825884.462982</v>
      </c>
    </row>
    <row r="122" spans="3:11" ht="15" customHeight="1" x14ac:dyDescent="0.25">
      <c r="E122" s="18"/>
      <c r="F122" s="18"/>
      <c r="G122" s="18"/>
      <c r="H122" s="18"/>
      <c r="I122" s="18"/>
      <c r="J122" s="18"/>
      <c r="K122" s="18"/>
    </row>
    <row r="123" spans="3:11" ht="15" customHeight="1" x14ac:dyDescent="0.25">
      <c r="C123" s="6" t="s">
        <v>18</v>
      </c>
      <c r="D123" s="18">
        <f>D86-D121</f>
        <v>0</v>
      </c>
      <c r="E123" s="18">
        <f t="shared" ref="E123:K123" si="115">E86-E121</f>
        <v>0</v>
      </c>
      <c r="F123" s="18">
        <f t="shared" si="115"/>
        <v>0</v>
      </c>
      <c r="G123" s="18">
        <f t="shared" si="115"/>
        <v>0</v>
      </c>
      <c r="H123" s="18">
        <f t="shared" si="115"/>
        <v>0</v>
      </c>
      <c r="I123" s="18">
        <f t="shared" si="115"/>
        <v>0</v>
      </c>
      <c r="J123" s="18">
        <f t="shared" si="115"/>
        <v>0</v>
      </c>
      <c r="K123" s="18">
        <f t="shared" si="115"/>
        <v>0</v>
      </c>
    </row>
    <row r="124" spans="3:11" ht="15" customHeight="1" x14ac:dyDescent="0.25"/>
    <row r="125" spans="3:11" customFormat="1" x14ac:dyDescent="0.25">
      <c r="C125" s="41" t="s">
        <v>47</v>
      </c>
      <c r="D125" s="48"/>
      <c r="E125" s="48"/>
      <c r="F125" s="48"/>
      <c r="G125" s="48"/>
      <c r="H125" s="48"/>
      <c r="I125" s="48"/>
      <c r="J125" s="48"/>
      <c r="K125" s="48"/>
    </row>
    <row r="126" spans="3:11" customFormat="1" x14ac:dyDescent="0.25">
      <c r="C126" t="s">
        <v>44</v>
      </c>
      <c r="D126" s="43"/>
      <c r="E126" s="43"/>
      <c r="F126" s="43"/>
      <c r="G126" s="44">
        <f t="shared" ref="G126:K126" si="116">G$13</f>
        <v>2026</v>
      </c>
      <c r="H126" s="44">
        <f t="shared" si="116"/>
        <v>2027</v>
      </c>
      <c r="I126" s="44">
        <f t="shared" si="116"/>
        <v>2028</v>
      </c>
      <c r="J126" s="44">
        <f t="shared" si="116"/>
        <v>2029</v>
      </c>
      <c r="K126" s="44">
        <f t="shared" si="116"/>
        <v>2030</v>
      </c>
    </row>
    <row r="127" spans="3:11" customFormat="1" x14ac:dyDescent="0.25">
      <c r="C127" s="45" t="s">
        <v>45</v>
      </c>
      <c r="D127" s="46"/>
      <c r="E127" s="46"/>
      <c r="F127" s="46"/>
      <c r="G127" s="248">
        <f t="shared" ref="G127:K127" si="117">G$14</f>
        <v>46387</v>
      </c>
      <c r="H127" s="248">
        <f t="shared" si="117"/>
        <v>46752</v>
      </c>
      <c r="I127" s="248">
        <f t="shared" si="117"/>
        <v>47118</v>
      </c>
      <c r="J127" s="248">
        <f t="shared" si="117"/>
        <v>47483</v>
      </c>
      <c r="K127" s="248">
        <f t="shared" si="117"/>
        <v>47848</v>
      </c>
    </row>
    <row r="128" spans="3:11" ht="15" customHeight="1" x14ac:dyDescent="0.25"/>
    <row r="129" spans="3:11" s="13" customFormat="1" ht="15" customHeight="1" x14ac:dyDescent="0.25">
      <c r="C129" s="17" t="s">
        <v>210</v>
      </c>
      <c r="D129" s="208"/>
      <c r="E129" s="208"/>
      <c r="F129" s="208"/>
      <c r="G129" s="208">
        <f>G37</f>
        <v>842896371.29777932</v>
      </c>
      <c r="H129" s="208">
        <f t="shared" ref="H129:K129" si="118">H37</f>
        <v>1188134566.0660357</v>
      </c>
      <c r="I129" s="208">
        <f t="shared" si="118"/>
        <v>1393737094.6186125</v>
      </c>
      <c r="J129" s="208">
        <f t="shared" si="118"/>
        <v>1652118964.9851072</v>
      </c>
      <c r="K129" s="208">
        <f t="shared" si="118"/>
        <v>2003328107.9453132</v>
      </c>
    </row>
    <row r="130" spans="3:11" ht="15" customHeight="1" x14ac:dyDescent="0.25">
      <c r="C130" s="17" t="s">
        <v>206</v>
      </c>
      <c r="D130" s="210"/>
      <c r="E130" s="209"/>
      <c r="F130" s="209"/>
      <c r="G130" s="209">
        <f>G167</f>
        <v>213078439.54838139</v>
      </c>
      <c r="H130" s="209">
        <f t="shared" ref="H130:K130" si="119">H167</f>
        <v>250441506.84340894</v>
      </c>
      <c r="I130" s="209">
        <f t="shared" si="119"/>
        <v>283089546.91613054</v>
      </c>
      <c r="J130" s="209">
        <f t="shared" si="119"/>
        <v>314291042.63719487</v>
      </c>
      <c r="K130" s="209">
        <f t="shared" si="119"/>
        <v>347315298.69999158</v>
      </c>
    </row>
    <row r="131" spans="3:11" ht="15" customHeight="1" x14ac:dyDescent="0.25">
      <c r="C131" s="17" t="s">
        <v>207</v>
      </c>
      <c r="D131" s="210"/>
      <c r="E131" s="209"/>
      <c r="F131" s="209"/>
      <c r="G131" s="209">
        <f>G270+G281</f>
        <v>215051245.84039038</v>
      </c>
      <c r="H131" s="209">
        <f>H270+H281</f>
        <v>252760242.52369681</v>
      </c>
      <c r="I131" s="209">
        <f>I270+I281</f>
        <v>285710557.47234547</v>
      </c>
      <c r="J131" s="209">
        <f>J270+J281</f>
        <v>317200935.10567212</v>
      </c>
      <c r="K131" s="209">
        <f>K270+K281</f>
        <v>350530949.27467471</v>
      </c>
    </row>
    <row r="132" spans="3:11" s="13" customFormat="1" ht="15" customHeight="1" x14ac:dyDescent="0.25">
      <c r="C132" s="13" t="s">
        <v>188</v>
      </c>
      <c r="D132" s="208"/>
      <c r="E132" s="208"/>
      <c r="F132" s="208"/>
      <c r="G132" s="208">
        <f>SUM(G129:G131)</f>
        <v>1271026056.6865511</v>
      </c>
      <c r="H132" s="208">
        <f>SUM(H129:H131)</f>
        <v>1691336315.4331417</v>
      </c>
      <c r="I132" s="208">
        <f>SUM(I129:I131)</f>
        <v>1962537199.0070887</v>
      </c>
      <c r="J132" s="208">
        <f>SUM(J129:J131)</f>
        <v>2283610942.7279739</v>
      </c>
      <c r="K132" s="208">
        <f>SUM(K129:K131)</f>
        <v>2701174355.9199796</v>
      </c>
    </row>
    <row r="133" spans="3:11" s="13" customFormat="1" ht="15" customHeight="1" x14ac:dyDescent="0.25">
      <c r="D133" s="214"/>
      <c r="E133" s="212"/>
      <c r="F133" s="212"/>
      <c r="G133" s="213"/>
      <c r="H133" s="213"/>
      <c r="I133" s="213"/>
      <c r="J133" s="213"/>
      <c r="K133" s="213"/>
    </row>
    <row r="134" spans="3:11" ht="15" customHeight="1" x14ac:dyDescent="0.25">
      <c r="C134" s="206" t="s">
        <v>157</v>
      </c>
      <c r="D134" s="209"/>
      <c r="E134" s="209"/>
      <c r="F134" s="209"/>
      <c r="G134" s="209"/>
      <c r="H134" s="209"/>
      <c r="I134" s="209"/>
      <c r="J134" s="209"/>
      <c r="K134" s="209"/>
    </row>
    <row r="135" spans="3:11" ht="15" customHeight="1" x14ac:dyDescent="0.25">
      <c r="C135" s="17" t="s">
        <v>195</v>
      </c>
      <c r="D135" s="209"/>
      <c r="E135" s="209"/>
      <c r="F135" s="209"/>
      <c r="G135" s="209">
        <f>G218</f>
        <v>-421312910.76195526</v>
      </c>
      <c r="H135" s="209">
        <f t="shared" ref="H135:K135" si="120">H218</f>
        <v>-927405822.39302063</v>
      </c>
      <c r="I135" s="209">
        <f t="shared" si="120"/>
        <v>-838262789.79929352</v>
      </c>
      <c r="J135" s="209">
        <f t="shared" si="120"/>
        <v>-783153903.86800385</v>
      </c>
      <c r="K135" s="209">
        <f t="shared" si="120"/>
        <v>-806337371.13847351</v>
      </c>
    </row>
    <row r="136" spans="3:11" s="13" customFormat="1" ht="15" customHeight="1" x14ac:dyDescent="0.25">
      <c r="C136" s="13" t="s">
        <v>19</v>
      </c>
      <c r="D136" s="212"/>
      <c r="E136" s="212"/>
      <c r="F136" s="212"/>
      <c r="G136" s="212">
        <f>G132+G135</f>
        <v>849713145.92459583</v>
      </c>
      <c r="H136" s="212">
        <f t="shared" ref="H136:K136" si="121">H132+H135</f>
        <v>763930493.04012108</v>
      </c>
      <c r="I136" s="212">
        <f t="shared" si="121"/>
        <v>1124274409.2077951</v>
      </c>
      <c r="J136" s="212">
        <f t="shared" si="121"/>
        <v>1500457038.8599701</v>
      </c>
      <c r="K136" s="212">
        <f t="shared" si="121"/>
        <v>1894836984.7815061</v>
      </c>
    </row>
    <row r="137" spans="3:11" s="13" customFormat="1" ht="15" customHeight="1" x14ac:dyDescent="0.25">
      <c r="C137" s="13" t="s">
        <v>193</v>
      </c>
      <c r="D137" s="208"/>
      <c r="E137" s="208"/>
      <c r="F137" s="208"/>
      <c r="G137" s="208">
        <f>G136</f>
        <v>849713145.92459583</v>
      </c>
      <c r="H137" s="208">
        <f t="shared" ref="H137:K137" si="122">H136</f>
        <v>763930493.04012108</v>
      </c>
      <c r="I137" s="208">
        <f t="shared" si="122"/>
        <v>1124274409.2077951</v>
      </c>
      <c r="J137" s="208">
        <f t="shared" si="122"/>
        <v>1500457038.8599701</v>
      </c>
      <c r="K137" s="208">
        <f t="shared" si="122"/>
        <v>1894836984.7815061</v>
      </c>
    </row>
    <row r="138" spans="3:11" ht="15" customHeight="1" x14ac:dyDescent="0.25">
      <c r="D138" s="215"/>
      <c r="E138" s="211"/>
      <c r="F138" s="211"/>
      <c r="G138" s="211"/>
      <c r="H138" s="211"/>
      <c r="I138" s="211"/>
      <c r="J138" s="211"/>
      <c r="K138" s="211"/>
    </row>
    <row r="139" spans="3:11" customFormat="1" x14ac:dyDescent="0.25">
      <c r="C139" s="236" t="s">
        <v>20</v>
      </c>
      <c r="D139" s="237"/>
      <c r="E139" s="237"/>
      <c r="F139" s="237"/>
      <c r="G139" s="237"/>
      <c r="H139" s="237"/>
      <c r="I139" s="237"/>
      <c r="J139" s="237"/>
      <c r="K139" s="237"/>
    </row>
    <row r="140" spans="3:11" ht="15" customHeight="1" x14ac:dyDescent="0.25">
      <c r="D140" s="215"/>
      <c r="E140" s="211"/>
      <c r="F140" s="211"/>
      <c r="G140" s="211"/>
      <c r="H140" s="211"/>
      <c r="I140" s="211"/>
      <c r="J140" s="211"/>
      <c r="K140" s="211"/>
    </row>
    <row r="141" spans="3:11" ht="15" customHeight="1" x14ac:dyDescent="0.25">
      <c r="C141" s="17" t="s">
        <v>208</v>
      </c>
      <c r="D141" s="215"/>
      <c r="E141" s="209"/>
      <c r="F141" s="209"/>
      <c r="G141" s="209">
        <f>-G166</f>
        <v>-911255102.42162526</v>
      </c>
      <c r="H141" s="209">
        <f t="shared" ref="H141:K141" si="123">-H166</f>
        <v>-1071042670.7315841</v>
      </c>
      <c r="I141" s="209">
        <f t="shared" si="123"/>
        <v>-1210665868.4769292</v>
      </c>
      <c r="J141" s="209">
        <f t="shared" si="123"/>
        <v>-1344102748.5257459</v>
      </c>
      <c r="K141" s="209">
        <f t="shared" si="123"/>
        <v>-1485334878.3680935</v>
      </c>
    </row>
    <row r="142" spans="3:11" ht="15" customHeight="1" x14ac:dyDescent="0.25">
      <c r="C142" s="17" t="s">
        <v>209</v>
      </c>
      <c r="D142" s="215"/>
      <c r="E142" s="209"/>
      <c r="F142" s="209"/>
      <c r="G142" s="209">
        <f>-G269</f>
        <v>-32896984.960925039</v>
      </c>
      <c r="H142" s="209">
        <f t="shared" ref="H142:K142" si="124">-H269</f>
        <v>-38665434.671293162</v>
      </c>
      <c r="I142" s="209">
        <f t="shared" si="124"/>
        <v>-43705935.650896654</v>
      </c>
      <c r="J142" s="209">
        <f t="shared" si="124"/>
        <v>-48523105.9740403</v>
      </c>
      <c r="K142" s="209">
        <f t="shared" si="124"/>
        <v>-53621690.595488518</v>
      </c>
    </row>
    <row r="143" spans="3:11" ht="15" customHeight="1" x14ac:dyDescent="0.25">
      <c r="C143" s="17" t="s">
        <v>204</v>
      </c>
      <c r="D143" s="215"/>
      <c r="E143" s="209"/>
      <c r="F143" s="209"/>
      <c r="G143" s="209">
        <f>F73-G73</f>
        <v>0</v>
      </c>
      <c r="H143" s="209">
        <f>G73-H73</f>
        <v>0</v>
      </c>
      <c r="I143" s="209">
        <f>H73-I73</f>
        <v>0</v>
      </c>
      <c r="J143" s="209">
        <f>I73-J73</f>
        <v>0</v>
      </c>
      <c r="K143" s="209">
        <f>J73-K73</f>
        <v>0</v>
      </c>
    </row>
    <row r="144" spans="3:11" ht="15" customHeight="1" x14ac:dyDescent="0.25">
      <c r="C144" s="17" t="s">
        <v>243</v>
      </c>
      <c r="D144" s="215"/>
      <c r="E144" s="209"/>
      <c r="F144" s="209"/>
      <c r="G144" s="209">
        <f>F70-G70</f>
        <v>0</v>
      </c>
      <c r="H144" s="209">
        <f>G70-H70</f>
        <v>0</v>
      </c>
      <c r="I144" s="209">
        <f>H70-I70</f>
        <v>0</v>
      </c>
      <c r="J144" s="209">
        <f>I70-J70</f>
        <v>0</v>
      </c>
      <c r="K144" s="209">
        <f>J70-K70</f>
        <v>0</v>
      </c>
    </row>
    <row r="145" spans="3:11" ht="15" customHeight="1" x14ac:dyDescent="0.25">
      <c r="C145" s="13" t="s">
        <v>192</v>
      </c>
      <c r="D145" s="215"/>
      <c r="E145" s="212"/>
      <c r="F145" s="212"/>
      <c r="G145" s="212">
        <f>SUM(G141:G144)</f>
        <v>-944152087.38255024</v>
      </c>
      <c r="H145" s="212">
        <f>SUM(H141:H144)</f>
        <v>-1109708105.4028773</v>
      </c>
      <c r="I145" s="212">
        <f>SUM(I141:I144)</f>
        <v>-1254371804.1278257</v>
      </c>
      <c r="J145" s="212">
        <f>SUM(J141:J144)</f>
        <v>-1392625854.4997861</v>
      </c>
      <c r="K145" s="212">
        <f>SUM(K141:K144)</f>
        <v>-1538956568.963582</v>
      </c>
    </row>
    <row r="146" spans="3:11" ht="15" customHeight="1" x14ac:dyDescent="0.25">
      <c r="D146" s="215"/>
      <c r="E146" s="216"/>
      <c r="F146" s="216"/>
      <c r="G146" s="211"/>
      <c r="H146" s="211"/>
      <c r="I146" s="211"/>
      <c r="J146" s="211"/>
      <c r="K146" s="211"/>
    </row>
    <row r="147" spans="3:11" s="37" customFormat="1" ht="15" customHeight="1" x14ac:dyDescent="0.25">
      <c r="C147" s="47" t="s">
        <v>21</v>
      </c>
      <c r="D147" s="217"/>
      <c r="E147" s="218"/>
      <c r="F147" s="218"/>
      <c r="G147" s="218"/>
      <c r="H147" s="218"/>
      <c r="I147" s="218"/>
      <c r="J147" s="218"/>
      <c r="K147" s="218"/>
    </row>
    <row r="148" spans="3:11" ht="15" customHeight="1" x14ac:dyDescent="0.25">
      <c r="D148" s="215"/>
      <c r="E148" s="216"/>
      <c r="F148" s="216"/>
      <c r="G148" s="211"/>
      <c r="H148" s="211"/>
      <c r="I148" s="211"/>
      <c r="J148" s="211"/>
      <c r="K148" s="211"/>
    </row>
    <row r="149" spans="3:11" ht="15" customHeight="1" x14ac:dyDescent="0.25">
      <c r="C149" s="17" t="s">
        <v>189</v>
      </c>
      <c r="D149" s="215"/>
      <c r="E149" s="209"/>
      <c r="F149" s="209"/>
      <c r="G149" s="209">
        <f>(G92-F92)+(G102-F102)</f>
        <v>0</v>
      </c>
      <c r="H149" s="209">
        <f>(H92-G92)+(H102-G102)</f>
        <v>0</v>
      </c>
      <c r="I149" s="209">
        <f>(I92-H92)+(I102-H102)</f>
        <v>0</v>
      </c>
      <c r="J149" s="209">
        <f>(J92-I92)+(J102-I102)</f>
        <v>0</v>
      </c>
      <c r="K149" s="209">
        <f>(K92-J92)+(K102-J102)</f>
        <v>0</v>
      </c>
    </row>
    <row r="150" spans="3:11" ht="15" customHeight="1" x14ac:dyDescent="0.25">
      <c r="C150" s="17" t="s">
        <v>190</v>
      </c>
      <c r="D150" s="215"/>
      <c r="E150" s="209"/>
      <c r="F150" s="209"/>
      <c r="G150" s="209">
        <f>-G251</f>
        <v>-168579270.85955587</v>
      </c>
      <c r="H150" s="209">
        <f t="shared" ref="H150:K150" si="125">-H251</f>
        <v>-237626909.81320715</v>
      </c>
      <c r="I150" s="209">
        <f t="shared" si="125"/>
        <v>-278747415.52372253</v>
      </c>
      <c r="J150" s="209">
        <f t="shared" si="125"/>
        <v>-330423789.59702146</v>
      </c>
      <c r="K150" s="209">
        <f t="shared" si="125"/>
        <v>-400665618.18906265</v>
      </c>
    </row>
    <row r="151" spans="3:11" ht="15" customHeight="1" x14ac:dyDescent="0.25">
      <c r="C151" s="17" t="s">
        <v>309</v>
      </c>
      <c r="D151" s="215"/>
      <c r="E151" s="209"/>
      <c r="F151" s="209"/>
      <c r="G151" s="209">
        <f>-G281</f>
        <v>-183591110.3939603</v>
      </c>
      <c r="H151" s="209">
        <f t="shared" ref="H151:K151" si="126">-H281</f>
        <v>-215783607.33056778</v>
      </c>
      <c r="I151" s="209">
        <f t="shared" si="126"/>
        <v>-243913576.47170419</v>
      </c>
      <c r="J151" s="209">
        <f t="shared" si="126"/>
        <v>-270797184.48724878</v>
      </c>
      <c r="K151" s="209">
        <f t="shared" si="126"/>
        <v>-299251306.14007175</v>
      </c>
    </row>
    <row r="152" spans="3:11" ht="15" customHeight="1" x14ac:dyDescent="0.25">
      <c r="C152" s="17" t="s">
        <v>307</v>
      </c>
      <c r="D152" s="215"/>
      <c r="E152" s="209"/>
      <c r="F152" s="209"/>
      <c r="G152" s="209">
        <f>G297</f>
        <v>667888404.42514896</v>
      </c>
      <c r="H152" s="209">
        <f t="shared" ref="H152:K152" si="127">H297</f>
        <v>999343726.31389713</v>
      </c>
      <c r="I152" s="209">
        <f t="shared" si="127"/>
        <v>827655375.26352215</v>
      </c>
      <c r="J152" s="209">
        <f t="shared" si="127"/>
        <v>660537576.28076458</v>
      </c>
      <c r="K152" s="209">
        <f t="shared" si="127"/>
        <v>520948902.48503304</v>
      </c>
    </row>
    <row r="153" spans="3:11" ht="15" customHeight="1" x14ac:dyDescent="0.25">
      <c r="C153" s="13" t="s">
        <v>191</v>
      </c>
      <c r="D153" s="214"/>
      <c r="E153" s="212"/>
      <c r="F153" s="212"/>
      <c r="G153" s="212">
        <f>SUM(G149:G152)</f>
        <v>315718023.17163277</v>
      </c>
      <c r="H153" s="212">
        <f t="shared" ref="H153:K153" si="128">SUM(H149:H152)</f>
        <v>545933209.17012215</v>
      </c>
      <c r="I153" s="212">
        <f t="shared" si="128"/>
        <v>304994383.26809543</v>
      </c>
      <c r="J153" s="212">
        <f t="shared" si="128"/>
        <v>59316602.196494341</v>
      </c>
      <c r="K153" s="212">
        <f t="shared" si="128"/>
        <v>-178968021.84410143</v>
      </c>
    </row>
    <row r="154" spans="3:11" ht="15" customHeight="1" x14ac:dyDescent="0.25">
      <c r="C154" s="13"/>
      <c r="D154" s="214"/>
      <c r="E154" s="212"/>
      <c r="F154" s="212"/>
      <c r="G154" s="212"/>
      <c r="H154" s="212"/>
      <c r="I154" s="212"/>
      <c r="J154" s="212"/>
      <c r="K154" s="212"/>
    </row>
    <row r="155" spans="3:11" ht="15" customHeight="1" x14ac:dyDescent="0.25">
      <c r="C155" s="13" t="s">
        <v>158</v>
      </c>
      <c r="D155" s="214"/>
      <c r="E155" s="212"/>
      <c r="F155" s="212"/>
      <c r="G155" s="212">
        <f>G137+G145+G153</f>
        <v>221279081.71367836</v>
      </c>
      <c r="H155" s="212">
        <f>H137+H145+H153</f>
        <v>200155596.80736589</v>
      </c>
      <c r="I155" s="212">
        <f>I137+I145+I153</f>
        <v>174896988.34806484</v>
      </c>
      <c r="J155" s="212">
        <f>J137+J145+J153</f>
        <v>167147786.5566783</v>
      </c>
      <c r="K155" s="212">
        <f>K137+K145+K153</f>
        <v>176912393.97382259</v>
      </c>
    </row>
    <row r="156" spans="3:11" ht="15" customHeight="1" x14ac:dyDescent="0.25">
      <c r="C156" s="6" t="s">
        <v>159</v>
      </c>
      <c r="D156" s="214"/>
      <c r="E156" s="212"/>
      <c r="F156" s="212"/>
      <c r="G156" s="212">
        <f>F72</f>
        <v>920191502</v>
      </c>
      <c r="H156" s="212">
        <f t="shared" ref="H156:K156" si="129">G72</f>
        <v>1141470583.7136784</v>
      </c>
      <c r="I156" s="212">
        <f t="shared" si="129"/>
        <v>1341626180.5210443</v>
      </c>
      <c r="J156" s="212">
        <f t="shared" si="129"/>
        <v>1516523168.8691092</v>
      </c>
      <c r="K156" s="212">
        <f t="shared" si="129"/>
        <v>1683670955.4257874</v>
      </c>
    </row>
    <row r="157" spans="3:11" ht="15" customHeight="1" x14ac:dyDescent="0.25">
      <c r="C157" s="13" t="s">
        <v>160</v>
      </c>
      <c r="D157" s="215"/>
      <c r="E157" s="212"/>
      <c r="F157" s="212"/>
      <c r="G157" s="212">
        <f>G155+G156</f>
        <v>1141470583.7136784</v>
      </c>
      <c r="H157" s="212">
        <f t="shared" ref="H157:K157" si="130">H155+H156</f>
        <v>1341626180.5210443</v>
      </c>
      <c r="I157" s="212">
        <f t="shared" si="130"/>
        <v>1516523168.8691092</v>
      </c>
      <c r="J157" s="212">
        <f t="shared" si="130"/>
        <v>1683670955.4257874</v>
      </c>
      <c r="K157" s="212">
        <f t="shared" si="130"/>
        <v>1860583349.39961</v>
      </c>
    </row>
    <row r="158" spans="3:11" ht="15" customHeight="1" x14ac:dyDescent="0.25">
      <c r="C158" s="13"/>
      <c r="D158" s="215"/>
      <c r="E158" s="213"/>
      <c r="F158" s="212"/>
      <c r="G158" s="213"/>
      <c r="H158" s="213"/>
      <c r="I158" s="213"/>
      <c r="J158" s="213"/>
      <c r="K158" s="213"/>
    </row>
    <row r="159" spans="3:11" ht="15" customHeight="1" x14ac:dyDescent="0.25">
      <c r="C159" s="13" t="s">
        <v>22</v>
      </c>
      <c r="D159" s="253"/>
      <c r="E159" s="253"/>
      <c r="F159" s="209"/>
      <c r="G159" s="209"/>
      <c r="H159" s="209"/>
      <c r="I159" s="209"/>
      <c r="J159" s="209"/>
      <c r="K159" s="209"/>
    </row>
    <row r="160" spans="3:11" ht="15" customHeight="1" x14ac:dyDescent="0.25"/>
    <row r="161" spans="1:11" customFormat="1" x14ac:dyDescent="0.25">
      <c r="C161" s="41" t="s">
        <v>31</v>
      </c>
      <c r="D161" s="42"/>
      <c r="E161" s="42"/>
      <c r="F161" s="42"/>
      <c r="G161" s="42"/>
      <c r="H161" s="42"/>
      <c r="I161" s="42"/>
      <c r="J161" s="42"/>
      <c r="K161" s="42"/>
    </row>
    <row r="162" spans="1:11" customFormat="1" x14ac:dyDescent="0.25">
      <c r="C162" t="s">
        <v>44</v>
      </c>
      <c r="D162" s="43">
        <f t="shared" ref="D162:F162" si="131">D$13</f>
        <v>2023</v>
      </c>
      <c r="E162" s="43">
        <f t="shared" si="131"/>
        <v>2024</v>
      </c>
      <c r="F162" s="43">
        <f t="shared" si="131"/>
        <v>2025</v>
      </c>
      <c r="G162" s="44">
        <f t="shared" ref="G162:K162" si="132">G$13</f>
        <v>2026</v>
      </c>
      <c r="H162" s="44">
        <f t="shared" si="132"/>
        <v>2027</v>
      </c>
      <c r="I162" s="44">
        <f t="shared" si="132"/>
        <v>2028</v>
      </c>
      <c r="J162" s="44">
        <f t="shared" si="132"/>
        <v>2029</v>
      </c>
      <c r="K162" s="44">
        <f t="shared" si="132"/>
        <v>2030</v>
      </c>
    </row>
    <row r="163" spans="1:11" customFormat="1" x14ac:dyDescent="0.25">
      <c r="C163" s="45" t="s">
        <v>45</v>
      </c>
      <c r="D163" s="248">
        <f t="shared" ref="D163:F163" si="133">D$14</f>
        <v>45291</v>
      </c>
      <c r="E163" s="248">
        <f t="shared" si="133"/>
        <v>45657</v>
      </c>
      <c r="F163" s="248">
        <f t="shared" si="133"/>
        <v>46022</v>
      </c>
      <c r="G163" s="248">
        <f t="shared" ref="G163:K163" si="134">G$14</f>
        <v>46387</v>
      </c>
      <c r="H163" s="248">
        <f t="shared" si="134"/>
        <v>46752</v>
      </c>
      <c r="I163" s="248">
        <f t="shared" si="134"/>
        <v>47118</v>
      </c>
      <c r="J163" s="248">
        <f t="shared" si="134"/>
        <v>47483</v>
      </c>
      <c r="K163" s="248">
        <f t="shared" si="134"/>
        <v>47848</v>
      </c>
    </row>
    <row r="164" spans="1:11" ht="15" customHeight="1" x14ac:dyDescent="0.25"/>
    <row r="165" spans="1:11" ht="15" customHeight="1" x14ac:dyDescent="0.25">
      <c r="C165" s="17" t="s">
        <v>32</v>
      </c>
      <c r="D165" s="194"/>
      <c r="E165" s="195">
        <f>D168</f>
        <v>1061746170</v>
      </c>
      <c r="F165" s="195">
        <f t="shared" ref="F165:K165" si="135">E168</f>
        <v>1118026279</v>
      </c>
      <c r="G165" s="195">
        <f t="shared" si="135"/>
        <v>1271993989</v>
      </c>
      <c r="H165" s="195">
        <f t="shared" si="135"/>
        <v>1970170651.8732438</v>
      </c>
      <c r="I165" s="195">
        <f t="shared" si="135"/>
        <v>2790771815.7614188</v>
      </c>
      <c r="J165" s="195">
        <f t="shared" si="135"/>
        <v>3718348137.3222175</v>
      </c>
      <c r="K165" s="195">
        <f t="shared" si="135"/>
        <v>4748159843.2107687</v>
      </c>
    </row>
    <row r="166" spans="1:11" ht="15" customHeight="1" x14ac:dyDescent="0.25">
      <c r="C166" s="31" t="s">
        <v>33</v>
      </c>
      <c r="D166" s="253">
        <v>354039348</v>
      </c>
      <c r="E166" s="253">
        <v>258074178</v>
      </c>
      <c r="F166" s="253">
        <v>734604302</v>
      </c>
      <c r="G166" s="193">
        <f>G170*G16</f>
        <v>911255102.42162526</v>
      </c>
      <c r="H166" s="193">
        <f>H170*H16</f>
        <v>1071042670.7315841</v>
      </c>
      <c r="I166" s="193">
        <f>I170*I16</f>
        <v>1210665868.4769292</v>
      </c>
      <c r="J166" s="193">
        <f>J170*J16</f>
        <v>1344102748.5257459</v>
      </c>
      <c r="K166" s="193">
        <f>K170*K16</f>
        <v>1485334878.3680935</v>
      </c>
    </row>
    <row r="167" spans="1:11" ht="15" customHeight="1" x14ac:dyDescent="0.25">
      <c r="C167" s="31" t="s">
        <v>34</v>
      </c>
      <c r="D167" s="207">
        <v>114181643</v>
      </c>
      <c r="E167" s="207">
        <v>133155241</v>
      </c>
      <c r="F167" s="207">
        <v>171772249</v>
      </c>
      <c r="G167" s="193">
        <f>G171*G16</f>
        <v>213078439.54838139</v>
      </c>
      <c r="H167" s="193">
        <f>H171*H16</f>
        <v>250441506.84340894</v>
      </c>
      <c r="I167" s="193">
        <f>I171*I16</f>
        <v>283089546.91613054</v>
      </c>
      <c r="J167" s="193">
        <f>J171*J16</f>
        <v>314291042.63719487</v>
      </c>
      <c r="K167" s="193">
        <f>K171*K16</f>
        <v>347315298.69999158</v>
      </c>
    </row>
    <row r="168" spans="1:11" ht="15" customHeight="1" x14ac:dyDescent="0.25">
      <c r="C168" s="16" t="s">
        <v>35</v>
      </c>
      <c r="D168" s="250">
        <f>D77</f>
        <v>1061746170</v>
      </c>
      <c r="E168" s="250">
        <f>E77</f>
        <v>1118026279</v>
      </c>
      <c r="F168" s="250">
        <f>F77</f>
        <v>1271993989</v>
      </c>
      <c r="G168" s="250">
        <f>G165+G166-G167</f>
        <v>1970170651.8732438</v>
      </c>
      <c r="H168" s="250">
        <f t="shared" ref="H168:K168" si="136">H165+H166-H167</f>
        <v>2790771815.7614188</v>
      </c>
      <c r="I168" s="250">
        <f t="shared" si="136"/>
        <v>3718348137.3222175</v>
      </c>
      <c r="J168" s="250">
        <f t="shared" si="136"/>
        <v>4748159843.2107687</v>
      </c>
      <c r="K168" s="250">
        <f t="shared" si="136"/>
        <v>5886179422.878871</v>
      </c>
    </row>
    <row r="169" spans="1:11" ht="15" customHeight="1" x14ac:dyDescent="0.25">
      <c r="C169" s="13"/>
      <c r="D169" s="10"/>
      <c r="E169" s="165"/>
      <c r="F169" s="165"/>
      <c r="G169" s="166"/>
      <c r="H169" s="166"/>
      <c r="I169" s="166"/>
      <c r="J169" s="166"/>
      <c r="K169" s="166"/>
    </row>
    <row r="170" spans="1:11" ht="15" customHeight="1" x14ac:dyDescent="0.25">
      <c r="C170" s="6" t="s">
        <v>150</v>
      </c>
      <c r="D170" s="1">
        <f>D166/D16</f>
        <v>1.0428463882943901E-2</v>
      </c>
      <c r="E170" s="1">
        <f>E166/E16</f>
        <v>4.621469154041935E-3</v>
      </c>
      <c r="F170" s="1">
        <f>F166/F16</f>
        <v>9.5905028933783512E-3</v>
      </c>
      <c r="G170" s="224">
        <f>F170</f>
        <v>9.5905028933783512E-3</v>
      </c>
      <c r="H170" s="224">
        <f>G170</f>
        <v>9.5905028933783512E-3</v>
      </c>
      <c r="I170" s="224">
        <f t="shared" ref="I170:K170" si="137">H170</f>
        <v>9.5905028933783512E-3</v>
      </c>
      <c r="J170" s="224">
        <f t="shared" si="137"/>
        <v>9.5905028933783512E-3</v>
      </c>
      <c r="K170" s="224">
        <f t="shared" si="137"/>
        <v>9.5905028933783512E-3</v>
      </c>
    </row>
    <row r="171" spans="1:11" ht="15" customHeight="1" x14ac:dyDescent="0.25">
      <c r="C171" s="6" t="s">
        <v>194</v>
      </c>
      <c r="D171" s="1">
        <f>D167/D16</f>
        <v>3.3632960484400571E-3</v>
      </c>
      <c r="E171" s="1">
        <f>E167/E16</f>
        <v>2.3844804766965876E-3</v>
      </c>
      <c r="F171" s="1">
        <f>F167/F16</f>
        <v>2.2425437021693436E-3</v>
      </c>
      <c r="G171" s="261">
        <f>F171</f>
        <v>2.2425437021693436E-3</v>
      </c>
      <c r="H171" s="261">
        <f>G171</f>
        <v>2.2425437021693436E-3</v>
      </c>
      <c r="I171" s="261">
        <f t="shared" ref="I171:K171" si="138">H171</f>
        <v>2.2425437021693436E-3</v>
      </c>
      <c r="J171" s="261">
        <f t="shared" si="138"/>
        <v>2.2425437021693436E-3</v>
      </c>
      <c r="K171" s="261">
        <f t="shared" si="138"/>
        <v>2.2425437021693436E-3</v>
      </c>
    </row>
    <row r="172" spans="1:11" ht="15" customHeight="1" x14ac:dyDescent="0.25">
      <c r="D172" s="30"/>
      <c r="E172" s="1"/>
      <c r="F172" s="1"/>
      <c r="G172" s="1"/>
      <c r="H172" s="1"/>
      <c r="I172" s="1"/>
      <c r="J172" s="1"/>
      <c r="K172" s="1"/>
    </row>
    <row r="173" spans="1:11" s="37" customFormat="1" ht="15" customHeight="1" x14ac:dyDescent="0.25">
      <c r="C173" s="47" t="s">
        <v>36</v>
      </c>
      <c r="D173" s="50"/>
      <c r="E173" s="50"/>
      <c r="F173" s="50"/>
      <c r="G173" s="50"/>
      <c r="H173" s="50"/>
      <c r="I173" s="50"/>
      <c r="J173" s="50"/>
      <c r="K173" s="50"/>
    </row>
    <row r="174" spans="1:11" s="33" customFormat="1" ht="15" customHeight="1" x14ac:dyDescent="0.25">
      <c r="C174" s="34"/>
      <c r="D174" s="35"/>
      <c r="E174" s="36"/>
      <c r="F174" s="36"/>
      <c r="G174" s="36"/>
      <c r="H174" s="36"/>
      <c r="I174" s="36"/>
      <c r="J174" s="36"/>
      <c r="K174" s="36"/>
    </row>
    <row r="175" spans="1:11" s="33" customFormat="1" ht="15" customHeight="1" x14ac:dyDescent="0.25">
      <c r="C175" s="37" t="s">
        <v>37</v>
      </c>
      <c r="D175" s="10">
        <f>6567108+70039767</f>
        <v>76606875</v>
      </c>
      <c r="E175" s="10">
        <f>23532160+109048847</f>
        <v>132581007</v>
      </c>
      <c r="F175" s="196">
        <f>28989323+148001167</f>
        <v>176990490</v>
      </c>
      <c r="G175" s="38">
        <f>G176*G16</f>
        <v>219848110.0498071</v>
      </c>
      <c r="H175" s="38">
        <f>H176*H16</f>
        <v>258398231.53504756</v>
      </c>
      <c r="I175" s="38">
        <f>I176*I16</f>
        <v>292083525.65504915</v>
      </c>
      <c r="J175" s="38">
        <f>J176*J16</f>
        <v>324276317.56558686</v>
      </c>
      <c r="K175" s="38">
        <f>K176*K16</f>
        <v>358349780.35513496</v>
      </c>
    </row>
    <row r="176" spans="1:11" s="33" customFormat="1" ht="15" customHeight="1" x14ac:dyDescent="0.25">
      <c r="A176" s="34"/>
      <c r="B176" s="34"/>
      <c r="C176" s="25" t="s">
        <v>38</v>
      </c>
      <c r="D176" s="39">
        <f>D175/D16</f>
        <v>2.2565063279991636E-3</v>
      </c>
      <c r="E176" s="39">
        <f>E175/E16</f>
        <v>2.3741973684105579E-3</v>
      </c>
      <c r="F176" s="39">
        <f>F175/F16</f>
        <v>2.3106695697590021E-3</v>
      </c>
      <c r="G176" s="261">
        <f>AVERAGE(D176:F176)</f>
        <v>2.3137910887229079E-3</v>
      </c>
      <c r="H176" s="261">
        <f>G176</f>
        <v>2.3137910887229079E-3</v>
      </c>
      <c r="I176" s="261">
        <f t="shared" ref="I176:K176" si="139">H176</f>
        <v>2.3137910887229079E-3</v>
      </c>
      <c r="J176" s="261">
        <f t="shared" si="139"/>
        <v>2.3137910887229079E-3</v>
      </c>
      <c r="K176" s="261">
        <f t="shared" si="139"/>
        <v>2.3137910887229079E-3</v>
      </c>
    </row>
    <row r="177" spans="3:11" ht="15" customHeight="1" x14ac:dyDescent="0.25">
      <c r="C177" s="40" t="s">
        <v>39</v>
      </c>
      <c r="D177" s="32">
        <f xml:space="preserve"> D167+D270+D281</f>
        <v>190788518</v>
      </c>
      <c r="E177" s="32">
        <f t="shared" ref="E177:K177" si="140" xml:space="preserve"> E167+E270+E281</f>
        <v>265736248</v>
      </c>
      <c r="F177" s="32">
        <f t="shared" si="140"/>
        <v>348762740</v>
      </c>
      <c r="G177" s="32">
        <f t="shared" si="140"/>
        <v>428129685.38877177</v>
      </c>
      <c r="H177" s="32">
        <f t="shared" si="140"/>
        <v>503201749.36710578</v>
      </c>
      <c r="I177" s="32">
        <f t="shared" si="140"/>
        <v>568800104.38847613</v>
      </c>
      <c r="J177" s="32">
        <f t="shared" si="140"/>
        <v>631491977.74286699</v>
      </c>
      <c r="K177" s="32">
        <f t="shared" si="140"/>
        <v>697846247.97466636</v>
      </c>
    </row>
    <row r="179" spans="3:11" x14ac:dyDescent="0.25">
      <c r="C179" s="13" t="s">
        <v>161</v>
      </c>
      <c r="D179" s="28"/>
      <c r="E179" s="13"/>
      <c r="F179" s="13"/>
      <c r="G179" s="13"/>
      <c r="H179" s="13"/>
      <c r="I179" s="13"/>
      <c r="J179" s="13"/>
      <c r="K179" s="13"/>
    </row>
    <row r="180" spans="3:11" x14ac:dyDescent="0.25">
      <c r="C180" s="51" t="s">
        <v>44</v>
      </c>
      <c r="D180" s="52">
        <f t="shared" ref="D180:F180" si="141">D$13</f>
        <v>2023</v>
      </c>
      <c r="E180" s="52">
        <f t="shared" si="141"/>
        <v>2024</v>
      </c>
      <c r="F180" s="52">
        <f t="shared" si="141"/>
        <v>2025</v>
      </c>
      <c r="G180" s="53">
        <f t="shared" ref="G180:K180" si="142">G$13</f>
        <v>2026</v>
      </c>
      <c r="H180" s="53">
        <f t="shared" si="142"/>
        <v>2027</v>
      </c>
      <c r="I180" s="53">
        <f t="shared" si="142"/>
        <v>2028</v>
      </c>
      <c r="J180" s="53">
        <f t="shared" si="142"/>
        <v>2029</v>
      </c>
      <c r="K180" s="53">
        <f t="shared" si="142"/>
        <v>2030</v>
      </c>
    </row>
    <row r="181" spans="3:11" x14ac:dyDescent="0.25">
      <c r="C181" s="45" t="s">
        <v>45</v>
      </c>
      <c r="D181" s="46">
        <f t="shared" ref="D181:K181" si="143">D$14</f>
        <v>45291</v>
      </c>
      <c r="E181" s="46">
        <f t="shared" si="143"/>
        <v>45657</v>
      </c>
      <c r="F181" s="46">
        <f t="shared" si="143"/>
        <v>46022</v>
      </c>
      <c r="G181" s="46">
        <f t="shared" si="143"/>
        <v>46387</v>
      </c>
      <c r="H181" s="46">
        <f t="shared" si="143"/>
        <v>46752</v>
      </c>
      <c r="I181" s="46">
        <f t="shared" si="143"/>
        <v>47118</v>
      </c>
      <c r="J181" s="46">
        <f t="shared" si="143"/>
        <v>47483</v>
      </c>
      <c r="K181" s="46">
        <f t="shared" si="143"/>
        <v>47848</v>
      </c>
    </row>
    <row r="182" spans="3:11" x14ac:dyDescent="0.25">
      <c r="C182" s="37"/>
      <c r="D182" s="49"/>
      <c r="E182" s="37"/>
      <c r="F182" s="37"/>
      <c r="G182" s="37"/>
      <c r="H182" s="37"/>
    </row>
    <row r="183" spans="3:11" x14ac:dyDescent="0.25">
      <c r="C183" s="241" t="s">
        <v>278</v>
      </c>
      <c r="D183" s="260">
        <v>33785353167</v>
      </c>
      <c r="E183" s="260">
        <v>55589482653</v>
      </c>
      <c r="F183" s="260">
        <v>76194743873</v>
      </c>
      <c r="G183" s="209">
        <f>F183*(1+G191)</f>
        <v>94481482402.520004</v>
      </c>
      <c r="H183" s="209">
        <f t="shared" ref="H183:K183" si="144">G183*(1+H191)</f>
        <v>111015741822.96101</v>
      </c>
      <c r="I183" s="209">
        <f t="shared" si="144"/>
        <v>125447788259.94594</v>
      </c>
      <c r="J183" s="209">
        <f t="shared" si="144"/>
        <v>139247044968.54001</v>
      </c>
      <c r="K183" s="209">
        <f t="shared" si="144"/>
        <v>153867984690.23669</v>
      </c>
    </row>
    <row r="184" spans="3:11" x14ac:dyDescent="0.25">
      <c r="C184" s="241" t="s">
        <v>279</v>
      </c>
      <c r="D184" s="260">
        <v>130496884</v>
      </c>
      <c r="E184" s="260">
        <v>196026102</v>
      </c>
      <c r="F184" s="260">
        <v>326078079</v>
      </c>
      <c r="G184" s="209">
        <f t="shared" ref="G184:K184" si="145">F184*(1+G192)</f>
        <v>440205406.65000004</v>
      </c>
      <c r="H184" s="209">
        <f t="shared" si="145"/>
        <v>550256758.3125</v>
      </c>
      <c r="I184" s="209">
        <f t="shared" si="145"/>
        <v>660308109.97500002</v>
      </c>
      <c r="J184" s="209">
        <f t="shared" si="145"/>
        <v>759354326.47124994</v>
      </c>
      <c r="K184" s="209">
        <f t="shared" si="145"/>
        <v>850476845.64779997</v>
      </c>
    </row>
    <row r="185" spans="3:11" x14ac:dyDescent="0.25">
      <c r="C185" s="241" t="s">
        <v>280</v>
      </c>
      <c r="D185" s="260">
        <v>31642354</v>
      </c>
      <c r="E185" s="260">
        <v>51596225</v>
      </c>
      <c r="F185" s="260">
        <v>72383699</v>
      </c>
      <c r="G185" s="209">
        <f t="shared" ref="G185:K185" si="146">F185*(1+G193)</f>
        <v>90479623.75</v>
      </c>
      <c r="H185" s="209">
        <f t="shared" si="146"/>
        <v>106765956.02499999</v>
      </c>
      <c r="I185" s="209">
        <f t="shared" si="146"/>
        <v>122780849.42874998</v>
      </c>
      <c r="J185" s="209">
        <f t="shared" si="146"/>
        <v>137514551.36019999</v>
      </c>
      <c r="K185" s="209">
        <f t="shared" si="146"/>
        <v>151266006.49621999</v>
      </c>
    </row>
    <row r="186" spans="3:11" x14ac:dyDescent="0.25">
      <c r="C186" s="241" t="s">
        <v>281</v>
      </c>
      <c r="D186" s="260">
        <v>1836276</v>
      </c>
      <c r="E186" s="260">
        <v>5348880</v>
      </c>
      <c r="F186" s="260">
        <v>3851893</v>
      </c>
      <c r="G186" s="209">
        <f t="shared" ref="G186:K186" si="147">F186*(1+G194)</f>
        <v>4237082.3000000007</v>
      </c>
      <c r="H186" s="209">
        <f t="shared" si="147"/>
        <v>4660790.5300000012</v>
      </c>
      <c r="I186" s="209">
        <f t="shared" si="147"/>
        <v>5033653.772400002</v>
      </c>
      <c r="J186" s="209">
        <f t="shared" si="147"/>
        <v>5436346.0741920024</v>
      </c>
      <c r="K186" s="209">
        <f t="shared" si="147"/>
        <v>5871253.7601273628</v>
      </c>
    </row>
    <row r="187" spans="3:11" x14ac:dyDescent="0.25">
      <c r="C187" s="40" t="s">
        <v>282</v>
      </c>
      <c r="D187" s="220">
        <f>SUM(D183:D186)</f>
        <v>33949328681</v>
      </c>
      <c r="E187" s="220">
        <f t="shared" ref="E187:K187" si="148">SUM(E183:E186)</f>
        <v>55842453860</v>
      </c>
      <c r="F187" s="220">
        <f t="shared" si="148"/>
        <v>76597057544</v>
      </c>
      <c r="G187" s="220">
        <f t="shared" si="148"/>
        <v>95016404515.220001</v>
      </c>
      <c r="H187" s="220">
        <f t="shared" si="148"/>
        <v>111677425327.82851</v>
      </c>
      <c r="I187" s="220">
        <f t="shared" si="148"/>
        <v>126235910873.1221</v>
      </c>
      <c r="J187" s="220">
        <f t="shared" si="148"/>
        <v>140149350192.44565</v>
      </c>
      <c r="K187" s="220">
        <f t="shared" si="148"/>
        <v>154875598796.14084</v>
      </c>
    </row>
    <row r="188" spans="3:11" x14ac:dyDescent="0.25">
      <c r="C188" s="247"/>
      <c r="D188" s="209"/>
      <c r="E188" s="209"/>
      <c r="F188" s="209"/>
      <c r="G188" s="209"/>
      <c r="H188" s="209"/>
      <c r="I188" s="209"/>
      <c r="J188" s="209"/>
      <c r="K188" s="209"/>
    </row>
    <row r="189" spans="3:11" x14ac:dyDescent="0.25">
      <c r="C189" s="6" t="s">
        <v>200</v>
      </c>
      <c r="D189" s="209">
        <f t="shared" ref="D189:K189" si="149">D187-D16</f>
        <v>0</v>
      </c>
      <c r="E189" s="209">
        <f t="shared" si="149"/>
        <v>0</v>
      </c>
      <c r="F189" s="209">
        <f t="shared" si="149"/>
        <v>0</v>
      </c>
      <c r="G189" s="209">
        <f t="shared" si="149"/>
        <v>0</v>
      </c>
      <c r="H189" s="209">
        <f t="shared" si="149"/>
        <v>0</v>
      </c>
      <c r="I189" s="209">
        <f t="shared" si="149"/>
        <v>0</v>
      </c>
      <c r="J189" s="209">
        <f t="shared" si="149"/>
        <v>0</v>
      </c>
      <c r="K189" s="209">
        <f t="shared" si="149"/>
        <v>0</v>
      </c>
    </row>
    <row r="190" spans="3:11" x14ac:dyDescent="0.25">
      <c r="D190" s="209"/>
      <c r="E190" s="209"/>
      <c r="F190" s="209"/>
      <c r="G190" s="209"/>
      <c r="H190" s="209"/>
      <c r="I190" s="209"/>
      <c r="J190" s="209"/>
      <c r="K190" s="209"/>
    </row>
    <row r="191" spans="3:11" x14ac:dyDescent="0.25">
      <c r="C191" s="241" t="s">
        <v>278</v>
      </c>
      <c r="E191" s="1">
        <f>E183/D183-1</f>
        <v>0.6453722528286987</v>
      </c>
      <c r="F191" s="1">
        <f t="shared" ref="F191:F194" si="150">F183/E183-1</f>
        <v>0.37066833934436683</v>
      </c>
      <c r="G191" s="224">
        <v>0.24</v>
      </c>
      <c r="H191" s="224">
        <v>0.17499999999999999</v>
      </c>
      <c r="I191" s="224">
        <v>0.13</v>
      </c>
      <c r="J191" s="224">
        <v>0.11</v>
      </c>
      <c r="K191" s="224">
        <v>0.105</v>
      </c>
    </row>
    <row r="192" spans="3:11" x14ac:dyDescent="0.25">
      <c r="C192" s="241" t="s">
        <v>279</v>
      </c>
      <c r="E192" s="1">
        <f t="shared" ref="E192" si="151">E184/D184-1</f>
        <v>0.50215159160428691</v>
      </c>
      <c r="F192" s="1">
        <f t="shared" si="150"/>
        <v>0.66344214200617024</v>
      </c>
      <c r="G192" s="224">
        <v>0.35</v>
      </c>
      <c r="H192" s="224">
        <v>0.25</v>
      </c>
      <c r="I192" s="224">
        <v>0.2</v>
      </c>
      <c r="J192" s="224">
        <v>0.15</v>
      </c>
      <c r="K192" s="224">
        <v>0.12</v>
      </c>
    </row>
    <row r="193" spans="3:11" x14ac:dyDescent="0.25">
      <c r="C193" s="241" t="s">
        <v>280</v>
      </c>
      <c r="E193" s="1">
        <f t="shared" ref="E193" si="152">E185/D185-1</f>
        <v>0.6306064017866686</v>
      </c>
      <c r="F193" s="1">
        <f t="shared" si="150"/>
        <v>0.40288749806793045</v>
      </c>
      <c r="G193" s="224">
        <v>0.25</v>
      </c>
      <c r="H193" s="224">
        <v>0.18</v>
      </c>
      <c r="I193" s="224">
        <v>0.15</v>
      </c>
      <c r="J193" s="224">
        <v>0.12</v>
      </c>
      <c r="K193" s="224">
        <v>0.1</v>
      </c>
    </row>
    <row r="194" spans="3:11" x14ac:dyDescent="0.25">
      <c r="C194" s="241" t="s">
        <v>281</v>
      </c>
      <c r="E194" s="1">
        <f t="shared" ref="E194" si="153">E186/D186-1</f>
        <v>1.9128954470896531</v>
      </c>
      <c r="F194" s="1">
        <f t="shared" si="150"/>
        <v>-0.27986924365474641</v>
      </c>
      <c r="G194" s="224">
        <v>0.1</v>
      </c>
      <c r="H194" s="224">
        <v>0.1</v>
      </c>
      <c r="I194" s="224">
        <v>0.08</v>
      </c>
      <c r="J194" s="224">
        <v>0.08</v>
      </c>
      <c r="K194" s="224">
        <v>0.08</v>
      </c>
    </row>
    <row r="195" spans="3:11" x14ac:dyDescent="0.25">
      <c r="G195" s="221"/>
      <c r="H195" s="221"/>
      <c r="I195" s="221"/>
      <c r="J195" s="221"/>
      <c r="K195" s="221"/>
    </row>
    <row r="196" spans="3:11" x14ac:dyDescent="0.25">
      <c r="C196" s="13" t="s">
        <v>162</v>
      </c>
    </row>
    <row r="197" spans="3:11" x14ac:dyDescent="0.25">
      <c r="C197" s="51" t="s">
        <v>44</v>
      </c>
      <c r="D197" s="52">
        <f t="shared" ref="D197:K197" si="154">D$13</f>
        <v>2023</v>
      </c>
      <c r="E197" s="52">
        <f t="shared" si="154"/>
        <v>2024</v>
      </c>
      <c r="F197" s="52">
        <f t="shared" si="154"/>
        <v>2025</v>
      </c>
      <c r="G197" s="53">
        <f t="shared" si="154"/>
        <v>2026</v>
      </c>
      <c r="H197" s="53">
        <f t="shared" si="154"/>
        <v>2027</v>
      </c>
      <c r="I197" s="53">
        <f t="shared" si="154"/>
        <v>2028</v>
      </c>
      <c r="J197" s="53">
        <f t="shared" si="154"/>
        <v>2029</v>
      </c>
      <c r="K197" s="53">
        <f t="shared" si="154"/>
        <v>2030</v>
      </c>
    </row>
    <row r="198" spans="3:11" x14ac:dyDescent="0.25">
      <c r="C198" s="45" t="s">
        <v>45</v>
      </c>
      <c r="D198" s="248">
        <f t="shared" ref="D198:K198" si="155">D$14</f>
        <v>45291</v>
      </c>
      <c r="E198" s="248">
        <f t="shared" si="155"/>
        <v>45657</v>
      </c>
      <c r="F198" s="248">
        <f t="shared" si="155"/>
        <v>46022</v>
      </c>
      <c r="G198" s="248">
        <f t="shared" si="155"/>
        <v>46387</v>
      </c>
      <c r="H198" s="248">
        <f t="shared" si="155"/>
        <v>46752</v>
      </c>
      <c r="I198" s="248">
        <f t="shared" si="155"/>
        <v>47118</v>
      </c>
      <c r="J198" s="248">
        <f t="shared" si="155"/>
        <v>47483</v>
      </c>
      <c r="K198" s="248">
        <f t="shared" si="155"/>
        <v>47848</v>
      </c>
    </row>
    <row r="199" spans="3:11" x14ac:dyDescent="0.25">
      <c r="D199" s="6"/>
    </row>
    <row r="200" spans="3:11" x14ac:dyDescent="0.25">
      <c r="C200" s="13" t="s">
        <v>163</v>
      </c>
      <c r="D200" s="6"/>
    </row>
    <row r="201" spans="3:11" x14ac:dyDescent="0.25">
      <c r="C201" s="17" t="s">
        <v>238</v>
      </c>
      <c r="D201" s="29">
        <f t="shared" ref="D201:F203" si="156">D65</f>
        <v>3194808025</v>
      </c>
      <c r="E201" s="29">
        <f t="shared" si="156"/>
        <v>6575091571</v>
      </c>
      <c r="F201" s="29">
        <f t="shared" si="156"/>
        <v>8246348097</v>
      </c>
      <c r="G201" s="29">
        <f xml:space="preserve"> G221/365*-G17</f>
        <v>10121880853.32663</v>
      </c>
      <c r="H201" s="29">
        <f xml:space="preserve"> H221/365*-H17</f>
        <v>11896741398.939098</v>
      </c>
      <c r="I201" s="29">
        <f xml:space="preserve"> I221/365*-I17</f>
        <v>13447623658.125568</v>
      </c>
      <c r="J201" s="29">
        <f xml:space="preserve"> J221/365*-J17</f>
        <v>14929790614.123407</v>
      </c>
      <c r="K201" s="29">
        <f xml:space="preserve"> K221/365*-K17</f>
        <v>16498544289.276352</v>
      </c>
    </row>
    <row r="202" spans="3:11" x14ac:dyDescent="0.25">
      <c r="C202" s="17" t="s">
        <v>239</v>
      </c>
      <c r="D202" s="29">
        <f t="shared" si="156"/>
        <v>9743889331</v>
      </c>
      <c r="E202" s="29">
        <f t="shared" si="156"/>
        <v>16227019722</v>
      </c>
      <c r="F202" s="29">
        <f t="shared" si="156"/>
        <v>21520398466</v>
      </c>
      <c r="G202" s="29">
        <f>G222/365*G16</f>
        <v>27192250344.066723</v>
      </c>
      <c r="H202" s="29">
        <f>H222/365*H16</f>
        <v>31960381186.689648</v>
      </c>
      <c r="I202" s="29">
        <f>I222/365*I16</f>
        <v>36126798402.726135</v>
      </c>
      <c r="J202" s="29">
        <f>J222/365*J16</f>
        <v>40108613196.164505</v>
      </c>
      <c r="K202" s="29">
        <f>K222/365*K16</f>
        <v>44323041648.84816</v>
      </c>
    </row>
    <row r="203" spans="3:11" x14ac:dyDescent="0.25">
      <c r="C203" s="17" t="s">
        <v>240</v>
      </c>
      <c r="D203" s="29">
        <f t="shared" si="156"/>
        <v>328105821</v>
      </c>
      <c r="E203" s="29">
        <f t="shared" si="156"/>
        <v>525355863</v>
      </c>
      <c r="F203" s="29">
        <f t="shared" si="156"/>
        <v>274119847</v>
      </c>
      <c r="G203" s="29">
        <f t="shared" ref="G203:G205" si="157">$F203/$F$16*G$16</f>
        <v>340037634.64726514</v>
      </c>
      <c r="H203" s="29">
        <f t="shared" ref="H203:K205" si="158">$F203/$F$16*H$16</f>
        <v>399662855.54289222</v>
      </c>
      <c r="I203" s="29">
        <f t="shared" si="158"/>
        <v>451763679.75451624</v>
      </c>
      <c r="J203" s="29">
        <f t="shared" si="158"/>
        <v>501556060.55538303</v>
      </c>
      <c r="K203" s="29">
        <f t="shared" si="158"/>
        <v>554257262.71070123</v>
      </c>
    </row>
    <row r="204" spans="3:11" x14ac:dyDescent="0.25">
      <c r="C204" s="17" t="s">
        <v>242</v>
      </c>
      <c r="D204" s="29">
        <f>D69</f>
        <v>767821328</v>
      </c>
      <c r="E204" s="29">
        <f>E69</f>
        <v>1089525095</v>
      </c>
      <c r="F204" s="29">
        <f>F69</f>
        <v>1355525546</v>
      </c>
      <c r="G204" s="29">
        <f t="shared" si="157"/>
        <v>1681489703.9023321</v>
      </c>
      <c r="H204" s="29">
        <f t="shared" si="158"/>
        <v>1976337052.5874331</v>
      </c>
      <c r="I204" s="29">
        <f t="shared" si="158"/>
        <v>2233976179.9962254</v>
      </c>
      <c r="J204" s="29">
        <f t="shared" si="158"/>
        <v>2480200030.2953057</v>
      </c>
      <c r="K204" s="29">
        <f t="shared" si="158"/>
        <v>2740808032.9929147</v>
      </c>
    </row>
    <row r="205" spans="3:11" x14ac:dyDescent="0.25">
      <c r="C205" s="17" t="s">
        <v>244</v>
      </c>
      <c r="D205" s="29">
        <f>D71</f>
        <v>10540</v>
      </c>
      <c r="E205" s="29">
        <f>E71</f>
        <v>0</v>
      </c>
      <c r="F205" s="29">
        <f>F71</f>
        <v>0</v>
      </c>
      <c r="G205" s="29">
        <f t="shared" si="157"/>
        <v>0</v>
      </c>
      <c r="H205" s="29">
        <f t="shared" si="158"/>
        <v>0</v>
      </c>
      <c r="I205" s="29">
        <f t="shared" si="158"/>
        <v>0</v>
      </c>
      <c r="J205" s="29">
        <f t="shared" si="158"/>
        <v>0</v>
      </c>
      <c r="K205" s="29">
        <f t="shared" si="158"/>
        <v>0</v>
      </c>
    </row>
    <row r="206" spans="3:11" x14ac:dyDescent="0.25">
      <c r="C206" s="13" t="s">
        <v>164</v>
      </c>
      <c r="D206" s="225">
        <f>SUM(D201:D205)</f>
        <v>14034635045</v>
      </c>
      <c r="E206" s="225">
        <f t="shared" ref="E206:F206" si="159">SUM(E201:E205)</f>
        <v>24416992251</v>
      </c>
      <c r="F206" s="225">
        <f t="shared" si="159"/>
        <v>31396391956</v>
      </c>
      <c r="G206" s="225">
        <f t="shared" ref="G206" si="160">SUM(G201:G205)</f>
        <v>39335658535.942947</v>
      </c>
      <c r="H206" s="225">
        <f t="shared" ref="H206" si="161">SUM(H201:H205)</f>
        <v>46233122493.759071</v>
      </c>
      <c r="I206" s="225">
        <f t="shared" ref="I206" si="162">SUM(I201:I205)</f>
        <v>52260161920.60244</v>
      </c>
      <c r="J206" s="225">
        <f t="shared" ref="J206" si="163">SUM(J201:J205)</f>
        <v>58020159901.138596</v>
      </c>
      <c r="K206" s="225">
        <f t="shared" ref="K206" si="164">SUM(K201:K205)</f>
        <v>64116651233.828125</v>
      </c>
    </row>
    <row r="207" spans="3:11" x14ac:dyDescent="0.25">
      <c r="C207" s="13"/>
      <c r="E207" s="7"/>
      <c r="F207" s="7"/>
      <c r="G207" s="7"/>
      <c r="H207" s="7"/>
      <c r="I207" s="7"/>
      <c r="J207" s="7"/>
      <c r="K207" s="7"/>
    </row>
    <row r="208" spans="3:11" x14ac:dyDescent="0.25">
      <c r="C208" s="13" t="s">
        <v>168</v>
      </c>
      <c r="E208" s="7"/>
      <c r="F208" s="7"/>
      <c r="G208" s="7"/>
      <c r="H208" s="7"/>
      <c r="I208" s="7"/>
      <c r="J208" s="7"/>
      <c r="K208" s="7"/>
    </row>
    <row r="209" spans="3:11" x14ac:dyDescent="0.25">
      <c r="C209" s="17" t="s">
        <v>256</v>
      </c>
      <c r="D209" s="193">
        <f t="shared" ref="D209:F212" si="165">D93</f>
        <v>11858321994</v>
      </c>
      <c r="E209" s="193">
        <f t="shared" si="165"/>
        <v>19921015867</v>
      </c>
      <c r="F209" s="193">
        <f t="shared" si="165"/>
        <v>25475648743</v>
      </c>
      <c r="G209" s="29">
        <f>G223/365*-G17</f>
        <v>32893032938.455982</v>
      </c>
      <c r="H209" s="29">
        <f>H223/365*-H17</f>
        <v>38660789666.081337</v>
      </c>
      <c r="I209" s="29">
        <f>I223/365*-I17</f>
        <v>43700685113.805527</v>
      </c>
      <c r="J209" s="29">
        <f>J223/365*-J17</f>
        <v>48517276734.512558</v>
      </c>
      <c r="K209" s="29">
        <f>K223/365*-K17</f>
        <v>53615248846.303482</v>
      </c>
    </row>
    <row r="210" spans="3:11" x14ac:dyDescent="0.25">
      <c r="C210" s="17" t="s">
        <v>257</v>
      </c>
      <c r="D210" s="193">
        <f t="shared" si="165"/>
        <v>206855072</v>
      </c>
      <c r="E210" s="193">
        <f t="shared" si="165"/>
        <v>349019979</v>
      </c>
      <c r="F210" s="193">
        <f t="shared" si="165"/>
        <v>451680002</v>
      </c>
      <c r="G210" s="29">
        <f t="shared" ref="G210:G211" si="166">$F210/$F$16*G$16</f>
        <v>560295801.92182136</v>
      </c>
      <c r="H210" s="29">
        <f t="shared" ref="H210:K211" si="167">$F210/$F$16*H$16</f>
        <v>658543047.38080227</v>
      </c>
      <c r="I210" s="29">
        <f t="shared" si="167"/>
        <v>744391994.99132669</v>
      </c>
      <c r="J210" s="29">
        <f t="shared" si="167"/>
        <v>826437213.19006693</v>
      </c>
      <c r="K210" s="29">
        <f t="shared" si="167"/>
        <v>913275431.41990769</v>
      </c>
    </row>
    <row r="211" spans="3:11" x14ac:dyDescent="0.25">
      <c r="C211" s="17" t="s">
        <v>258</v>
      </c>
      <c r="D211" s="193">
        <f t="shared" si="165"/>
        <v>13048790</v>
      </c>
      <c r="E211" s="193">
        <f t="shared" si="165"/>
        <v>15371145</v>
      </c>
      <c r="F211" s="193">
        <f t="shared" si="165"/>
        <v>17579091</v>
      </c>
      <c r="G211" s="29">
        <f t="shared" si="166"/>
        <v>21806347.071574964</v>
      </c>
      <c r="H211" s="29">
        <f t="shared" si="167"/>
        <v>25630065.767942578</v>
      </c>
      <c r="I211" s="29">
        <f t="shared" si="167"/>
        <v>28971250.800747376</v>
      </c>
      <c r="J211" s="29">
        <f t="shared" si="167"/>
        <v>32164397.166413814</v>
      </c>
      <c r="K211" s="29">
        <f t="shared" si="167"/>
        <v>35544083.966318294</v>
      </c>
    </row>
    <row r="212" spans="3:11" x14ac:dyDescent="0.25">
      <c r="C212" s="17" t="s">
        <v>259</v>
      </c>
      <c r="D212" s="193">
        <f t="shared" si="165"/>
        <v>79906663</v>
      </c>
      <c r="E212" s="193">
        <f t="shared" si="165"/>
        <v>203053836</v>
      </c>
      <c r="F212" s="193">
        <f t="shared" si="165"/>
        <v>256985432</v>
      </c>
      <c r="G212" s="29">
        <f>-G35</f>
        <v>244711849.73161337</v>
      </c>
      <c r="H212" s="29">
        <f>-H35</f>
        <v>344942293.37401044</v>
      </c>
      <c r="I212" s="29">
        <f>-I35</f>
        <v>404633350.05056494</v>
      </c>
      <c r="J212" s="29">
        <f>-J35</f>
        <v>479647441.44728923</v>
      </c>
      <c r="K212" s="29">
        <f>-K35</f>
        <v>581611386.17767167</v>
      </c>
    </row>
    <row r="213" spans="3:11" x14ac:dyDescent="0.25">
      <c r="C213" s="17" t="s">
        <v>261</v>
      </c>
      <c r="D213" s="193">
        <f>D98</f>
        <v>6856946</v>
      </c>
      <c r="E213" s="193">
        <f>E98</f>
        <v>14856946</v>
      </c>
      <c r="F213" s="193">
        <f>F98</f>
        <v>14856946</v>
      </c>
      <c r="G213" s="29">
        <f>F213</f>
        <v>14856946</v>
      </c>
      <c r="H213" s="29">
        <f t="shared" ref="H213:K213" si="168">G213</f>
        <v>14856946</v>
      </c>
      <c r="I213" s="29">
        <f t="shared" si="168"/>
        <v>14856946</v>
      </c>
      <c r="J213" s="29">
        <f t="shared" si="168"/>
        <v>14856946</v>
      </c>
      <c r="K213" s="29">
        <f t="shared" si="168"/>
        <v>14856946</v>
      </c>
    </row>
    <row r="214" spans="3:11" x14ac:dyDescent="0.25">
      <c r="C214" s="13" t="s">
        <v>169</v>
      </c>
      <c r="D214" s="228">
        <f>SUM(D209:D213)</f>
        <v>12164989465</v>
      </c>
      <c r="E214" s="228">
        <f t="shared" ref="E214:F214" si="169">SUM(E209:E213)</f>
        <v>20503317773</v>
      </c>
      <c r="F214" s="228">
        <f t="shared" si="169"/>
        <v>26216750214</v>
      </c>
      <c r="G214" s="228">
        <f t="shared" ref="G214" si="170">SUM(G209:G213)</f>
        <v>33734703883.180992</v>
      </c>
      <c r="H214" s="228">
        <f t="shared" ref="H214" si="171">SUM(H209:H213)</f>
        <v>39704762018.604095</v>
      </c>
      <c r="I214" s="228">
        <f t="shared" ref="I214" si="172">SUM(I209:I213)</f>
        <v>44893538655.64817</v>
      </c>
      <c r="J214" s="228">
        <f t="shared" ref="J214" si="173">SUM(J209:J213)</f>
        <v>49870382732.316322</v>
      </c>
      <c r="K214" s="228">
        <f t="shared" ref="K214" si="174">SUM(K209:K213)</f>
        <v>55160536693.867378</v>
      </c>
    </row>
    <row r="215" spans="3:11" x14ac:dyDescent="0.25">
      <c r="E215" s="7"/>
      <c r="F215" s="7"/>
      <c r="G215" s="7"/>
      <c r="H215" s="7"/>
      <c r="I215" s="7"/>
      <c r="J215" s="7"/>
      <c r="K215" s="7"/>
    </row>
    <row r="216" spans="3:11" x14ac:dyDescent="0.25">
      <c r="C216" s="6" t="s">
        <v>165</v>
      </c>
      <c r="D216" s="193">
        <f>D206-D214</f>
        <v>1869645580</v>
      </c>
      <c r="E216" s="193">
        <f t="shared" ref="E216:K216" si="175">E206-E214</f>
        <v>3913674478</v>
      </c>
      <c r="F216" s="193">
        <f t="shared" si="175"/>
        <v>5179641742</v>
      </c>
      <c r="G216" s="193">
        <f t="shared" si="175"/>
        <v>5600954652.7619553</v>
      </c>
      <c r="H216" s="193">
        <f t="shared" si="175"/>
        <v>6528360475.1549759</v>
      </c>
      <c r="I216" s="193">
        <f t="shared" si="175"/>
        <v>7366623264.9542694</v>
      </c>
      <c r="J216" s="193">
        <f t="shared" si="175"/>
        <v>8149777168.8222733</v>
      </c>
      <c r="K216" s="193">
        <f t="shared" si="175"/>
        <v>8956114539.9607468</v>
      </c>
    </row>
    <row r="217" spans="3:11" x14ac:dyDescent="0.25">
      <c r="C217" s="6" t="s">
        <v>166</v>
      </c>
      <c r="D217" s="1">
        <f t="shared" ref="D217:K217" si="176">D216/D16</f>
        <v>5.5071650976308152E-2</v>
      </c>
      <c r="E217" s="1">
        <f t="shared" si="176"/>
        <v>7.0084213845827581E-2</v>
      </c>
      <c r="F217" s="1">
        <f t="shared" si="176"/>
        <v>6.7621941469809529E-2</v>
      </c>
      <c r="G217" s="1">
        <f t="shared" si="176"/>
        <v>5.8947238440966034E-2</v>
      </c>
      <c r="H217" s="1">
        <f t="shared" si="176"/>
        <v>5.8457297488646497E-2</v>
      </c>
      <c r="I217" s="1">
        <f t="shared" si="176"/>
        <v>5.8356003565089784E-2</v>
      </c>
      <c r="J217" s="1">
        <f t="shared" si="176"/>
        <v>5.8150659690048026E-2</v>
      </c>
      <c r="K217" s="1">
        <f t="shared" si="176"/>
        <v>5.7827796047778143E-2</v>
      </c>
    </row>
    <row r="218" spans="3:11" x14ac:dyDescent="0.25">
      <c r="C218" s="6" t="s">
        <v>167</v>
      </c>
      <c r="D218" s="193"/>
      <c r="E218" s="193">
        <f>D216-E216</f>
        <v>-2044028898</v>
      </c>
      <c r="F218" s="193">
        <f t="shared" ref="F218:K218" si="177">E216-F216</f>
        <v>-1265967264</v>
      </c>
      <c r="G218" s="193">
        <f t="shared" si="177"/>
        <v>-421312910.76195526</v>
      </c>
      <c r="H218" s="193">
        <f t="shared" si="177"/>
        <v>-927405822.39302063</v>
      </c>
      <c r="I218" s="193">
        <f t="shared" si="177"/>
        <v>-838262789.79929352</v>
      </c>
      <c r="J218" s="193">
        <f t="shared" si="177"/>
        <v>-783153903.86800385</v>
      </c>
      <c r="K218" s="193">
        <f t="shared" si="177"/>
        <v>-806337371.13847351</v>
      </c>
    </row>
    <row r="219" spans="3:11" x14ac:dyDescent="0.25">
      <c r="D219" s="193"/>
      <c r="E219" s="193"/>
      <c r="F219" s="193"/>
      <c r="G219" s="193"/>
      <c r="H219" s="193"/>
      <c r="I219" s="193"/>
      <c r="J219" s="193"/>
      <c r="K219" s="193"/>
    </row>
    <row r="220" spans="3:11" x14ac:dyDescent="0.25">
      <c r="C220" s="13" t="s">
        <v>283</v>
      </c>
      <c r="G220" s="263"/>
      <c r="H220" s="263"/>
      <c r="I220" s="263"/>
      <c r="J220" s="263"/>
      <c r="K220" s="263"/>
    </row>
    <row r="221" spans="3:11" x14ac:dyDescent="0.25">
      <c r="C221" s="17" t="s">
        <v>284</v>
      </c>
      <c r="D221" s="264">
        <f>D201/-D17*365</f>
        <v>37.096648054461802</v>
      </c>
      <c r="E221" s="264">
        <f>E201/-E17*365</f>
        <v>46.649182060002182</v>
      </c>
      <c r="F221" s="264">
        <f>F201/-F17*365</f>
        <v>42.908290450345291</v>
      </c>
      <c r="G221" s="263">
        <f>AVERAGE(D221:F221)</f>
        <v>42.218040188269761</v>
      </c>
      <c r="H221" s="263">
        <f>G221</f>
        <v>42.218040188269761</v>
      </c>
      <c r="I221" s="263">
        <f t="shared" ref="I221:K221" si="178">H221</f>
        <v>42.218040188269761</v>
      </c>
      <c r="J221" s="263">
        <f t="shared" si="178"/>
        <v>42.218040188269761</v>
      </c>
      <c r="K221" s="263">
        <f t="shared" si="178"/>
        <v>42.218040188269761</v>
      </c>
    </row>
    <row r="222" spans="3:11" x14ac:dyDescent="0.25">
      <c r="C222" s="17" t="s">
        <v>285</v>
      </c>
      <c r="D222" s="264">
        <f>D202/D16*365</f>
        <v>104.75964456420705</v>
      </c>
      <c r="E222" s="264">
        <f>E202/E16*365</f>
        <v>106.06378819560706</v>
      </c>
      <c r="F222" s="264">
        <f>F202/F16*365</f>
        <v>102.54891887430333</v>
      </c>
      <c r="G222" s="263">
        <f t="shared" ref="G222:G223" si="179">AVERAGE(D222:F222)</f>
        <v>104.45745054470581</v>
      </c>
      <c r="H222" s="263">
        <f t="shared" ref="H222:K223" si="180">G222</f>
        <v>104.45745054470581</v>
      </c>
      <c r="I222" s="263">
        <f t="shared" si="180"/>
        <v>104.45745054470581</v>
      </c>
      <c r="J222" s="263">
        <f t="shared" si="180"/>
        <v>104.45745054470581</v>
      </c>
      <c r="K222" s="263">
        <f t="shared" si="180"/>
        <v>104.45745054470581</v>
      </c>
    </row>
    <row r="223" spans="3:11" x14ac:dyDescent="0.25">
      <c r="C223" s="17" t="s">
        <v>286</v>
      </c>
      <c r="D223" s="264">
        <f>D209/-D17*365</f>
        <v>137.69340570249184</v>
      </c>
      <c r="E223" s="264">
        <f>E209/-E17*365</f>
        <v>141.33629713974295</v>
      </c>
      <c r="F223" s="264">
        <f>F209/-F17*365</f>
        <v>132.55765131637978</v>
      </c>
      <c r="G223" s="263">
        <f t="shared" si="179"/>
        <v>137.19578471953818</v>
      </c>
      <c r="H223" s="263">
        <f t="shared" si="180"/>
        <v>137.19578471953818</v>
      </c>
      <c r="I223" s="263">
        <f t="shared" si="180"/>
        <v>137.19578471953818</v>
      </c>
      <c r="J223" s="263">
        <f t="shared" si="180"/>
        <v>137.19578471953818</v>
      </c>
      <c r="K223" s="263">
        <f t="shared" si="180"/>
        <v>137.19578471953818</v>
      </c>
    </row>
    <row r="224" spans="3:11" x14ac:dyDescent="0.25">
      <c r="D224" s="264"/>
      <c r="E224" s="264"/>
      <c r="F224" s="264"/>
      <c r="G224" s="263"/>
      <c r="H224" s="263"/>
      <c r="I224" s="263"/>
      <c r="J224" s="263"/>
      <c r="K224" s="263"/>
    </row>
    <row r="225" spans="3:11" x14ac:dyDescent="0.25">
      <c r="C225" s="13" t="s">
        <v>170</v>
      </c>
    </row>
    <row r="226" spans="3:11" x14ac:dyDescent="0.25">
      <c r="C226" s="51" t="s">
        <v>44</v>
      </c>
      <c r="D226" s="52">
        <f t="shared" ref="D226:K226" si="181">D$13</f>
        <v>2023</v>
      </c>
      <c r="E226" s="52">
        <f t="shared" si="181"/>
        <v>2024</v>
      </c>
      <c r="F226" s="52">
        <f t="shared" si="181"/>
        <v>2025</v>
      </c>
      <c r="G226" s="53">
        <f t="shared" si="181"/>
        <v>2026</v>
      </c>
      <c r="H226" s="53">
        <f t="shared" si="181"/>
        <v>2027</v>
      </c>
      <c r="I226" s="53">
        <f t="shared" si="181"/>
        <v>2028</v>
      </c>
      <c r="J226" s="53">
        <f t="shared" si="181"/>
        <v>2029</v>
      </c>
      <c r="K226" s="53">
        <f t="shared" si="181"/>
        <v>2030</v>
      </c>
    </row>
    <row r="227" spans="3:11" x14ac:dyDescent="0.25">
      <c r="C227" s="45" t="s">
        <v>45</v>
      </c>
      <c r="D227" s="248">
        <f t="shared" ref="D227:K227" si="182">D$14</f>
        <v>45291</v>
      </c>
      <c r="E227" s="248">
        <f t="shared" si="182"/>
        <v>45657</v>
      </c>
      <c r="F227" s="248">
        <f t="shared" si="182"/>
        <v>46022</v>
      </c>
      <c r="G227" s="248">
        <f t="shared" si="182"/>
        <v>46387</v>
      </c>
      <c r="H227" s="248">
        <f t="shared" si="182"/>
        <v>46752</v>
      </c>
      <c r="I227" s="248">
        <f t="shared" si="182"/>
        <v>47118</v>
      </c>
      <c r="J227" s="248">
        <f t="shared" si="182"/>
        <v>47483</v>
      </c>
      <c r="K227" s="248">
        <f t="shared" si="182"/>
        <v>47848</v>
      </c>
    </row>
    <row r="229" spans="3:11" x14ac:dyDescent="0.25">
      <c r="C229" s="13" t="s">
        <v>171</v>
      </c>
      <c r="D229" s="193"/>
      <c r="E229" s="193"/>
      <c r="F229" s="193"/>
      <c r="G229" s="193"/>
      <c r="H229" s="193"/>
      <c r="I229" s="193"/>
      <c r="J229" s="193"/>
      <c r="K229" s="193"/>
    </row>
    <row r="230" spans="3:11" x14ac:dyDescent="0.25">
      <c r="C230" s="31" t="s">
        <v>32</v>
      </c>
      <c r="D230" s="193"/>
      <c r="E230" s="193">
        <f>D231</f>
        <v>4743501158</v>
      </c>
      <c r="F230" s="193">
        <f t="shared" ref="F230:K230" si="183">E231</f>
        <v>6107021428</v>
      </c>
      <c r="G230" s="193">
        <f t="shared" si="183"/>
        <v>7212933306</v>
      </c>
      <c r="H230" s="193">
        <f t="shared" si="183"/>
        <v>8246357052.5590744</v>
      </c>
      <c r="I230" s="193">
        <f t="shared" si="183"/>
        <v>9675332336.5405178</v>
      </c>
      <c r="J230" s="193">
        <f t="shared" si="183"/>
        <v>10988626871.757759</v>
      </c>
      <c r="K230" s="193">
        <f t="shared" si="183"/>
        <v>12188329668.337265</v>
      </c>
    </row>
    <row r="231" spans="3:11" x14ac:dyDescent="0.25">
      <c r="C231" s="31" t="s">
        <v>35</v>
      </c>
      <c r="D231" s="193">
        <f t="shared" ref="D231:K231" si="184">D91+D92+D102+D97+D103</f>
        <v>4743501158</v>
      </c>
      <c r="E231" s="193">
        <f t="shared" si="184"/>
        <v>6107021428</v>
      </c>
      <c r="F231" s="193">
        <f t="shared" si="184"/>
        <v>7212933306</v>
      </c>
      <c r="G231" s="193">
        <f t="shared" si="184"/>
        <v>8246357052.5590744</v>
      </c>
      <c r="H231" s="193">
        <f t="shared" si="184"/>
        <v>9675332336.5405178</v>
      </c>
      <c r="I231" s="193">
        <f t="shared" si="184"/>
        <v>10988626871.757759</v>
      </c>
      <c r="J231" s="193">
        <f t="shared" si="184"/>
        <v>12188329668.337265</v>
      </c>
      <c r="K231" s="193">
        <f t="shared" si="184"/>
        <v>13305096790.665329</v>
      </c>
    </row>
    <row r="232" spans="3:11" x14ac:dyDescent="0.25">
      <c r="C232" s="31" t="s">
        <v>172</v>
      </c>
      <c r="D232" s="193"/>
      <c r="E232" s="193">
        <f>AVERAGE(E230,E231)</f>
        <v>5425261293</v>
      </c>
      <c r="F232" s="193">
        <f t="shared" ref="F232" si="185">AVERAGE(F230,F231)</f>
        <v>6659977367</v>
      </c>
      <c r="G232" s="193">
        <f t="shared" ref="G232" si="186">AVERAGE(G230,G231)</f>
        <v>7729645179.2795372</v>
      </c>
      <c r="H232" s="193">
        <f t="shared" ref="H232" si="187">AVERAGE(H230,H231)</f>
        <v>8960844694.5497971</v>
      </c>
      <c r="I232" s="193">
        <f t="shared" ref="I232" si="188">AVERAGE(I230,I231)</f>
        <v>10331979604.149139</v>
      </c>
      <c r="J232" s="193">
        <f t="shared" ref="J232" si="189">AVERAGE(J230,J231)</f>
        <v>11588478270.047512</v>
      </c>
      <c r="K232" s="193">
        <f t="shared" ref="K232" si="190">AVERAGE(K230,K231)</f>
        <v>12746713229.501297</v>
      </c>
    </row>
    <row r="233" spans="3:11" x14ac:dyDescent="0.25">
      <c r="C233" s="31" t="s">
        <v>173</v>
      </c>
      <c r="D233" s="1"/>
      <c r="E233" s="1">
        <f>-E32/E232</f>
        <v>0.3108229100736144</v>
      </c>
      <c r="F233" s="1">
        <f>-F32/F232</f>
        <v>0.38417769971379545</v>
      </c>
      <c r="G233" s="1">
        <f>F233</f>
        <v>0.38417769971379545</v>
      </c>
      <c r="H233" s="224">
        <f>G233-2%</f>
        <v>0.36417769971379543</v>
      </c>
      <c r="I233" s="224">
        <f t="shared" ref="I233:K233" si="191">H233-2%</f>
        <v>0.34417769971379542</v>
      </c>
      <c r="J233" s="224">
        <f t="shared" si="191"/>
        <v>0.3241776997137954</v>
      </c>
      <c r="K233" s="224">
        <f t="shared" si="191"/>
        <v>0.30417769971379538</v>
      </c>
    </row>
    <row r="235" spans="3:11" x14ac:dyDescent="0.25">
      <c r="C235" s="13" t="s">
        <v>174</v>
      </c>
    </row>
    <row r="236" spans="3:11" x14ac:dyDescent="0.25">
      <c r="C236" s="17" t="s">
        <v>201</v>
      </c>
      <c r="D236" s="193">
        <f t="shared" ref="D236:K236" si="192">D72+D70</f>
        <v>1130726519</v>
      </c>
      <c r="E236" s="193">
        <f t="shared" si="192"/>
        <v>835857571</v>
      </c>
      <c r="F236" s="193">
        <f t="shared" si="192"/>
        <v>975192961</v>
      </c>
      <c r="G236" s="193">
        <f t="shared" si="192"/>
        <v>1196472042.7136784</v>
      </c>
      <c r="H236" s="193">
        <f t="shared" si="192"/>
        <v>1396627639.5210443</v>
      </c>
      <c r="I236" s="193">
        <f t="shared" si="192"/>
        <v>1571524627.8691092</v>
      </c>
      <c r="J236" s="193">
        <f t="shared" si="192"/>
        <v>1738672414.4257874</v>
      </c>
      <c r="K236" s="193">
        <f t="shared" si="192"/>
        <v>1915584808.39961</v>
      </c>
    </row>
    <row r="237" spans="3:11" x14ac:dyDescent="0.25">
      <c r="C237" s="17" t="s">
        <v>175</v>
      </c>
      <c r="D237" s="193"/>
      <c r="E237" s="193">
        <f>AVERAGE(D236,E236)</f>
        <v>983292045</v>
      </c>
      <c r="F237" s="193">
        <f t="shared" ref="F237" si="193">AVERAGE(E236,F236)</f>
        <v>905525266</v>
      </c>
      <c r="G237" s="193">
        <f>F236</f>
        <v>975192961</v>
      </c>
      <c r="H237" s="193">
        <f t="shared" ref="H237:K237" si="194">G236</f>
        <v>1196472042.7136784</v>
      </c>
      <c r="I237" s="193">
        <f t="shared" si="194"/>
        <v>1396627639.5210443</v>
      </c>
      <c r="J237" s="193">
        <f t="shared" si="194"/>
        <v>1571524627.8691092</v>
      </c>
      <c r="K237" s="193">
        <f t="shared" si="194"/>
        <v>1738672414.4257874</v>
      </c>
    </row>
    <row r="238" spans="3:11" x14ac:dyDescent="0.25">
      <c r="C238" s="17" t="s">
        <v>176</v>
      </c>
      <c r="D238" s="1"/>
      <c r="E238" s="1">
        <f>E27/E237</f>
        <v>8.1021669406468141E-2</v>
      </c>
      <c r="F238" s="1">
        <f>F27/F237</f>
        <v>1.9496161689650744E-2</v>
      </c>
      <c r="G238" s="224">
        <f>F238</f>
        <v>1.9496161689650744E-2</v>
      </c>
      <c r="H238" s="224">
        <f>G238</f>
        <v>1.9496161689650744E-2</v>
      </c>
      <c r="I238" s="224">
        <f t="shared" ref="I238:K238" si="195">H238</f>
        <v>1.9496161689650744E-2</v>
      </c>
      <c r="J238" s="224">
        <f t="shared" si="195"/>
        <v>1.9496161689650744E-2</v>
      </c>
      <c r="K238" s="224">
        <f t="shared" si="195"/>
        <v>1.9496161689650744E-2</v>
      </c>
    </row>
    <row r="240" spans="3:11" x14ac:dyDescent="0.25">
      <c r="C240" s="6" t="s">
        <v>155</v>
      </c>
      <c r="D240" s="193">
        <f>D32</f>
        <v>-1043962683</v>
      </c>
      <c r="E240" s="193">
        <f>E32</f>
        <v>-1686295503</v>
      </c>
      <c r="F240" s="193">
        <f>F32</f>
        <v>-2558614785</v>
      </c>
      <c r="G240" s="193">
        <f>-G233*G230</f>
        <v>-2771048125.6881018</v>
      </c>
      <c r="H240" s="193">
        <f t="shared" ref="H240:K240" si="196">-H233*H230</f>
        <v>-3003139342.4195976</v>
      </c>
      <c r="I240" s="193">
        <f t="shared" si="196"/>
        <v>-3330033627.5570168</v>
      </c>
      <c r="J240" s="193">
        <f t="shared" si="196"/>
        <v>-3562267782.2996297</v>
      </c>
      <c r="K240" s="193">
        <f t="shared" si="196"/>
        <v>-3707418081.8682361</v>
      </c>
    </row>
    <row r="241" spans="3:11" x14ac:dyDescent="0.25">
      <c r="C241" s="6" t="s">
        <v>154</v>
      </c>
      <c r="D241" s="193">
        <f>D27</f>
        <v>126648146</v>
      </c>
      <c r="E241" s="193">
        <f>E27</f>
        <v>79667963</v>
      </c>
      <c r="F241" s="193">
        <f>F27</f>
        <v>17654267</v>
      </c>
      <c r="G241" s="193">
        <f>G237*G238</f>
        <v>19012519.646265272</v>
      </c>
      <c r="H241" s="193">
        <f t="shared" ref="H241:K241" si="197">H237*H238</f>
        <v>23326612.401892584</v>
      </c>
      <c r="I241" s="193">
        <f t="shared" si="197"/>
        <v>27228878.280337531</v>
      </c>
      <c r="J241" s="193">
        <f t="shared" si="197"/>
        <v>30638698.244204368</v>
      </c>
      <c r="K241" s="193">
        <f t="shared" si="197"/>
        <v>33897438.516980596</v>
      </c>
    </row>
    <row r="242" spans="3:11" x14ac:dyDescent="0.25">
      <c r="C242" s="6" t="s">
        <v>156</v>
      </c>
      <c r="D242" s="193">
        <f>SUM(D240:D241)</f>
        <v>-917314537</v>
      </c>
      <c r="E242" s="193">
        <f t="shared" ref="E242:K242" si="198">SUM(E240:E241)</f>
        <v>-1606627540</v>
      </c>
      <c r="F242" s="193">
        <f t="shared" si="198"/>
        <v>-2540960518</v>
      </c>
      <c r="G242" s="193">
        <f t="shared" si="198"/>
        <v>-2752035606.0418363</v>
      </c>
      <c r="H242" s="193">
        <f t="shared" si="198"/>
        <v>-2979812730.017705</v>
      </c>
      <c r="I242" s="193">
        <f t="shared" si="198"/>
        <v>-3302804749.2766795</v>
      </c>
      <c r="J242" s="193">
        <f t="shared" si="198"/>
        <v>-3531629084.0554252</v>
      </c>
      <c r="K242" s="193">
        <f t="shared" si="198"/>
        <v>-3673520643.3512554</v>
      </c>
    </row>
    <row r="244" spans="3:11" x14ac:dyDescent="0.25">
      <c r="C244" s="13" t="s">
        <v>177</v>
      </c>
    </row>
    <row r="245" spans="3:11" x14ac:dyDescent="0.25">
      <c r="C245" s="51" t="s">
        <v>44</v>
      </c>
      <c r="D245" s="52">
        <f t="shared" ref="D245:K245" si="199">D$13</f>
        <v>2023</v>
      </c>
      <c r="E245" s="52">
        <f t="shared" si="199"/>
        <v>2024</v>
      </c>
      <c r="F245" s="52">
        <f t="shared" si="199"/>
        <v>2025</v>
      </c>
      <c r="G245" s="53">
        <f t="shared" si="199"/>
        <v>2026</v>
      </c>
      <c r="H245" s="53">
        <f t="shared" si="199"/>
        <v>2027</v>
      </c>
      <c r="I245" s="53">
        <f t="shared" si="199"/>
        <v>2028</v>
      </c>
      <c r="J245" s="53">
        <f t="shared" si="199"/>
        <v>2029</v>
      </c>
      <c r="K245" s="53">
        <f t="shared" si="199"/>
        <v>2030</v>
      </c>
    </row>
    <row r="246" spans="3:11" x14ac:dyDescent="0.25">
      <c r="C246" s="45" t="s">
        <v>45</v>
      </c>
      <c r="D246" s="248">
        <f t="shared" ref="D246:K246" si="200">D$14</f>
        <v>45291</v>
      </c>
      <c r="E246" s="248">
        <f t="shared" si="200"/>
        <v>45657</v>
      </c>
      <c r="F246" s="248">
        <f t="shared" si="200"/>
        <v>46022</v>
      </c>
      <c r="G246" s="248">
        <f t="shared" si="200"/>
        <v>46387</v>
      </c>
      <c r="H246" s="248">
        <f t="shared" si="200"/>
        <v>46752</v>
      </c>
      <c r="I246" s="248">
        <f t="shared" si="200"/>
        <v>47118</v>
      </c>
      <c r="J246" s="248">
        <f t="shared" si="200"/>
        <v>47483</v>
      </c>
      <c r="K246" s="248">
        <f t="shared" si="200"/>
        <v>47848</v>
      </c>
    </row>
    <row r="248" spans="3:11" x14ac:dyDescent="0.25">
      <c r="C248" s="13" t="s">
        <v>178</v>
      </c>
    </row>
    <row r="249" spans="3:11" x14ac:dyDescent="0.25">
      <c r="C249" s="17" t="s">
        <v>32</v>
      </c>
      <c r="D249" s="193"/>
      <c r="E249" s="193">
        <f>D253</f>
        <v>1002054151</v>
      </c>
      <c r="F249" s="193">
        <f t="shared" ref="F249:K249" si="201">E253</f>
        <v>1584153010</v>
      </c>
      <c r="G249" s="193">
        <f t="shared" si="201"/>
        <v>2336954746</v>
      </c>
      <c r="H249" s="193">
        <f t="shared" si="201"/>
        <v>3011271829.4382234</v>
      </c>
      <c r="I249" s="193">
        <f t="shared" si="201"/>
        <v>3961779468.691052</v>
      </c>
      <c r="J249" s="193">
        <f t="shared" si="201"/>
        <v>5076769130.7859421</v>
      </c>
      <c r="K249" s="193">
        <f t="shared" si="201"/>
        <v>6398464289.1740284</v>
      </c>
    </row>
    <row r="250" spans="3:11" x14ac:dyDescent="0.25">
      <c r="C250" s="17" t="s">
        <v>179</v>
      </c>
      <c r="D250" s="193">
        <f t="shared" ref="D250:K250" si="202">D38</f>
        <v>213660634</v>
      </c>
      <c r="E250" s="193">
        <f t="shared" si="202"/>
        <v>614562351</v>
      </c>
      <c r="F250" s="193">
        <f t="shared" si="202"/>
        <v>951983350</v>
      </c>
      <c r="G250" s="193">
        <f t="shared" si="202"/>
        <v>842896354.29777932</v>
      </c>
      <c r="H250" s="193">
        <f t="shared" si="202"/>
        <v>1188134549.0660357</v>
      </c>
      <c r="I250" s="193">
        <f t="shared" si="202"/>
        <v>1393737077.6186125</v>
      </c>
      <c r="J250" s="193">
        <f t="shared" si="202"/>
        <v>1652118947.9851072</v>
      </c>
      <c r="K250" s="193">
        <f t="shared" si="202"/>
        <v>2003328090.9453132</v>
      </c>
    </row>
    <row r="251" spans="3:11" x14ac:dyDescent="0.25">
      <c r="C251" s="17" t="s">
        <v>180</v>
      </c>
      <c r="D251" s="196">
        <v>23598057</v>
      </c>
      <c r="E251" s="196">
        <v>32490885</v>
      </c>
      <c r="F251" s="196">
        <v>197081716</v>
      </c>
      <c r="G251" s="193">
        <f>G250*G261</f>
        <v>168579270.85955587</v>
      </c>
      <c r="H251" s="193">
        <f t="shared" ref="H251:K251" si="203">H250*H261</f>
        <v>237626909.81320715</v>
      </c>
      <c r="I251" s="193">
        <f t="shared" si="203"/>
        <v>278747415.52372253</v>
      </c>
      <c r="J251" s="193">
        <f t="shared" si="203"/>
        <v>330423789.59702146</v>
      </c>
      <c r="K251" s="193">
        <f t="shared" si="203"/>
        <v>400665618.18906265</v>
      </c>
    </row>
    <row r="252" spans="3:11" x14ac:dyDescent="0.25">
      <c r="C252" s="17" t="s">
        <v>181</v>
      </c>
      <c r="D252" s="193">
        <v>0</v>
      </c>
      <c r="E252" s="193">
        <v>0</v>
      </c>
      <c r="F252" s="193">
        <v>0</v>
      </c>
      <c r="G252" s="193">
        <v>0</v>
      </c>
      <c r="H252" s="193">
        <v>0</v>
      </c>
      <c r="I252" s="193">
        <v>0</v>
      </c>
      <c r="J252" s="193">
        <v>0</v>
      </c>
      <c r="K252" s="193">
        <v>0</v>
      </c>
    </row>
    <row r="253" spans="3:11" x14ac:dyDescent="0.25">
      <c r="C253" s="17" t="s">
        <v>182</v>
      </c>
      <c r="D253" s="193">
        <f>D116</f>
        <v>1002054151</v>
      </c>
      <c r="E253" s="193">
        <f>E116</f>
        <v>1584153010</v>
      </c>
      <c r="F253" s="193">
        <f>F116</f>
        <v>2336954746</v>
      </c>
      <c r="G253" s="193">
        <f>G249+G250-G251+G252</f>
        <v>3011271829.4382234</v>
      </c>
      <c r="H253" s="193">
        <f t="shared" ref="H253:K253" si="204">H249+H250-H251+H252</f>
        <v>3961779468.691052</v>
      </c>
      <c r="I253" s="193">
        <f t="shared" si="204"/>
        <v>5076769130.7859421</v>
      </c>
      <c r="J253" s="193">
        <f t="shared" si="204"/>
        <v>6398464289.1740284</v>
      </c>
      <c r="K253" s="193">
        <f t="shared" si="204"/>
        <v>8001126761.9302788</v>
      </c>
    </row>
    <row r="254" spans="3:11" x14ac:dyDescent="0.25">
      <c r="D254" s="193"/>
      <c r="E254" s="193"/>
      <c r="F254" s="193"/>
      <c r="G254" s="193"/>
      <c r="H254" s="193"/>
      <c r="I254" s="193"/>
      <c r="J254" s="193"/>
      <c r="K254" s="193"/>
    </row>
    <row r="255" spans="3:11" x14ac:dyDescent="0.25">
      <c r="C255" s="13" t="s">
        <v>183</v>
      </c>
      <c r="D255" s="193"/>
      <c r="E255" s="193"/>
      <c r="F255" s="193"/>
      <c r="G255" s="193"/>
      <c r="H255" s="193"/>
      <c r="I255" s="193"/>
      <c r="J255" s="193"/>
      <c r="K255" s="193"/>
    </row>
    <row r="256" spans="3:11" x14ac:dyDescent="0.25">
      <c r="C256" s="17" t="s">
        <v>32</v>
      </c>
      <c r="D256" s="193"/>
      <c r="E256" s="193">
        <f>D259</f>
        <v>158</v>
      </c>
      <c r="F256" s="193">
        <f t="shared" ref="F256:K256" si="205">E259</f>
        <v>46</v>
      </c>
      <c r="G256" s="193">
        <f t="shared" si="205"/>
        <v>63</v>
      </c>
      <c r="H256" s="193">
        <f t="shared" si="205"/>
        <v>80</v>
      </c>
      <c r="I256" s="193">
        <f t="shared" si="205"/>
        <v>97</v>
      </c>
      <c r="J256" s="193">
        <f t="shared" si="205"/>
        <v>114</v>
      </c>
      <c r="K256" s="193">
        <f t="shared" si="205"/>
        <v>131</v>
      </c>
    </row>
    <row r="257" spans="3:11" x14ac:dyDescent="0.25">
      <c r="C257" s="17" t="s">
        <v>184</v>
      </c>
      <c r="D257" s="193">
        <f t="shared" ref="D257:K257" si="206">D39</f>
        <v>-388164</v>
      </c>
      <c r="E257" s="193">
        <f t="shared" si="206"/>
        <v>-6</v>
      </c>
      <c r="F257" s="193">
        <f t="shared" si="206"/>
        <v>17</v>
      </c>
      <c r="G257" s="193">
        <f t="shared" si="206"/>
        <v>17</v>
      </c>
      <c r="H257" s="193">
        <f t="shared" si="206"/>
        <v>17</v>
      </c>
      <c r="I257" s="193">
        <f t="shared" si="206"/>
        <v>17</v>
      </c>
      <c r="J257" s="193">
        <f t="shared" si="206"/>
        <v>17</v>
      </c>
      <c r="K257" s="193">
        <f t="shared" si="206"/>
        <v>17</v>
      </c>
    </row>
    <row r="258" spans="3:11" x14ac:dyDescent="0.25">
      <c r="C258" s="17" t="s">
        <v>185</v>
      </c>
      <c r="D258" s="193">
        <v>0</v>
      </c>
      <c r="E258" s="193">
        <v>0</v>
      </c>
      <c r="F258" s="193">
        <v>0</v>
      </c>
      <c r="G258" s="193">
        <f>F258*G262</f>
        <v>0</v>
      </c>
      <c r="H258" s="193">
        <f t="shared" ref="H258:K258" si="207">G258*H262</f>
        <v>0</v>
      </c>
      <c r="I258" s="193">
        <f t="shared" si="207"/>
        <v>0</v>
      </c>
      <c r="J258" s="193">
        <f t="shared" si="207"/>
        <v>0</v>
      </c>
      <c r="K258" s="193">
        <f t="shared" si="207"/>
        <v>0</v>
      </c>
    </row>
    <row r="259" spans="3:11" x14ac:dyDescent="0.25">
      <c r="C259" s="17" t="s">
        <v>182</v>
      </c>
      <c r="D259" s="193">
        <f>D118</f>
        <v>158</v>
      </c>
      <c r="E259" s="193">
        <f>E118</f>
        <v>46</v>
      </c>
      <c r="F259" s="193">
        <f>F118</f>
        <v>63</v>
      </c>
      <c r="G259" s="193">
        <f>SUM(G256:G258)</f>
        <v>80</v>
      </c>
      <c r="H259" s="193">
        <f t="shared" ref="H259:K259" si="208">SUM(H256:H258)</f>
        <v>97</v>
      </c>
      <c r="I259" s="193">
        <f t="shared" si="208"/>
        <v>114</v>
      </c>
      <c r="J259" s="193">
        <f t="shared" si="208"/>
        <v>131</v>
      </c>
      <c r="K259" s="193">
        <f t="shared" si="208"/>
        <v>148</v>
      </c>
    </row>
    <row r="260" spans="3:11" x14ac:dyDescent="0.25">
      <c r="D260" s="193"/>
      <c r="E260" s="193"/>
      <c r="F260" s="193"/>
      <c r="G260" s="193"/>
      <c r="H260" s="193"/>
      <c r="I260" s="193"/>
      <c r="J260" s="193"/>
      <c r="K260" s="193"/>
    </row>
    <row r="261" spans="3:11" x14ac:dyDescent="0.25">
      <c r="C261" s="6" t="s">
        <v>40</v>
      </c>
      <c r="D261" s="1">
        <f>D251/D250</f>
        <v>0.11044644283888065</v>
      </c>
      <c r="E261" s="1">
        <f t="shared" ref="E261:F261" si="209">E251/E250</f>
        <v>5.2868329709966237E-2</v>
      </c>
      <c r="F261" s="1">
        <f t="shared" si="209"/>
        <v>0.2070222299581185</v>
      </c>
      <c r="G261" s="224">
        <v>0.2</v>
      </c>
      <c r="H261" s="224">
        <f>G261</f>
        <v>0.2</v>
      </c>
      <c r="I261" s="224">
        <f t="shared" ref="I261:K261" si="210">H261</f>
        <v>0.2</v>
      </c>
      <c r="J261" s="224">
        <f t="shared" si="210"/>
        <v>0.2</v>
      </c>
      <c r="K261" s="224">
        <f t="shared" si="210"/>
        <v>0.2</v>
      </c>
    </row>
    <row r="262" spans="3:11" x14ac:dyDescent="0.25">
      <c r="C262" s="6" t="s">
        <v>186</v>
      </c>
      <c r="D262" s="1">
        <f>D39/D37</f>
        <v>-1.8200380011541106E-3</v>
      </c>
      <c r="E262" s="1">
        <f>E39/E37</f>
        <v>-9.7630452773672621E-9</v>
      </c>
      <c r="F262" s="1">
        <f>F39/F37</f>
        <v>1.7857454856141408E-8</v>
      </c>
      <c r="G262" s="224">
        <f>AVERAGE(D262:F262)</f>
        <v>-6.066766355815106E-4</v>
      </c>
      <c r="H262" s="224">
        <f t="shared" ref="H262:K262" si="211">G262</f>
        <v>-6.066766355815106E-4</v>
      </c>
      <c r="I262" s="224">
        <f t="shared" si="211"/>
        <v>-6.066766355815106E-4</v>
      </c>
      <c r="J262" s="224">
        <f t="shared" si="211"/>
        <v>-6.066766355815106E-4</v>
      </c>
      <c r="K262" s="224">
        <f t="shared" si="211"/>
        <v>-6.066766355815106E-4</v>
      </c>
    </row>
    <row r="264" spans="3:11" x14ac:dyDescent="0.25">
      <c r="C264" s="13" t="s">
        <v>287</v>
      </c>
    </row>
    <row r="265" spans="3:11" x14ac:dyDescent="0.25">
      <c r="C265" s="51" t="s">
        <v>44</v>
      </c>
      <c r="D265" s="52">
        <f t="shared" ref="D265:K265" si="212">D$13</f>
        <v>2023</v>
      </c>
      <c r="E265" s="52">
        <f t="shared" si="212"/>
        <v>2024</v>
      </c>
      <c r="F265" s="52">
        <f t="shared" si="212"/>
        <v>2025</v>
      </c>
      <c r="G265" s="53">
        <f t="shared" si="212"/>
        <v>2026</v>
      </c>
      <c r="H265" s="53">
        <f t="shared" si="212"/>
        <v>2027</v>
      </c>
      <c r="I265" s="53">
        <f t="shared" si="212"/>
        <v>2028</v>
      </c>
      <c r="J265" s="53">
        <f t="shared" si="212"/>
        <v>2029</v>
      </c>
      <c r="K265" s="53">
        <f t="shared" si="212"/>
        <v>2030</v>
      </c>
    </row>
    <row r="266" spans="3:11" x14ac:dyDescent="0.25">
      <c r="C266" s="45" t="s">
        <v>45</v>
      </c>
      <c r="D266" s="248">
        <f t="shared" ref="D266:K266" si="213">D$14</f>
        <v>45291</v>
      </c>
      <c r="E266" s="248">
        <f t="shared" si="213"/>
        <v>45657</v>
      </c>
      <c r="F266" s="248">
        <f t="shared" si="213"/>
        <v>46022</v>
      </c>
      <c r="G266" s="248">
        <f t="shared" si="213"/>
        <v>46387</v>
      </c>
      <c r="H266" s="248">
        <f t="shared" si="213"/>
        <v>46752</v>
      </c>
      <c r="I266" s="248">
        <f t="shared" si="213"/>
        <v>47118</v>
      </c>
      <c r="J266" s="248">
        <f t="shared" si="213"/>
        <v>47483</v>
      </c>
      <c r="K266" s="248">
        <f t="shared" si="213"/>
        <v>47848</v>
      </c>
    </row>
    <row r="267" spans="3:11" x14ac:dyDescent="0.25">
      <c r="C267" s="266"/>
      <c r="D267" s="267"/>
      <c r="E267" s="267"/>
      <c r="F267" s="267"/>
      <c r="G267" s="267"/>
      <c r="H267" s="267"/>
      <c r="I267" s="267"/>
      <c r="J267" s="267"/>
      <c r="K267" s="267"/>
    </row>
    <row r="268" spans="3:11" x14ac:dyDescent="0.25">
      <c r="C268" s="241" t="s">
        <v>32</v>
      </c>
      <c r="D268" s="193"/>
      <c r="E268" s="193">
        <f>D271</f>
        <v>219017302</v>
      </c>
      <c r="F268" s="193">
        <f t="shared" ref="F268:K268" si="214">E271</f>
        <v>218372710</v>
      </c>
      <c r="G268" s="193">
        <f t="shared" si="214"/>
        <v>236359506</v>
      </c>
      <c r="H268" s="193">
        <f t="shared" si="214"/>
        <v>237796355.51449496</v>
      </c>
      <c r="I268" s="193">
        <f t="shared" si="214"/>
        <v>239485154.99265906</v>
      </c>
      <c r="J268" s="193">
        <f t="shared" si="214"/>
        <v>241394109.64291438</v>
      </c>
      <c r="K268" s="193">
        <f t="shared" si="214"/>
        <v>243513464.99853131</v>
      </c>
    </row>
    <row r="269" spans="3:11" x14ac:dyDescent="0.25">
      <c r="C269" s="241" t="s">
        <v>288</v>
      </c>
      <c r="D269" s="196">
        <v>4429051</v>
      </c>
      <c r="E269" s="196">
        <v>22887568</v>
      </c>
      <c r="F269" s="196">
        <v>38172337</v>
      </c>
      <c r="G269" s="193">
        <f>G272*G16</f>
        <v>32896984.960925039</v>
      </c>
      <c r="H269" s="193">
        <f>H272*H16</f>
        <v>38665434.671293162</v>
      </c>
      <c r="I269" s="193">
        <f>I272*I16</f>
        <v>43705935.650896654</v>
      </c>
      <c r="J269" s="193">
        <f>J272*J16</f>
        <v>48523105.9740403</v>
      </c>
      <c r="K269" s="193">
        <f>K272*K16</f>
        <v>53621690.595488518</v>
      </c>
    </row>
    <row r="270" spans="3:11" x14ac:dyDescent="0.25">
      <c r="C270" s="241" t="s">
        <v>289</v>
      </c>
      <c r="D270" s="196">
        <v>6567108</v>
      </c>
      <c r="E270" s="196">
        <v>23532160</v>
      </c>
      <c r="F270" s="196">
        <v>28989323</v>
      </c>
      <c r="G270" s="193">
        <f>G273*G16</f>
        <v>31460135.446430102</v>
      </c>
      <c r="H270" s="193">
        <f>H273*H16</f>
        <v>36976635.193129033</v>
      </c>
      <c r="I270" s="193">
        <f>I273*I16</f>
        <v>41796981.000641316</v>
      </c>
      <c r="J270" s="193">
        <f>J273*J16</f>
        <v>46403750.618423365</v>
      </c>
      <c r="K270" s="193">
        <f>K273*K16</f>
        <v>51279643.134602949</v>
      </c>
    </row>
    <row r="271" spans="3:11" x14ac:dyDescent="0.25">
      <c r="C271" s="241" t="s">
        <v>35</v>
      </c>
      <c r="D271" s="193">
        <f>D79</f>
        <v>219017302</v>
      </c>
      <c r="E271" s="193">
        <f>E79</f>
        <v>218372710</v>
      </c>
      <c r="F271" s="193">
        <f>F79</f>
        <v>236359506</v>
      </c>
      <c r="G271" s="193">
        <f>G268+G269-G270</f>
        <v>237796355.51449496</v>
      </c>
      <c r="H271" s="193">
        <f t="shared" ref="H271:K271" si="215">H268+H269-H270</f>
        <v>239485154.99265906</v>
      </c>
      <c r="I271" s="193">
        <f t="shared" si="215"/>
        <v>241394109.64291438</v>
      </c>
      <c r="J271" s="193">
        <f t="shared" si="215"/>
        <v>243513464.99853131</v>
      </c>
      <c r="K271" s="193">
        <f t="shared" si="215"/>
        <v>245855512.45941687</v>
      </c>
    </row>
    <row r="272" spans="3:11" x14ac:dyDescent="0.25">
      <c r="C272" s="241" t="s">
        <v>290</v>
      </c>
      <c r="D272" s="265">
        <f>D269/D16</f>
        <v>1.3046063566136883E-4</v>
      </c>
      <c r="E272" s="265">
        <f>E269/E16</f>
        <v>4.0985963935933668E-4</v>
      </c>
      <c r="F272" s="265">
        <f>F269/F16</f>
        <v>4.9835252454798922E-4</v>
      </c>
      <c r="G272" s="265">
        <f>AVERAGE(D272:F272)</f>
        <v>3.4622426652289822E-4</v>
      </c>
      <c r="H272" s="265">
        <f>G272</f>
        <v>3.4622426652289822E-4</v>
      </c>
      <c r="I272" s="265">
        <f t="shared" ref="I272:K272" si="216">H272</f>
        <v>3.4622426652289822E-4</v>
      </c>
      <c r="J272" s="265">
        <f t="shared" si="216"/>
        <v>3.4622426652289822E-4</v>
      </c>
      <c r="K272" s="265">
        <f t="shared" si="216"/>
        <v>3.4622426652289822E-4</v>
      </c>
    </row>
    <row r="273" spans="3:11" x14ac:dyDescent="0.25">
      <c r="C273" s="241" t="s">
        <v>291</v>
      </c>
      <c r="D273" s="265">
        <f>D270/D16</f>
        <v>1.9343852309148404E-4</v>
      </c>
      <c r="E273" s="265">
        <f>E270/E16</f>
        <v>4.2140268511474041E-4</v>
      </c>
      <c r="F273" s="265">
        <f>F270/F16</f>
        <v>3.7846522999068901E-4</v>
      </c>
      <c r="G273" s="265">
        <f t="shared" ref="G273" si="217">AVERAGE(D273:F273)</f>
        <v>3.3110214606563783E-4</v>
      </c>
      <c r="H273" s="265">
        <f>G273</f>
        <v>3.3110214606563783E-4</v>
      </c>
      <c r="I273" s="265">
        <f t="shared" ref="I273:K273" si="218">H273</f>
        <v>3.3110214606563783E-4</v>
      </c>
      <c r="J273" s="265">
        <f t="shared" si="218"/>
        <v>3.3110214606563783E-4</v>
      </c>
      <c r="K273" s="265">
        <f t="shared" si="218"/>
        <v>3.3110214606563783E-4</v>
      </c>
    </row>
    <row r="275" spans="3:11" x14ac:dyDescent="0.25">
      <c r="C275" s="13" t="s">
        <v>292</v>
      </c>
    </row>
    <row r="276" spans="3:11" x14ac:dyDescent="0.25">
      <c r="C276" s="51" t="s">
        <v>44</v>
      </c>
      <c r="D276" s="52">
        <f t="shared" ref="D276:K276" si="219">D$13</f>
        <v>2023</v>
      </c>
      <c r="E276" s="52">
        <f t="shared" si="219"/>
        <v>2024</v>
      </c>
      <c r="F276" s="52">
        <f t="shared" si="219"/>
        <v>2025</v>
      </c>
      <c r="G276" s="53">
        <f t="shared" si="219"/>
        <v>2026</v>
      </c>
      <c r="H276" s="53">
        <f t="shared" si="219"/>
        <v>2027</v>
      </c>
      <c r="I276" s="53">
        <f t="shared" si="219"/>
        <v>2028</v>
      </c>
      <c r="J276" s="53">
        <f t="shared" si="219"/>
        <v>2029</v>
      </c>
      <c r="K276" s="53">
        <f t="shared" si="219"/>
        <v>2030</v>
      </c>
    </row>
    <row r="277" spans="3:11" x14ac:dyDescent="0.25">
      <c r="C277" s="45" t="s">
        <v>45</v>
      </c>
      <c r="D277" s="248">
        <f t="shared" ref="D277:K277" si="220">D$14</f>
        <v>45291</v>
      </c>
      <c r="E277" s="248">
        <f t="shared" si="220"/>
        <v>45657</v>
      </c>
      <c r="F277" s="248">
        <f t="shared" si="220"/>
        <v>46022</v>
      </c>
      <c r="G277" s="248">
        <f t="shared" si="220"/>
        <v>46387</v>
      </c>
      <c r="H277" s="248">
        <f t="shared" si="220"/>
        <v>46752</v>
      </c>
      <c r="I277" s="248">
        <f t="shared" si="220"/>
        <v>47118</v>
      </c>
      <c r="J277" s="248">
        <f t="shared" si="220"/>
        <v>47483</v>
      </c>
      <c r="K277" s="248">
        <f t="shared" si="220"/>
        <v>47848</v>
      </c>
    </row>
    <row r="278" spans="3:11" x14ac:dyDescent="0.25">
      <c r="C278" s="266"/>
      <c r="D278" s="267"/>
      <c r="E278" s="267"/>
      <c r="F278" s="267"/>
      <c r="G278" s="267"/>
      <c r="H278" s="267"/>
      <c r="I278" s="267"/>
      <c r="J278" s="267"/>
      <c r="K278" s="267"/>
    </row>
    <row r="279" spans="3:11" x14ac:dyDescent="0.25">
      <c r="C279" s="6" t="s">
        <v>293</v>
      </c>
      <c r="D279" s="193"/>
      <c r="E279" s="193">
        <f>D282</f>
        <v>695052758</v>
      </c>
      <c r="F279" s="193">
        <f t="shared" ref="F279:K279" si="221">E282</f>
        <v>1343160348</v>
      </c>
      <c r="G279" s="193">
        <f t="shared" si="221"/>
        <v>971629079</v>
      </c>
      <c r="H279" s="193">
        <f t="shared" si="221"/>
        <v>1337164421.1339247</v>
      </c>
      <c r="I279" s="193">
        <f t="shared" si="221"/>
        <v>1766795978.8014708</v>
      </c>
      <c r="J279" s="193">
        <f t="shared" si="221"/>
        <v>2252435138.7551913</v>
      </c>
      <c r="K279" s="193">
        <f t="shared" si="221"/>
        <v>2791600359.0539317</v>
      </c>
    </row>
    <row r="280" spans="3:11" x14ac:dyDescent="0.25">
      <c r="C280" s="6" t="s">
        <v>294</v>
      </c>
      <c r="D280" s="196">
        <v>463989677</v>
      </c>
      <c r="E280" s="196">
        <v>757156437</v>
      </c>
      <c r="F280" s="196">
        <v>442675880</v>
      </c>
      <c r="G280" s="193">
        <f>G286*G16</f>
        <v>549126452.52788496</v>
      </c>
      <c r="H280" s="193">
        <f>H286*H16</f>
        <v>645415164.99811375</v>
      </c>
      <c r="I280" s="193">
        <f>I286*I16</f>
        <v>729552736.42542434</v>
      </c>
      <c r="J280" s="193">
        <f>J286*J16</f>
        <v>809962404.7859894</v>
      </c>
      <c r="K280" s="193">
        <f>K286*K16</f>
        <v>895069525.98310351</v>
      </c>
    </row>
    <row r="281" spans="3:11" x14ac:dyDescent="0.25">
      <c r="C281" s="6" t="s">
        <v>295</v>
      </c>
      <c r="D281" s="196">
        <v>70039767</v>
      </c>
      <c r="E281" s="196">
        <v>109048847</v>
      </c>
      <c r="F281" s="196">
        <v>148001168</v>
      </c>
      <c r="G281" s="193">
        <f>G287*G16</f>
        <v>183591110.3939603</v>
      </c>
      <c r="H281" s="193">
        <f>H287*H16</f>
        <v>215783607.33056778</v>
      </c>
      <c r="I281" s="193">
        <f>I287*I16</f>
        <v>243913576.47170419</v>
      </c>
      <c r="J281" s="193">
        <f>J287*J16</f>
        <v>270797184.48724878</v>
      </c>
      <c r="K281" s="193">
        <f>K287*K16</f>
        <v>299251306.14007175</v>
      </c>
    </row>
    <row r="282" spans="3:11" x14ac:dyDescent="0.25">
      <c r="C282" s="6" t="s">
        <v>296</v>
      </c>
      <c r="D282" s="193">
        <f>D80</f>
        <v>695052758</v>
      </c>
      <c r="E282" s="193">
        <f>E80</f>
        <v>1343160348</v>
      </c>
      <c r="F282" s="193">
        <f>F80</f>
        <v>971629079</v>
      </c>
      <c r="G282" s="193">
        <f>G279+G280-G281</f>
        <v>1337164421.1339247</v>
      </c>
      <c r="H282" s="193">
        <f t="shared" ref="H282:K282" si="222">H279+H280-H281</f>
        <v>1766795978.8014708</v>
      </c>
      <c r="I282" s="193">
        <f t="shared" si="222"/>
        <v>2252435138.7551913</v>
      </c>
      <c r="J282" s="193">
        <f t="shared" si="222"/>
        <v>2791600359.0539317</v>
      </c>
      <c r="K282" s="193">
        <f t="shared" si="222"/>
        <v>3387418578.8969631</v>
      </c>
    </row>
    <row r="283" spans="3:11" x14ac:dyDescent="0.25">
      <c r="C283" s="6" t="s">
        <v>297</v>
      </c>
      <c r="E283" s="193">
        <f>D284</f>
        <v>738356291</v>
      </c>
      <c r="F283" s="193">
        <f t="shared" ref="F283:K283" si="223">E284</f>
        <v>1366445087</v>
      </c>
      <c r="G283" s="193">
        <f t="shared" si="223"/>
        <v>1048772858</v>
      </c>
      <c r="H283" s="193">
        <f t="shared" si="223"/>
        <v>1414308200.1339247</v>
      </c>
      <c r="I283" s="193">
        <f t="shared" si="223"/>
        <v>1843939757.8014708</v>
      </c>
      <c r="J283" s="193">
        <f t="shared" si="223"/>
        <v>2329578917.7551913</v>
      </c>
      <c r="K283" s="193">
        <f t="shared" si="223"/>
        <v>2868744138.0539317</v>
      </c>
    </row>
    <row r="284" spans="3:11" x14ac:dyDescent="0.25">
      <c r="C284" s="6" t="s">
        <v>298</v>
      </c>
      <c r="D284" s="193">
        <f>D97+D103</f>
        <v>738356291</v>
      </c>
      <c r="E284" s="193">
        <f>E97+E103</f>
        <v>1366445087</v>
      </c>
      <c r="F284" s="193">
        <f>F97+F103</f>
        <v>1048772858</v>
      </c>
      <c r="G284" s="193">
        <f>G283+G280-G281</f>
        <v>1414308200.1339247</v>
      </c>
      <c r="H284" s="193">
        <f t="shared" ref="H284:K284" si="224">H283+H280-H281</f>
        <v>1843939757.8014708</v>
      </c>
      <c r="I284" s="193">
        <f t="shared" si="224"/>
        <v>2329578917.7551913</v>
      </c>
      <c r="J284" s="193">
        <f t="shared" si="224"/>
        <v>2868744138.0539317</v>
      </c>
      <c r="K284" s="193">
        <f t="shared" si="224"/>
        <v>3464562357.8969631</v>
      </c>
    </row>
    <row r="285" spans="3:11" x14ac:dyDescent="0.25">
      <c r="C285" s="6" t="s">
        <v>299</v>
      </c>
      <c r="D285" s="219">
        <f>D97/(D97+D103)</f>
        <v>0.15973232223736819</v>
      </c>
      <c r="E285" s="219">
        <f>E97/(E97+E103)</f>
        <v>0.1687954138767378</v>
      </c>
      <c r="F285" s="219">
        <f>F97/(F97+F103)</f>
        <v>0.23140026569985853</v>
      </c>
      <c r="G285" s="219">
        <f t="shared" ref="G285" si="225">AVERAGE(D285:F285)</f>
        <v>0.18664266727132151</v>
      </c>
      <c r="H285" s="219">
        <f t="shared" ref="H285:K285" si="226">G285</f>
        <v>0.18664266727132151</v>
      </c>
      <c r="I285" s="219">
        <f t="shared" si="226"/>
        <v>0.18664266727132151</v>
      </c>
      <c r="J285" s="219">
        <f t="shared" si="226"/>
        <v>0.18664266727132151</v>
      </c>
      <c r="K285" s="219">
        <f t="shared" si="226"/>
        <v>0.18664266727132151</v>
      </c>
    </row>
    <row r="286" spans="3:11" x14ac:dyDescent="0.25">
      <c r="C286" s="6" t="s">
        <v>300</v>
      </c>
      <c r="D286" s="1">
        <f>D280/D16</f>
        <v>1.3667123770246313E-2</v>
      </c>
      <c r="E286" s="1">
        <f>E280/E16</f>
        <v>1.3558795945791197E-2</v>
      </c>
      <c r="F286" s="1">
        <f>F280/F16</f>
        <v>5.779280486665061E-3</v>
      </c>
      <c r="G286" s="265">
        <f>F286</f>
        <v>5.779280486665061E-3</v>
      </c>
      <c r="H286" s="265">
        <f t="shared" ref="H286:K286" si="227">G286</f>
        <v>5.779280486665061E-3</v>
      </c>
      <c r="I286" s="265">
        <f t="shared" si="227"/>
        <v>5.779280486665061E-3</v>
      </c>
      <c r="J286" s="265">
        <f t="shared" si="227"/>
        <v>5.779280486665061E-3</v>
      </c>
      <c r="K286" s="265">
        <f t="shared" si="227"/>
        <v>5.779280486665061E-3</v>
      </c>
    </row>
    <row r="287" spans="3:11" x14ac:dyDescent="0.25">
      <c r="C287" s="6" t="s">
        <v>301</v>
      </c>
      <c r="D287" s="1">
        <f>D281/D16</f>
        <v>2.0630678049076796E-3</v>
      </c>
      <c r="E287" s="1">
        <f>E281/E16</f>
        <v>1.9527946832958174E-3</v>
      </c>
      <c r="F287" s="1">
        <f>F281/F16</f>
        <v>1.9322043528236447E-3</v>
      </c>
      <c r="G287" s="265">
        <f>F287</f>
        <v>1.9322043528236447E-3</v>
      </c>
      <c r="H287" s="265">
        <f t="shared" ref="H287:K287" si="228">G287</f>
        <v>1.9322043528236447E-3</v>
      </c>
      <c r="I287" s="265">
        <f t="shared" si="228"/>
        <v>1.9322043528236447E-3</v>
      </c>
      <c r="J287" s="265">
        <f t="shared" si="228"/>
        <v>1.9322043528236447E-3</v>
      </c>
      <c r="K287" s="265">
        <f t="shared" si="228"/>
        <v>1.9322043528236447E-3</v>
      </c>
    </row>
    <row r="289" spans="3:11" x14ac:dyDescent="0.25">
      <c r="C289" s="13" t="s">
        <v>302</v>
      </c>
    </row>
    <row r="290" spans="3:11" x14ac:dyDescent="0.25">
      <c r="C290" s="51" t="s">
        <v>44</v>
      </c>
      <c r="D290" s="52">
        <f t="shared" ref="D290:K290" si="229">D$13</f>
        <v>2023</v>
      </c>
      <c r="E290" s="52">
        <f t="shared" si="229"/>
        <v>2024</v>
      </c>
      <c r="F290" s="52">
        <f t="shared" si="229"/>
        <v>2025</v>
      </c>
      <c r="G290" s="53">
        <f t="shared" si="229"/>
        <v>2026</v>
      </c>
      <c r="H290" s="53">
        <f t="shared" si="229"/>
        <v>2027</v>
      </c>
      <c r="I290" s="53">
        <f t="shared" si="229"/>
        <v>2028</v>
      </c>
      <c r="J290" s="53">
        <f t="shared" si="229"/>
        <v>2029</v>
      </c>
      <c r="K290" s="53">
        <f t="shared" si="229"/>
        <v>2030</v>
      </c>
    </row>
    <row r="291" spans="3:11" x14ac:dyDescent="0.25">
      <c r="C291" s="45" t="s">
        <v>45</v>
      </c>
      <c r="D291" s="248">
        <f t="shared" ref="D291:K291" si="230">D$14</f>
        <v>45291</v>
      </c>
      <c r="E291" s="248">
        <f t="shared" si="230"/>
        <v>45657</v>
      </c>
      <c r="F291" s="248">
        <f t="shared" si="230"/>
        <v>46022</v>
      </c>
      <c r="G291" s="248">
        <f t="shared" si="230"/>
        <v>46387</v>
      </c>
      <c r="H291" s="248">
        <f t="shared" si="230"/>
        <v>46752</v>
      </c>
      <c r="I291" s="248">
        <f t="shared" si="230"/>
        <v>47118</v>
      </c>
      <c r="J291" s="248">
        <f t="shared" si="230"/>
        <v>47483</v>
      </c>
      <c r="K291" s="248">
        <f t="shared" si="230"/>
        <v>47848</v>
      </c>
    </row>
    <row r="292" spans="3:11" x14ac:dyDescent="0.25">
      <c r="C292" s="266"/>
      <c r="D292" s="267"/>
      <c r="E292" s="267"/>
      <c r="F292" s="267"/>
      <c r="G292" s="267"/>
      <c r="H292" s="267"/>
      <c r="I292" s="267"/>
      <c r="J292" s="267"/>
      <c r="K292" s="267"/>
    </row>
    <row r="293" spans="3:11" x14ac:dyDescent="0.25">
      <c r="C293" s="6" t="s">
        <v>303</v>
      </c>
      <c r="D293" s="193">
        <f t="shared" ref="D293:K293" si="231">D298*D16</f>
        <v>1130726519</v>
      </c>
      <c r="E293" s="193">
        <f t="shared" si="231"/>
        <v>835857571</v>
      </c>
      <c r="F293" s="193">
        <f t="shared" si="231"/>
        <v>920191502</v>
      </c>
      <c r="G293" s="193">
        <f t="shared" si="231"/>
        <v>1141470583.7136781</v>
      </c>
      <c r="H293" s="193">
        <f t="shared" si="231"/>
        <v>1341626180.5210443</v>
      </c>
      <c r="I293" s="193">
        <f t="shared" si="231"/>
        <v>1516523168.8691089</v>
      </c>
      <c r="J293" s="193">
        <f t="shared" si="231"/>
        <v>1683670955.4257882</v>
      </c>
      <c r="K293" s="193">
        <f t="shared" si="231"/>
        <v>1860583349.3996105</v>
      </c>
    </row>
    <row r="294" spans="3:11" x14ac:dyDescent="0.25">
      <c r="C294" s="6" t="s">
        <v>304</v>
      </c>
      <c r="D294" s="193"/>
      <c r="E294" s="193"/>
      <c r="F294" s="193"/>
      <c r="G294" s="193">
        <f>G156+G137+G145+G149+G150+G151</f>
        <v>473582179.28852946</v>
      </c>
      <c r="H294" s="193">
        <f>H156+H137+H145+H149+H150+H151</f>
        <v>342282454.20714718</v>
      </c>
      <c r="I294" s="193">
        <f>I156+I137+I145+I149+I150+I151</f>
        <v>688867793.60558701</v>
      </c>
      <c r="J294" s="193">
        <f>J156+J137+J145+J149+J150+J151</f>
        <v>1023133379.145023</v>
      </c>
      <c r="K294" s="193">
        <f>K156+K137+K145+K149+K150+K151</f>
        <v>1339634446.914577</v>
      </c>
    </row>
    <row r="295" spans="3:11" x14ac:dyDescent="0.25">
      <c r="C295" s="6" t="s">
        <v>305</v>
      </c>
      <c r="D295" s="193"/>
      <c r="E295" s="193">
        <f>D296</f>
        <v>3165450940</v>
      </c>
      <c r="F295" s="193">
        <f t="shared" ref="F295:K295" si="232">E296</f>
        <v>4379311131</v>
      </c>
      <c r="G295" s="193">
        <f t="shared" si="232"/>
        <v>5169637310</v>
      </c>
      <c r="H295" s="193">
        <f t="shared" si="232"/>
        <v>5837525714.425149</v>
      </c>
      <c r="I295" s="193">
        <f t="shared" si="232"/>
        <v>6836869440.7390461</v>
      </c>
      <c r="J295" s="193">
        <f t="shared" si="232"/>
        <v>7664524816.0025682</v>
      </c>
      <c r="K295" s="193">
        <f t="shared" si="232"/>
        <v>8325062392.2833328</v>
      </c>
    </row>
    <row r="296" spans="3:11" x14ac:dyDescent="0.25">
      <c r="C296" s="6" t="s">
        <v>306</v>
      </c>
      <c r="D296" s="193">
        <f>D91</f>
        <v>3165450940</v>
      </c>
      <c r="E296" s="193">
        <f>E91</f>
        <v>4379311131</v>
      </c>
      <c r="F296" s="193">
        <f>F91</f>
        <v>5169637310</v>
      </c>
      <c r="G296" s="193">
        <f>MAX(0, G295+G293-G294)</f>
        <v>5837525714.425149</v>
      </c>
      <c r="H296" s="193">
        <f t="shared" ref="H296:K296" si="233">MAX(0, H295+H293-H294)</f>
        <v>6836869440.7390461</v>
      </c>
      <c r="I296" s="193">
        <f t="shared" si="233"/>
        <v>7664524816.0025682</v>
      </c>
      <c r="J296" s="193">
        <f t="shared" si="233"/>
        <v>8325062392.2833328</v>
      </c>
      <c r="K296" s="193">
        <f t="shared" si="233"/>
        <v>8846011294.7683659</v>
      </c>
    </row>
    <row r="297" spans="3:11" x14ac:dyDescent="0.25">
      <c r="C297" s="6" t="s">
        <v>307</v>
      </c>
      <c r="D297" s="193">
        <f>D296-D295</f>
        <v>3165450940</v>
      </c>
      <c r="E297" s="193">
        <f t="shared" ref="E297:K297" si="234">E296-E295</f>
        <v>1213860191</v>
      </c>
      <c r="F297" s="193">
        <f t="shared" si="234"/>
        <v>790326179</v>
      </c>
      <c r="G297" s="193">
        <f t="shared" si="234"/>
        <v>667888404.42514896</v>
      </c>
      <c r="H297" s="193">
        <f t="shared" si="234"/>
        <v>999343726.31389713</v>
      </c>
      <c r="I297" s="193">
        <f t="shared" si="234"/>
        <v>827655375.26352215</v>
      </c>
      <c r="J297" s="193">
        <f t="shared" si="234"/>
        <v>660537576.28076458</v>
      </c>
      <c r="K297" s="193">
        <f t="shared" si="234"/>
        <v>520948902.48503304</v>
      </c>
    </row>
    <row r="298" spans="3:11" x14ac:dyDescent="0.25">
      <c r="C298" s="6" t="s">
        <v>308</v>
      </c>
      <c r="D298" s="1">
        <f>D72/D16</f>
        <v>3.3306299798287906E-2</v>
      </c>
      <c r="E298" s="1">
        <f>E72/E16</f>
        <v>1.4968138275147065E-2</v>
      </c>
      <c r="F298" s="1">
        <f>F72/F16</f>
        <v>1.2013405364447716E-2</v>
      </c>
      <c r="G298" s="1">
        <f>F298</f>
        <v>1.2013405364447716E-2</v>
      </c>
      <c r="H298" s="1">
        <f t="shared" ref="H298:K298" si="235">G298</f>
        <v>1.2013405364447716E-2</v>
      </c>
      <c r="I298" s="1">
        <f t="shared" si="235"/>
        <v>1.2013405364447716E-2</v>
      </c>
      <c r="J298" s="1">
        <f t="shared" si="235"/>
        <v>1.2013405364447716E-2</v>
      </c>
      <c r="K298" s="1">
        <f t="shared" si="235"/>
        <v>1.2013405364447716E-2</v>
      </c>
    </row>
  </sheetData>
  <conditionalFormatting sqref="C53:C56">
    <cfRule type="expression" dxfId="2" priority="1">
      <formula>#REF!=$C53</formula>
    </cfRule>
  </conditionalFormatting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BFB8B-B60E-497E-A730-4D15A5E1DAC7}">
  <dimension ref="B1:Q132"/>
  <sheetViews>
    <sheetView showGridLines="0" topLeftCell="A24" zoomScaleNormal="100" workbookViewId="0">
      <selection activeCell="C51" sqref="C51"/>
    </sheetView>
  </sheetViews>
  <sheetFormatPr defaultColWidth="9.140625" defaultRowHeight="15" x14ac:dyDescent="0.25"/>
  <cols>
    <col min="1" max="1" width="1.42578125" style="54" customWidth="1"/>
    <col min="2" max="2" width="54.42578125" style="54" customWidth="1"/>
    <col min="3" max="3" width="16.7109375" style="54" customWidth="1"/>
    <col min="4" max="4" width="15.5703125" style="54" bestFit="1" customWidth="1"/>
    <col min="5" max="9" width="16.42578125" style="54" customWidth="1"/>
    <col min="10" max="10" width="1.7109375" style="54" customWidth="1"/>
    <col min="11" max="11" width="12.140625" style="54" bestFit="1" customWidth="1"/>
    <col min="12" max="16" width="9.42578125" style="54" customWidth="1"/>
    <col min="17" max="16384" width="9.140625" style="54"/>
  </cols>
  <sheetData>
    <row r="1" spans="2:10" ht="15.75" thickBot="1" x14ac:dyDescent="0.3"/>
    <row r="2" spans="2:10" ht="15.75" thickBot="1" x14ac:dyDescent="0.3">
      <c r="B2" s="55" t="s">
        <v>48</v>
      </c>
      <c r="C2" s="56"/>
      <c r="D2" s="56"/>
      <c r="E2" s="56"/>
      <c r="F2" s="56"/>
      <c r="G2" s="56"/>
      <c r="H2" s="56"/>
      <c r="I2" s="56"/>
    </row>
    <row r="3" spans="2:10" x14ac:dyDescent="0.25">
      <c r="B3" s="192" t="str">
        <f>FSM!C3</f>
        <v>All amounts are shown in Egyptian pounds, except per-share data, ratios, and shares outstanding</v>
      </c>
    </row>
    <row r="4" spans="2:10" x14ac:dyDescent="0.25">
      <c r="B4" s="54" t="s">
        <v>49</v>
      </c>
      <c r="C4" s="58"/>
      <c r="D4" s="58">
        <v>46022</v>
      </c>
      <c r="F4" s="54" t="s">
        <v>50</v>
      </c>
      <c r="H4" s="59">
        <f>+WACC!E21</f>
        <v>0.20916918950773367</v>
      </c>
      <c r="I4" s="54" t="s">
        <v>51</v>
      </c>
    </row>
    <row r="5" spans="2:10" x14ac:dyDescent="0.25">
      <c r="B5" s="54" t="s">
        <v>52</v>
      </c>
      <c r="C5" s="60"/>
      <c r="D5" s="60">
        <f>EOMONTH(D4,12)</f>
        <v>46387</v>
      </c>
      <c r="F5" s="54" t="s">
        <v>53</v>
      </c>
      <c r="H5" s="161">
        <v>11.92</v>
      </c>
    </row>
    <row r="6" spans="2:10" x14ac:dyDescent="0.25">
      <c r="B6" s="54" t="s">
        <v>54</v>
      </c>
      <c r="C6" s="58"/>
      <c r="D6" s="58">
        <v>46022</v>
      </c>
      <c r="F6" s="54" t="s">
        <v>55</v>
      </c>
      <c r="H6" s="61">
        <v>46183</v>
      </c>
      <c r="J6" s="62"/>
    </row>
    <row r="7" spans="2:10" x14ac:dyDescent="0.25">
      <c r="B7" s="54" t="s">
        <v>56</v>
      </c>
      <c r="C7" s="58"/>
      <c r="D7" s="58">
        <v>46184</v>
      </c>
      <c r="E7" s="62"/>
      <c r="F7" s="226" t="s">
        <v>152</v>
      </c>
      <c r="G7" s="62"/>
      <c r="H7" s="161">
        <f>C73</f>
        <v>9.6995798847834642</v>
      </c>
    </row>
    <row r="8" spans="2:10" x14ac:dyDescent="0.25">
      <c r="B8" s="54" t="s">
        <v>57</v>
      </c>
      <c r="C8" s="141"/>
      <c r="D8" s="141">
        <f>YEARFRAC(D7,D5)</f>
        <v>0.55555555555555558</v>
      </c>
      <c r="F8" s="226" t="s">
        <v>153</v>
      </c>
      <c r="H8" s="219">
        <f>(H7-H5)/H5</f>
        <v>-0.18627685530340066</v>
      </c>
    </row>
    <row r="9" spans="2:10" x14ac:dyDescent="0.25">
      <c r="D9" s="64"/>
      <c r="F9" t="s">
        <v>211</v>
      </c>
      <c r="G9"/>
      <c r="H9" s="262">
        <v>1</v>
      </c>
    </row>
    <row r="10" spans="2:10" x14ac:dyDescent="0.25">
      <c r="B10" s="65" t="s">
        <v>58</v>
      </c>
      <c r="C10" s="66"/>
      <c r="D10" s="67"/>
      <c r="F10" s="66"/>
      <c r="G10" s="66"/>
      <c r="H10" s="66"/>
      <c r="I10" s="66"/>
    </row>
    <row r="11" spans="2:10" ht="17.25" customHeight="1" x14ac:dyDescent="0.4">
      <c r="C11" s="68" t="s">
        <v>59</v>
      </c>
      <c r="D11" s="68" t="s">
        <v>60</v>
      </c>
      <c r="E11" s="69" t="s">
        <v>61</v>
      </c>
      <c r="F11" s="68"/>
      <c r="G11" s="68"/>
      <c r="H11" s="68"/>
      <c r="I11" s="68"/>
    </row>
    <row r="12" spans="2:10" x14ac:dyDescent="0.25">
      <c r="B12" s="70" t="s">
        <v>62</v>
      </c>
      <c r="C12" s="71">
        <f>D7</f>
        <v>46184</v>
      </c>
      <c r="D12" s="249">
        <f>D4</f>
        <v>46022</v>
      </c>
      <c r="E12" s="249">
        <f>EOMONTH(D12,12)</f>
        <v>46387</v>
      </c>
      <c r="F12" s="249">
        <f>EOMONTH(E12,12)</f>
        <v>46752</v>
      </c>
      <c r="G12" s="249">
        <f t="shared" ref="G12:I12" si="0">EOMONTH(F12,12)</f>
        <v>47118</v>
      </c>
      <c r="H12" s="249">
        <f t="shared" si="0"/>
        <v>47483</v>
      </c>
      <c r="I12" s="249">
        <f t="shared" si="0"/>
        <v>47848</v>
      </c>
    </row>
    <row r="13" spans="2:10" x14ac:dyDescent="0.25">
      <c r="B13" s="70"/>
      <c r="D13" s="184"/>
      <c r="E13" s="191"/>
      <c r="F13" s="191"/>
      <c r="G13" s="191"/>
      <c r="H13" s="191"/>
      <c r="I13" s="190"/>
    </row>
    <row r="14" spans="2:10" x14ac:dyDescent="0.25">
      <c r="B14" s="54" t="s">
        <v>63</v>
      </c>
      <c r="C14" s="162">
        <f>E14*(1-$D$8)+D14*$D$8</f>
        <v>84783433975.653336</v>
      </c>
      <c r="D14" s="185">
        <f>FSM!F16</f>
        <v>76597057544</v>
      </c>
      <c r="E14" s="185">
        <f>FSM!G16</f>
        <v>95016404515.220001</v>
      </c>
      <c r="F14" s="185">
        <f>FSM!H16</f>
        <v>111677425327.82851</v>
      </c>
      <c r="G14" s="185">
        <f>FSM!I16</f>
        <v>126235910873.1221</v>
      </c>
      <c r="H14" s="185">
        <f>FSM!J16</f>
        <v>140149350192.44565</v>
      </c>
      <c r="I14" s="185">
        <f>FSM!K16</f>
        <v>154875598796.14084</v>
      </c>
    </row>
    <row r="15" spans="2:10" x14ac:dyDescent="0.25">
      <c r="B15" s="74" t="s">
        <v>41</v>
      </c>
      <c r="C15"/>
      <c r="D15" s="186"/>
      <c r="E15" s="186">
        <f>E14/D14-1</f>
        <v>0.2404706859743182</v>
      </c>
      <c r="F15" s="186"/>
      <c r="G15" s="186"/>
      <c r="H15" s="186"/>
      <c r="I15" s="186"/>
    </row>
    <row r="16" spans="2:10" x14ac:dyDescent="0.25">
      <c r="B16" s="54" t="s">
        <v>24</v>
      </c>
      <c r="C16" s="162">
        <f>E16*(1-$D$8)+D16*$D$8</f>
        <v>4097939306.315556</v>
      </c>
      <c r="D16" s="185">
        <f>FSM!F41</f>
        <v>3962215703</v>
      </c>
      <c r="E16" s="185">
        <f>FSM!G41</f>
        <v>4267593810.460001</v>
      </c>
      <c r="F16" s="185">
        <f>FSM!H41</f>
        <v>5015911636.8248568</v>
      </c>
      <c r="G16" s="185">
        <f>FSM!I41</f>
        <v>5669795596.3343334</v>
      </c>
      <c r="H16" s="185">
        <f>FSM!J41</f>
        <v>6294707766.2306881</v>
      </c>
      <c r="I16" s="185">
        <f>FSM!K41</f>
        <v>6956126683.4489069</v>
      </c>
    </row>
    <row r="17" spans="2:13" x14ac:dyDescent="0.25">
      <c r="B17" s="74" t="s">
        <v>64</v>
      </c>
      <c r="C17"/>
      <c r="D17" s="186">
        <f t="shared" ref="D17" si="1">D16/D14</f>
        <v>5.1728040606833572E-2</v>
      </c>
      <c r="E17" s="186">
        <f t="shared" ref="E17" si="2">E16/E14</f>
        <v>4.49142843515659E-2</v>
      </c>
      <c r="F17" s="186">
        <f t="shared" ref="F17" si="3">F16/F14</f>
        <v>4.4914284351565893E-2</v>
      </c>
      <c r="G17" s="186">
        <f t="shared" ref="G17" si="4">G16/G14</f>
        <v>4.4914284351565879E-2</v>
      </c>
      <c r="H17" s="186">
        <f t="shared" ref="H17" si="5">H16/H14</f>
        <v>4.4914284351565879E-2</v>
      </c>
      <c r="I17" s="186">
        <f t="shared" ref="I17" si="6">I16/I14</f>
        <v>4.49142843515659E-2</v>
      </c>
    </row>
    <row r="18" spans="2:13" x14ac:dyDescent="0.25">
      <c r="B18" s="54" t="s">
        <v>65</v>
      </c>
      <c r="C18" s="162">
        <f>E18*(1-$D$8)+D18*$D$8</f>
        <v>3713902368.3649907</v>
      </c>
      <c r="D18" s="185">
        <f>FSM!F26</f>
        <v>3613452963</v>
      </c>
      <c r="E18" s="185">
        <f>FSM!G26</f>
        <v>3839464125.071229</v>
      </c>
      <c r="F18" s="185">
        <f>FSM!H26</f>
        <v>4512709887.4577513</v>
      </c>
      <c r="G18" s="185">
        <f>FSM!I26</f>
        <v>5100995491.945857</v>
      </c>
      <c r="H18" s="185">
        <f>FSM!J26</f>
        <v>5663215788.4878216</v>
      </c>
      <c r="I18" s="185">
        <f>FSM!K26</f>
        <v>6258280435.4742403</v>
      </c>
    </row>
    <row r="19" spans="2:13" x14ac:dyDescent="0.25">
      <c r="B19" s="74" t="s">
        <v>64</v>
      </c>
      <c r="D19" s="186">
        <f>D18/D14</f>
        <v>4.7174827321849896E-2</v>
      </c>
      <c r="E19" s="186">
        <f t="shared" ref="E19:I19" si="7">E18/E14</f>
        <v>4.0408434150507266E-2</v>
      </c>
      <c r="F19" s="186">
        <f t="shared" si="7"/>
        <v>4.0408434150507273E-2</v>
      </c>
      <c r="G19" s="186">
        <f t="shared" si="7"/>
        <v>4.0408434150507253E-2</v>
      </c>
      <c r="H19" s="186">
        <f t="shared" si="7"/>
        <v>4.0408434150507259E-2</v>
      </c>
      <c r="I19" s="186">
        <f t="shared" si="7"/>
        <v>4.0408434150507273E-2</v>
      </c>
    </row>
    <row r="20" spans="2:13" x14ac:dyDescent="0.25">
      <c r="B20" s="74"/>
      <c r="D20" s="185"/>
      <c r="E20" s="185"/>
      <c r="F20" s="185"/>
      <c r="G20" s="185"/>
      <c r="H20" s="185"/>
      <c r="I20" s="185"/>
    </row>
    <row r="21" spans="2:13" x14ac:dyDescent="0.25">
      <c r="B21" s="54" t="s">
        <v>66</v>
      </c>
      <c r="D21" s="187">
        <f>D18*D22</f>
        <v>420462112.06757677</v>
      </c>
      <c r="E21" s="187">
        <f t="shared" ref="E21:I21" si="8">E18*E22</f>
        <v>863879428.1410265</v>
      </c>
      <c r="F21" s="187">
        <f t="shared" si="8"/>
        <v>1015359724.677994</v>
      </c>
      <c r="G21" s="187">
        <f t="shared" si="8"/>
        <v>1147723985.6878178</v>
      </c>
      <c r="H21" s="187">
        <f t="shared" si="8"/>
        <v>1274223552.40976</v>
      </c>
      <c r="I21" s="187">
        <f t="shared" si="8"/>
        <v>1408113097.981704</v>
      </c>
    </row>
    <row r="22" spans="2:13" ht="15" customHeight="1" x14ac:dyDescent="0.25">
      <c r="B22" s="74" t="s">
        <v>26</v>
      </c>
      <c r="D22" s="188">
        <f>FSM!F57</f>
        <v>0.11636020072017103</v>
      </c>
      <c r="E22" s="188">
        <f>FSM!G57</f>
        <v>0.22500000000000001</v>
      </c>
      <c r="F22" s="188">
        <f>FSM!H57</f>
        <v>0.22500000000000001</v>
      </c>
      <c r="G22" s="188">
        <f>FSM!I57</f>
        <v>0.22500000000000001</v>
      </c>
      <c r="H22" s="188">
        <f>FSM!J57</f>
        <v>0.22500000000000001</v>
      </c>
      <c r="I22" s="188">
        <f>FSM!K57</f>
        <v>0.22500000000000001</v>
      </c>
    </row>
    <row r="23" spans="2:13" x14ac:dyDescent="0.25">
      <c r="B23" s="75" t="s">
        <v>67</v>
      </c>
      <c r="C23" s="75"/>
      <c r="D23" s="189">
        <f>D18*(1-D22)</f>
        <v>3192990850.9324231</v>
      </c>
      <c r="E23" s="189">
        <f t="shared" ref="E23:I23" si="9">E18*(1-E22)</f>
        <v>2975584696.9302025</v>
      </c>
      <c r="F23" s="189">
        <f t="shared" si="9"/>
        <v>3497350162.7797575</v>
      </c>
      <c r="G23" s="189">
        <f t="shared" si="9"/>
        <v>3953271506.2580395</v>
      </c>
      <c r="H23" s="189">
        <f t="shared" si="9"/>
        <v>4388992236.0780621</v>
      </c>
      <c r="I23" s="189">
        <f t="shared" si="9"/>
        <v>4850167337.4925365</v>
      </c>
    </row>
    <row r="24" spans="2:13" x14ac:dyDescent="0.25">
      <c r="D24" s="72"/>
      <c r="E24" s="72"/>
      <c r="F24" s="72"/>
      <c r="G24" s="72"/>
      <c r="H24" s="72"/>
      <c r="I24" s="72"/>
    </row>
    <row r="25" spans="2:13" x14ac:dyDescent="0.25">
      <c r="B25" s="54" t="s">
        <v>23</v>
      </c>
      <c r="D25" s="73">
        <f>FSM!F177</f>
        <v>348762740</v>
      </c>
      <c r="E25" s="73">
        <f>FSM!G177</f>
        <v>428129685.38877177</v>
      </c>
      <c r="F25" s="73">
        <f>FSM!H177</f>
        <v>503201749.36710578</v>
      </c>
      <c r="G25" s="73">
        <f>FSM!I177</f>
        <v>568800104.38847613</v>
      </c>
      <c r="H25" s="73">
        <f>FSM!J177</f>
        <v>631491977.74286699</v>
      </c>
      <c r="I25" s="73">
        <f>FSM!K177</f>
        <v>697846247.97466636</v>
      </c>
      <c r="M25" s="77"/>
    </row>
    <row r="26" spans="2:13" x14ac:dyDescent="0.25">
      <c r="B26" s="54" t="s">
        <v>68</v>
      </c>
      <c r="D26" s="72"/>
      <c r="E26" s="72">
        <f>D32-E32</f>
        <v>-421312910.76195526</v>
      </c>
      <c r="F26" s="72">
        <f t="shared" ref="F26:I26" si="10">E32-F32</f>
        <v>-927405822.39302063</v>
      </c>
      <c r="G26" s="72">
        <f t="shared" si="10"/>
        <v>-838262789.79929352</v>
      </c>
      <c r="H26" s="72">
        <f t="shared" si="10"/>
        <v>-783153903.86800385</v>
      </c>
      <c r="I26" s="72">
        <f t="shared" si="10"/>
        <v>-806337371.13847351</v>
      </c>
      <c r="M26" s="77"/>
    </row>
    <row r="27" spans="2:13" x14ac:dyDescent="0.25">
      <c r="B27" s="54" t="s">
        <v>69</v>
      </c>
      <c r="D27" s="73">
        <f>-(FSM!F166+FSM!F269+FSM!F280)</f>
        <v>-1215452519</v>
      </c>
      <c r="E27" s="73">
        <f>-(FSM!G166+FSM!G269+FSM!G280)</f>
        <v>-1493278539.9104352</v>
      </c>
      <c r="F27" s="73">
        <f>-(FSM!H166+FSM!H269+FSM!H280)</f>
        <v>-1755123270.400991</v>
      </c>
      <c r="G27" s="73">
        <f>-(FSM!I166+FSM!I269+FSM!I280)</f>
        <v>-1983924540.5532501</v>
      </c>
      <c r="H27" s="73">
        <f>-(FSM!J166+FSM!J269+FSM!J280)</f>
        <v>-2202588259.2857757</v>
      </c>
      <c r="I27" s="73">
        <f>-(FSM!K166+FSM!K269+FSM!K280)</f>
        <v>-2434026094.9466858</v>
      </c>
      <c r="M27" s="77"/>
    </row>
    <row r="28" spans="2:13" x14ac:dyDescent="0.25">
      <c r="B28" s="74" t="s">
        <v>38</v>
      </c>
      <c r="D28" s="1">
        <f>D27/D14</f>
        <v>-1.58681359045914E-2</v>
      </c>
      <c r="E28" s="1">
        <f t="shared" ref="E28:I28" si="11">E27/E14</f>
        <v>-1.5716007646566311E-2</v>
      </c>
      <c r="F28" s="1">
        <f t="shared" si="11"/>
        <v>-1.5716007646566311E-2</v>
      </c>
      <c r="G28" s="1">
        <f t="shared" si="11"/>
        <v>-1.5716007646566308E-2</v>
      </c>
      <c r="H28" s="1">
        <f t="shared" si="11"/>
        <v>-1.5716007646566311E-2</v>
      </c>
      <c r="I28" s="1">
        <f t="shared" si="11"/>
        <v>-1.5716007646566311E-2</v>
      </c>
      <c r="M28" s="77"/>
    </row>
    <row r="29" spans="2:13" x14ac:dyDescent="0.25">
      <c r="B29" s="226"/>
      <c r="D29" s="73"/>
      <c r="E29" s="73"/>
      <c r="F29" s="73"/>
      <c r="G29" s="73"/>
      <c r="H29" s="73"/>
      <c r="I29" s="73"/>
      <c r="M29" s="77"/>
    </row>
    <row r="30" spans="2:13" x14ac:dyDescent="0.25">
      <c r="B30" s="75" t="s">
        <v>70</v>
      </c>
      <c r="C30" s="75"/>
      <c r="D30" s="76"/>
      <c r="E30" s="76">
        <f>E23+E25+E26+E27</f>
        <v>1489122931.646584</v>
      </c>
      <c r="F30" s="76">
        <f t="shared" ref="F30:I30" si="12">F23+F25+F26+F27</f>
        <v>1318022819.3528519</v>
      </c>
      <c r="G30" s="76">
        <f t="shared" si="12"/>
        <v>1699884280.2939723</v>
      </c>
      <c r="H30" s="76">
        <f t="shared" si="12"/>
        <v>2034742050.6671491</v>
      </c>
      <c r="I30" s="76">
        <f t="shared" si="12"/>
        <v>2307650119.3820438</v>
      </c>
      <c r="M30" s="76"/>
    </row>
    <row r="31" spans="2:13" x14ac:dyDescent="0.25">
      <c r="D31" s="73"/>
      <c r="E31" s="73"/>
      <c r="F31" s="73"/>
      <c r="G31" s="73"/>
      <c r="H31" s="73"/>
      <c r="I31" s="73"/>
      <c r="M31" s="77"/>
    </row>
    <row r="32" spans="2:13" x14ac:dyDescent="0.25">
      <c r="B32" s="54" t="s">
        <v>71</v>
      </c>
      <c r="C32" s="73"/>
      <c r="D32" s="73">
        <f>FSM!F216</f>
        <v>5179641742</v>
      </c>
      <c r="E32" s="73">
        <f>FSM!G216</f>
        <v>5600954652.7619553</v>
      </c>
      <c r="F32" s="73">
        <f>FSM!H216</f>
        <v>6528360475.1549759</v>
      </c>
      <c r="G32" s="73">
        <f>FSM!I216</f>
        <v>7366623264.9542694</v>
      </c>
      <c r="H32" s="73">
        <f>FSM!J216</f>
        <v>8149777168.8222733</v>
      </c>
      <c r="I32" s="73">
        <f>FSM!K216</f>
        <v>8956114539.9607468</v>
      </c>
    </row>
    <row r="33" spans="2:13" x14ac:dyDescent="0.25">
      <c r="B33" s="74" t="s">
        <v>38</v>
      </c>
      <c r="D33" s="63">
        <f>D32/D14</f>
        <v>6.7621941469809529E-2</v>
      </c>
      <c r="E33" s="63">
        <f t="shared" ref="E33:I33" si="13">E32/E14</f>
        <v>5.8947238440966034E-2</v>
      </c>
      <c r="F33" s="63">
        <f t="shared" si="13"/>
        <v>5.8457297488646497E-2</v>
      </c>
      <c r="G33" s="63">
        <f t="shared" si="13"/>
        <v>5.8356003565089784E-2</v>
      </c>
      <c r="H33" s="63">
        <f t="shared" si="13"/>
        <v>5.8150659690048026E-2</v>
      </c>
      <c r="I33" s="63">
        <f t="shared" si="13"/>
        <v>5.7827796047778143E-2</v>
      </c>
      <c r="J33" s="73"/>
    </row>
    <row r="34" spans="2:13" x14ac:dyDescent="0.25">
      <c r="D34"/>
      <c r="E34" s="63"/>
      <c r="F34" s="63"/>
      <c r="G34" s="63"/>
      <c r="H34" s="63"/>
      <c r="I34" s="63"/>
      <c r="J34" s="73"/>
      <c r="K34" s="78"/>
      <c r="M34" s="63"/>
    </row>
    <row r="35" spans="2:13" x14ac:dyDescent="0.25">
      <c r="B35" s="65" t="str">
        <f>"Present value of UFCF on "&amp;TEXT(D7,"mmm dd, yyyy")&amp;" valuation date"</f>
        <v>Present value of UFCF on Jun 11, 2026 valuation date</v>
      </c>
      <c r="C35" s="66"/>
      <c r="D35" s="79"/>
      <c r="E35" s="66"/>
      <c r="F35" s="79"/>
      <c r="G35" s="79"/>
      <c r="H35" s="79"/>
      <c r="I35" s="79"/>
      <c r="J35" s="73"/>
    </row>
    <row r="36" spans="2:13" ht="17.25" x14ac:dyDescent="0.4">
      <c r="B36" s="75"/>
      <c r="D36" s="80" t="s">
        <v>72</v>
      </c>
      <c r="E36" s="80" t="s">
        <v>73</v>
      </c>
      <c r="F36" s="81" t="s">
        <v>74</v>
      </c>
      <c r="G36" s="81" t="s">
        <v>75</v>
      </c>
      <c r="H36" s="81" t="s">
        <v>76</v>
      </c>
      <c r="I36" s="81" t="s">
        <v>77</v>
      </c>
      <c r="J36" s="73"/>
    </row>
    <row r="37" spans="2:13" x14ac:dyDescent="0.25">
      <c r="B37" s="54" t="s">
        <v>78</v>
      </c>
      <c r="D37" s="82">
        <f>D7</f>
        <v>46184</v>
      </c>
      <c r="E37" s="163">
        <f>IF($H$9=1,AVERAGE(E12,D37),E12)</f>
        <v>46285.5</v>
      </c>
      <c r="F37" s="163">
        <f>IF($H$9=1,AVERAGE(F12,E12),F12)</f>
        <v>46569.5</v>
      </c>
      <c r="G37" s="163">
        <f>IF($H$9=1,AVERAGE(G12,F12),G12)</f>
        <v>46935</v>
      </c>
      <c r="H37" s="163">
        <f>IF($H$9=1,AVERAGE(H12,G12),H12)</f>
        <v>47300.5</v>
      </c>
      <c r="I37" s="163">
        <f>IF($H$9=1,AVERAGE(I12,H12),I12)</f>
        <v>47665.5</v>
      </c>
      <c r="J37" s="73"/>
    </row>
    <row r="38" spans="2:13" x14ac:dyDescent="0.25">
      <c r="B38" s="54" t="s">
        <v>79</v>
      </c>
      <c r="C38" s="83">
        <f>D8</f>
        <v>0.55555555555555558</v>
      </c>
      <c r="D38" s="77"/>
      <c r="E38" s="84">
        <f>E30*C38</f>
        <v>827290517.58143556</v>
      </c>
      <c r="F38" s="84">
        <f>F30</f>
        <v>1318022819.3528519</v>
      </c>
      <c r="G38" s="84">
        <f t="shared" ref="G38:I38" si="14">G30</f>
        <v>1699884280.2939723</v>
      </c>
      <c r="H38" s="84">
        <f t="shared" si="14"/>
        <v>2034742050.6671491</v>
      </c>
      <c r="I38" s="84">
        <f t="shared" si="14"/>
        <v>2307650119.3820438</v>
      </c>
      <c r="J38" s="72"/>
    </row>
    <row r="39" spans="2:13" ht="15" customHeight="1" x14ac:dyDescent="0.25">
      <c r="B39" s="75" t="s">
        <v>80</v>
      </c>
      <c r="C39" s="85"/>
      <c r="D39" s="76"/>
      <c r="E39" s="76">
        <f>E38/(1+$H$4)^((E37-$D$37)/365)</f>
        <v>784729285.67204535</v>
      </c>
      <c r="F39" s="76">
        <f t="shared" ref="F39:I39" si="15">F38/(1+$H$4)^((F37-$D$37)/365)</f>
        <v>1078457465.9046512</v>
      </c>
      <c r="G39" s="76">
        <f t="shared" si="15"/>
        <v>1150004080.0445509</v>
      </c>
      <c r="H39" s="76">
        <f t="shared" si="15"/>
        <v>1138123302.3948767</v>
      </c>
      <c r="I39" s="76">
        <f t="shared" si="15"/>
        <v>1067487615.2175735</v>
      </c>
      <c r="J39" s="72"/>
    </row>
    <row r="41" spans="2:13" x14ac:dyDescent="0.25">
      <c r="B41" s="65" t="s">
        <v>81</v>
      </c>
      <c r="C41" s="65"/>
      <c r="E41" s="65" t="s">
        <v>82</v>
      </c>
      <c r="F41" s="66"/>
      <c r="G41" s="66"/>
      <c r="H41" s="66"/>
      <c r="I41" s="66"/>
    </row>
    <row r="42" spans="2:13" x14ac:dyDescent="0.25">
      <c r="B42" s="54" t="s">
        <v>83</v>
      </c>
      <c r="C42" s="86">
        <v>0.1</v>
      </c>
      <c r="E42" s="54" t="s">
        <v>84</v>
      </c>
      <c r="I42" s="77">
        <f>I16</f>
        <v>6956126683.4489069</v>
      </c>
      <c r="J42" s="77"/>
    </row>
    <row r="43" spans="2:13" x14ac:dyDescent="0.25">
      <c r="B43" s="87" t="str">
        <f>YEAR(I12)&amp;" FCF x (1+g)"</f>
        <v>2030 FCF x (1+g)</v>
      </c>
      <c r="C43" s="77">
        <f>I38*(1+C42)</f>
        <v>2538415131.3202486</v>
      </c>
      <c r="E43" s="54" t="s">
        <v>85</v>
      </c>
      <c r="I43" s="88">
        <v>3.3</v>
      </c>
      <c r="J43" s="88"/>
    </row>
    <row r="44" spans="2:13" x14ac:dyDescent="0.25">
      <c r="B44" s="54" t="str">
        <f>"Terminal value in "&amp;YEAR(I12)</f>
        <v>Terminal value in 2030</v>
      </c>
      <c r="C44" s="77">
        <f>C43/(H4-C42)</f>
        <v>23252120335.109978</v>
      </c>
      <c r="E44" s="54" t="str">
        <f>"Terminal value in "&amp;YEAR(I12)</f>
        <v>Terminal value in 2030</v>
      </c>
      <c r="I44" s="77">
        <f>I42*I43</f>
        <v>22955218055.381393</v>
      </c>
      <c r="J44" s="77"/>
    </row>
    <row r="45" spans="2:13" x14ac:dyDescent="0.25">
      <c r="B45" s="54" t="s">
        <v>86</v>
      </c>
      <c r="C45" s="77">
        <f>C44/(1+$H$4)^((I37-$D$37)/365)</f>
        <v>10756115182.628035</v>
      </c>
      <c r="E45" s="54" t="s">
        <v>86</v>
      </c>
      <c r="I45" s="77">
        <f>I44/(1+$H$4)^((I37-$D$37)/365)</f>
        <v>10618772218.9447</v>
      </c>
      <c r="J45" s="77"/>
    </row>
    <row r="46" spans="2:13" x14ac:dyDescent="0.25">
      <c r="B46" s="54" t="s">
        <v>87</v>
      </c>
      <c r="C46" s="72">
        <f>SUM(E39:I39)</f>
        <v>5218801749.2336969</v>
      </c>
      <c r="E46" s="54" t="s">
        <v>87</v>
      </c>
      <c r="I46" s="77">
        <f>C46</f>
        <v>5218801749.2336969</v>
      </c>
      <c r="J46" s="77"/>
    </row>
    <row r="47" spans="2:13" x14ac:dyDescent="0.25">
      <c r="B47" s="75" t="s">
        <v>88</v>
      </c>
      <c r="C47" s="89">
        <f>C45+C46</f>
        <v>15974916931.861732</v>
      </c>
      <c r="E47" s="75" t="s">
        <v>89</v>
      </c>
      <c r="I47" s="89">
        <f>I45+I46</f>
        <v>15837573968.178398</v>
      </c>
      <c r="J47" s="89"/>
    </row>
    <row r="49" spans="2:10" x14ac:dyDescent="0.25">
      <c r="B49" s="90" t="s">
        <v>90</v>
      </c>
      <c r="C49" s="91">
        <f>C45/C47</f>
        <v>0.67331274575676348</v>
      </c>
      <c r="E49" s="90" t="s">
        <v>90</v>
      </c>
      <c r="I49" s="91">
        <f>I45/I47</f>
        <v>0.67047972374307074</v>
      </c>
      <c r="J49" s="91"/>
    </row>
    <row r="50" spans="2:10" x14ac:dyDescent="0.25">
      <c r="B50" s="90" t="s">
        <v>91</v>
      </c>
      <c r="C50" s="91">
        <f>1-C49</f>
        <v>0.32668725424323652</v>
      </c>
      <c r="E50" s="90" t="s">
        <v>92</v>
      </c>
      <c r="G50" s="92"/>
      <c r="I50" s="93">
        <f>1-I49</f>
        <v>0.32952027625692926</v>
      </c>
      <c r="J50" s="93"/>
    </row>
    <row r="51" spans="2:10" x14ac:dyDescent="0.25">
      <c r="B51" s="90" t="s">
        <v>93</v>
      </c>
      <c r="C51" s="94">
        <f>C44/I16</f>
        <v>3.342682126597122</v>
      </c>
      <c r="E51" s="54" t="s">
        <v>94</v>
      </c>
      <c r="I51" s="231">
        <f>(H4-I38/I44)/(1+I38/I44)</f>
        <v>9.8716987278849588E-2</v>
      </c>
      <c r="J51" s="95"/>
    </row>
    <row r="52" spans="2:10" x14ac:dyDescent="0.25">
      <c r="B52" s="90"/>
      <c r="C52" s="70"/>
      <c r="D52" s="94"/>
      <c r="I52" s="95"/>
      <c r="J52" s="95"/>
    </row>
    <row r="53" spans="2:10" x14ac:dyDescent="0.25">
      <c r="B53" s="65" t="s">
        <v>95</v>
      </c>
      <c r="C53" s="66"/>
      <c r="E53" s="65" t="s">
        <v>30</v>
      </c>
      <c r="F53" s="66"/>
      <c r="G53" s="65"/>
      <c r="H53" s="66"/>
      <c r="I53" s="66"/>
    </row>
    <row r="54" spans="2:10" x14ac:dyDescent="0.25">
      <c r="B54" s="54" t="s">
        <v>96</v>
      </c>
      <c r="C54" s="199" t="s">
        <v>196</v>
      </c>
    </row>
    <row r="55" spans="2:10" x14ac:dyDescent="0.25">
      <c r="B55" s="96" t="s">
        <v>97</v>
      </c>
      <c r="C55" s="61" t="s">
        <v>197</v>
      </c>
      <c r="G55" s="97" t="s">
        <v>96</v>
      </c>
      <c r="H55" s="98" t="s">
        <v>98</v>
      </c>
      <c r="I55" s="98" t="s">
        <v>99</v>
      </c>
    </row>
    <row r="56" spans="2:10" x14ac:dyDescent="0.25">
      <c r="B56" s="99" t="s">
        <v>100</v>
      </c>
      <c r="C56" s="100"/>
      <c r="E56" s="54" t="s">
        <v>101</v>
      </c>
      <c r="G56" s="200" t="s">
        <v>202</v>
      </c>
      <c r="H56" s="61" t="s">
        <v>197</v>
      </c>
      <c r="I56" s="197">
        <v>1008000000</v>
      </c>
      <c r="J56" s="101"/>
    </row>
    <row r="57" spans="2:10" x14ac:dyDescent="0.25">
      <c r="B57" s="74" t="s">
        <v>102</v>
      </c>
      <c r="C57" s="103">
        <f>FSM!F231</f>
        <v>7212933306</v>
      </c>
      <c r="E57" s="96" t="s">
        <v>103</v>
      </c>
      <c r="G57" s="200"/>
      <c r="H57" s="61"/>
      <c r="I57" s="197">
        <v>0</v>
      </c>
      <c r="J57" s="102"/>
    </row>
    <row r="58" spans="2:10" x14ac:dyDescent="0.25">
      <c r="B58" s="74" t="s">
        <v>104</v>
      </c>
      <c r="C58" s="103">
        <v>0</v>
      </c>
      <c r="E58" s="96" t="s">
        <v>105</v>
      </c>
      <c r="G58" s="61"/>
      <c r="H58" s="61"/>
      <c r="I58" s="104">
        <v>0</v>
      </c>
    </row>
    <row r="59" spans="2:10" ht="15" customHeight="1" x14ac:dyDescent="0.25">
      <c r="B59" s="74" t="s">
        <v>106</v>
      </c>
      <c r="C59" s="103">
        <v>0</v>
      </c>
      <c r="E59" s="54" t="s">
        <v>104</v>
      </c>
      <c r="G59" s="61"/>
      <c r="H59" s="61"/>
      <c r="I59" s="104">
        <v>0</v>
      </c>
    </row>
    <row r="60" spans="2:10" x14ac:dyDescent="0.25">
      <c r="B60" s="105" t="s">
        <v>107</v>
      </c>
      <c r="C60" s="103">
        <f>FSM!F118</f>
        <v>63</v>
      </c>
      <c r="E60" s="54" t="s">
        <v>108</v>
      </c>
      <c r="G60" s="61"/>
      <c r="H60" s="61"/>
      <c r="I60" s="104">
        <v>0</v>
      </c>
    </row>
    <row r="61" spans="2:10" ht="15" customHeight="1" x14ac:dyDescent="0.25">
      <c r="B61" s="99" t="s">
        <v>109</v>
      </c>
      <c r="C61" s="103"/>
      <c r="E61" s="106" t="s">
        <v>110</v>
      </c>
      <c r="I61" s="198">
        <f>SUM(I56:I60)</f>
        <v>1008000000</v>
      </c>
      <c r="J61" s="107"/>
    </row>
    <row r="62" spans="2:10" x14ac:dyDescent="0.25">
      <c r="B62" s="108" t="s">
        <v>111</v>
      </c>
      <c r="C62" s="103">
        <f>FSM!F72</f>
        <v>920191502</v>
      </c>
      <c r="J62" s="109"/>
    </row>
    <row r="63" spans="2:10" x14ac:dyDescent="0.25">
      <c r="B63" s="108" t="s">
        <v>112</v>
      </c>
      <c r="C63" s="103">
        <f>FSM!F70+FSM!F68</f>
        <v>95001459</v>
      </c>
      <c r="J63" s="109"/>
    </row>
    <row r="64" spans="2:10" x14ac:dyDescent="0.25">
      <c r="B64" s="108" t="s">
        <v>187</v>
      </c>
      <c r="C64" s="103">
        <v>0</v>
      </c>
      <c r="J64" s="110"/>
    </row>
    <row r="65" spans="2:6" x14ac:dyDescent="0.25">
      <c r="B65" s="111" t="s">
        <v>95</v>
      </c>
      <c r="C65" s="14">
        <f>SUM(C57:C60)-SUM(C62:C64)</f>
        <v>6197740408</v>
      </c>
    </row>
    <row r="67" spans="2:6" x14ac:dyDescent="0.25">
      <c r="B67" s="65" t="s">
        <v>113</v>
      </c>
      <c r="C67" s="66"/>
      <c r="D67" s="66"/>
    </row>
    <row r="68" spans="2:6" ht="17.25" x14ac:dyDescent="0.4">
      <c r="C68" s="112" t="s">
        <v>114</v>
      </c>
      <c r="D68" s="112" t="s">
        <v>24</v>
      </c>
    </row>
    <row r="69" spans="2:6" x14ac:dyDescent="0.25">
      <c r="B69" s="54" t="s">
        <v>115</v>
      </c>
      <c r="C69" s="113">
        <f>C47</f>
        <v>15974916931.861732</v>
      </c>
      <c r="D69" s="113">
        <f>I47</f>
        <v>15837573968.178398</v>
      </c>
    </row>
    <row r="70" spans="2:6" x14ac:dyDescent="0.25">
      <c r="B70" s="54" t="s">
        <v>95</v>
      </c>
      <c r="C70" s="114">
        <f>$C$65</f>
        <v>6197740408</v>
      </c>
      <c r="D70" s="114">
        <f t="shared" ref="D70" si="16">$C$65</f>
        <v>6197740408</v>
      </c>
    </row>
    <row r="71" spans="2:6" x14ac:dyDescent="0.25">
      <c r="B71" s="54" t="s">
        <v>116</v>
      </c>
      <c r="C71" s="115">
        <f>C69-C70</f>
        <v>9777176523.8617325</v>
      </c>
      <c r="D71" s="115">
        <f t="shared" ref="D71" si="17">D69-D70</f>
        <v>9639833560.1783981</v>
      </c>
    </row>
    <row r="72" spans="2:6" x14ac:dyDescent="0.25">
      <c r="B72" s="54" t="s">
        <v>30</v>
      </c>
      <c r="C72" s="227">
        <f>$I$61</f>
        <v>1008000000</v>
      </c>
      <c r="D72" s="227">
        <f t="shared" ref="D72" si="18">$I$61</f>
        <v>1008000000</v>
      </c>
    </row>
    <row r="73" spans="2:6" x14ac:dyDescent="0.25">
      <c r="B73" s="75" t="s">
        <v>117</v>
      </c>
      <c r="C73" s="232">
        <f>C71/C72</f>
        <v>9.6995798847834642</v>
      </c>
      <c r="D73" s="232">
        <f t="shared" ref="D73" si="19">D71/D72</f>
        <v>9.5633269446214264</v>
      </c>
    </row>
    <row r="75" spans="2:6" ht="17.25" x14ac:dyDescent="0.4">
      <c r="C75" s="68" t="s">
        <v>118</v>
      </c>
      <c r="D75" s="68"/>
    </row>
    <row r="76" spans="2:6" x14ac:dyDescent="0.25">
      <c r="B76" s="97"/>
      <c r="C76" s="98" t="s">
        <v>114</v>
      </c>
      <c r="D76" s="98" t="s">
        <v>24</v>
      </c>
    </row>
    <row r="77" spans="2:6" x14ac:dyDescent="0.25">
      <c r="B77" s="54" t="s">
        <v>119</v>
      </c>
      <c r="C77" s="255">
        <f>C69/$C$14</f>
        <v>0.1884202630486651</v>
      </c>
      <c r="D77" s="255">
        <f>D69/$C$14</f>
        <v>0.18680033616857702</v>
      </c>
    </row>
    <row r="78" spans="2:6" x14ac:dyDescent="0.25">
      <c r="B78" s="54" t="s">
        <v>120</v>
      </c>
      <c r="C78" s="256">
        <f>C69/$C$16</f>
        <v>3.8982805107049594</v>
      </c>
      <c r="D78" s="256">
        <f t="shared" ref="D78" si="20">D69/$C$16</f>
        <v>3.8647653819006678</v>
      </c>
    </row>
    <row r="79" spans="2:6" x14ac:dyDescent="0.25">
      <c r="B79" s="72" t="s">
        <v>121</v>
      </c>
      <c r="C79" s="256">
        <f>C69/$C$18</f>
        <v>4.301383113335457</v>
      </c>
      <c r="D79" s="256">
        <f t="shared" ref="D79" si="21">D69/$C$18</f>
        <v>4.2644023448442816</v>
      </c>
    </row>
    <row r="80" spans="2:6" ht="17.25" x14ac:dyDescent="0.4">
      <c r="B80" s="72"/>
      <c r="C80" s="68" t="s">
        <v>122</v>
      </c>
      <c r="D80" s="68"/>
      <c r="E80" s="116"/>
      <c r="F80" s="116"/>
    </row>
    <row r="81" spans="2:17" x14ac:dyDescent="0.25">
      <c r="B81" s="97"/>
      <c r="C81" s="98" t="s">
        <v>114</v>
      </c>
      <c r="D81" s="98" t="s">
        <v>24</v>
      </c>
      <c r="E81" s="116"/>
      <c r="F81" s="116"/>
    </row>
    <row r="82" spans="2:17" x14ac:dyDescent="0.25">
      <c r="B82" s="54" t="s">
        <v>119</v>
      </c>
      <c r="C82" s="255">
        <f>C69/$D$14</f>
        <v>0.20855784078500911</v>
      </c>
      <c r="D82" s="255">
        <f>D69/$D$14</f>
        <v>0.20676478282577301</v>
      </c>
      <c r="E82" s="116"/>
      <c r="F82" s="116"/>
    </row>
    <row r="83" spans="2:17" x14ac:dyDescent="0.25">
      <c r="B83" s="54" t="s">
        <v>120</v>
      </c>
      <c r="C83" s="256">
        <f>C69/$D$16</f>
        <v>4.0318140478233655</v>
      </c>
      <c r="D83" s="256">
        <f t="shared" ref="D83" si="22">D69/$D$16</f>
        <v>3.9971508760078218</v>
      </c>
      <c r="E83" s="116"/>
      <c r="F83" s="116"/>
    </row>
    <row r="84" spans="2:17" x14ac:dyDescent="0.25">
      <c r="B84" s="72" t="s">
        <v>121</v>
      </c>
      <c r="C84" s="256">
        <f>C69/$D$18</f>
        <v>4.4209561036042553</v>
      </c>
      <c r="D84" s="256">
        <f t="shared" ref="D84" si="23">D69/$D$18</f>
        <v>4.3829473166933264</v>
      </c>
      <c r="E84" s="116"/>
      <c r="F84" s="116"/>
    </row>
    <row r="86" spans="2:17" x14ac:dyDescent="0.25">
      <c r="B86" s="65" t="s">
        <v>123</v>
      </c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</row>
    <row r="87" spans="2:17" x14ac:dyDescent="0.25">
      <c r="B87" s="75"/>
    </row>
    <row r="88" spans="2:17" ht="17.25" customHeight="1" x14ac:dyDescent="0.4">
      <c r="B88" s="117"/>
      <c r="C88" s="75"/>
      <c r="D88" s="118" t="s">
        <v>117</v>
      </c>
      <c r="E88" s="68"/>
      <c r="F88" s="68"/>
      <c r="G88" s="68"/>
      <c r="H88" s="68"/>
      <c r="I88" s="68"/>
      <c r="J88" s="119"/>
      <c r="L88" s="118" t="s">
        <v>124</v>
      </c>
      <c r="M88" s="68"/>
      <c r="N88" s="68"/>
      <c r="O88" s="68"/>
      <c r="P88" s="68"/>
      <c r="Q88" s="68"/>
    </row>
    <row r="89" spans="2:17" ht="15" customHeight="1" x14ac:dyDescent="0.25">
      <c r="B89" s="117"/>
      <c r="D89" s="96"/>
      <c r="E89" s="120" t="s">
        <v>125</v>
      </c>
      <c r="F89" s="120"/>
      <c r="G89" s="120"/>
      <c r="H89" s="120"/>
      <c r="I89" s="120"/>
      <c r="J89" s="121"/>
      <c r="L89" s="120" t="s">
        <v>125</v>
      </c>
      <c r="M89" s="120"/>
      <c r="N89" s="120"/>
      <c r="O89" s="120"/>
      <c r="P89" s="120"/>
      <c r="Q89" s="120"/>
    </row>
    <row r="90" spans="2:17" ht="15" customHeight="1" x14ac:dyDescent="0.25">
      <c r="B90" s="117"/>
      <c r="C90" s="122"/>
      <c r="D90" s="168">
        <f>C73</f>
        <v>9.6995798847834642</v>
      </c>
      <c r="E90" s="203">
        <f>F90-0.005</f>
        <v>0.09</v>
      </c>
      <c r="F90" s="204">
        <f>G90-0.005</f>
        <v>9.5000000000000001E-2</v>
      </c>
      <c r="G90" s="123">
        <f>$C$42</f>
        <v>0.1</v>
      </c>
      <c r="H90" s="204">
        <f>G90+0.005</f>
        <v>0.10500000000000001</v>
      </c>
      <c r="I90" s="233">
        <f>H90+0.005</f>
        <v>0.11000000000000001</v>
      </c>
      <c r="K90" s="127"/>
      <c r="L90" s="124">
        <f>C78</f>
        <v>3.8982805107049594</v>
      </c>
      <c r="M90" s="203">
        <f>N90-0.005</f>
        <v>0.09</v>
      </c>
      <c r="N90" s="204">
        <f>O90-0.005</f>
        <v>9.5000000000000001E-2</v>
      </c>
      <c r="O90" s="123">
        <f>$C$42</f>
        <v>0.1</v>
      </c>
      <c r="P90" s="204">
        <f>O90+0.005</f>
        <v>0.10500000000000001</v>
      </c>
      <c r="Q90" s="233">
        <f>P90+0.005</f>
        <v>0.11000000000000001</v>
      </c>
    </row>
    <row r="91" spans="2:17" ht="15" customHeight="1" x14ac:dyDescent="0.25">
      <c r="B91" s="117"/>
      <c r="D91" s="201">
        <f>D92+0.01</f>
        <v>0.22916918950773368</v>
      </c>
      <c r="E91" s="125">
        <f t="dataTable" ref="E91:I95" dt2D="1" dtr="1" r1="C42" r2="H4" ca="1"/>
        <v>6.6056691015690037</v>
      </c>
      <c r="F91" s="125">
        <v>6.3021749072234821</v>
      </c>
      <c r="G91" s="125">
        <v>6.3021749072234821</v>
      </c>
      <c r="H91" s="125">
        <v>6.6056691015690037</v>
      </c>
      <c r="I91" s="125">
        <v>7.2831450876899355</v>
      </c>
      <c r="J91" s="126"/>
      <c r="L91" s="201">
        <f>L92+0.01</f>
        <v>0.22916918950773368</v>
      </c>
      <c r="M91" s="127">
        <f t="dataTable" ref="M91:Q95" dt2D="1" dtr="1" r1="C42" r2="H4" ca="1"/>
        <v>3.137248724637792</v>
      </c>
      <c r="N91" s="127">
        <v>3.0625960455635037</v>
      </c>
      <c r="O91" s="127">
        <v>3.0625960455635037</v>
      </c>
      <c r="P91" s="127">
        <v>3.137248724637792</v>
      </c>
      <c r="Q91" s="127">
        <v>3.3038924308921649</v>
      </c>
    </row>
    <row r="92" spans="2:17" ht="15" customHeight="1" x14ac:dyDescent="0.25">
      <c r="B92" s="117"/>
      <c r="D92" s="201">
        <f>D93+0.01</f>
        <v>0.21916918950773367</v>
      </c>
      <c r="E92" s="125">
        <v>7.5784471838913205</v>
      </c>
      <c r="F92" s="125">
        <v>7.218195312260999</v>
      </c>
      <c r="G92" s="125">
        <v>7.218195312260999</v>
      </c>
      <c r="H92" s="125">
        <v>7.5784471838913205</v>
      </c>
      <c r="I92" s="125">
        <v>8.3896417860354866</v>
      </c>
      <c r="J92" s="126"/>
      <c r="L92" s="201">
        <f>L93+0.01</f>
        <v>0.21916918950773367</v>
      </c>
      <c r="M92" s="127">
        <v>3.3765300398758438</v>
      </c>
      <c r="N92" s="127">
        <v>3.2879162612277022</v>
      </c>
      <c r="O92" s="127">
        <v>3.2879162612277022</v>
      </c>
      <c r="P92" s="127">
        <v>3.3765300398758438</v>
      </c>
      <c r="Q92" s="127">
        <v>3.5760654887540499</v>
      </c>
    </row>
    <row r="93" spans="2:17" ht="15" customHeight="1" x14ac:dyDescent="0.25">
      <c r="B93" s="117"/>
      <c r="C93" s="122" t="s">
        <v>126</v>
      </c>
      <c r="D93" s="128">
        <f>WACC!$E$21</f>
        <v>0.20916918950773367</v>
      </c>
      <c r="E93" s="125">
        <v>8.7152848057570829</v>
      </c>
      <c r="F93" s="125">
        <v>8.2825901234459494</v>
      </c>
      <c r="G93" s="125">
        <v>8.2825901234459494</v>
      </c>
      <c r="H93" s="125">
        <v>8.7152848057570829</v>
      </c>
      <c r="I93" s="125">
        <v>9.6995798847834642</v>
      </c>
      <c r="J93" s="126"/>
      <c r="K93" s="122" t="s">
        <v>126</v>
      </c>
      <c r="L93" s="128">
        <f>WACC!$E$21</f>
        <v>0.20916918950773367</v>
      </c>
      <c r="M93" s="127">
        <v>3.6561662758431823</v>
      </c>
      <c r="N93" s="127">
        <v>3.5497332110348676</v>
      </c>
      <c r="O93" s="127">
        <v>3.5497332110348676</v>
      </c>
      <c r="P93" s="127">
        <v>3.6561662758431823</v>
      </c>
      <c r="Q93" s="127">
        <v>3.8982805107049594</v>
      </c>
    </row>
    <row r="94" spans="2:17" ht="15" customHeight="1" x14ac:dyDescent="0.25">
      <c r="B94" s="117"/>
      <c r="D94" s="201">
        <f t="shared" ref="D94:D95" si="24">D93-0.01</f>
        <v>0.19916918950773366</v>
      </c>
      <c r="E94" s="125">
        <v>10.061301215146655</v>
      </c>
      <c r="F94" s="125">
        <v>9.5343836662883721</v>
      </c>
      <c r="G94" s="125">
        <v>9.5343836662883721</v>
      </c>
      <c r="H94" s="125">
        <v>10.061301215146655</v>
      </c>
      <c r="I94" s="125">
        <v>11.274535885898105</v>
      </c>
      <c r="J94" s="126"/>
      <c r="L94" s="201">
        <f t="shared" ref="L94:L95" si="25">L93-0.01</f>
        <v>0.19916918950773366</v>
      </c>
      <c r="M94" s="127">
        <v>3.9872557428281312</v>
      </c>
      <c r="N94" s="127">
        <v>3.8576459927689752</v>
      </c>
      <c r="O94" s="127">
        <v>3.8576459927689752</v>
      </c>
      <c r="P94" s="127">
        <v>3.9872557428281312</v>
      </c>
      <c r="Q94" s="127">
        <v>4.2856839177483215</v>
      </c>
    </row>
    <row r="95" spans="2:17" ht="15" customHeight="1" x14ac:dyDescent="0.25">
      <c r="B95" s="129" t="s">
        <v>127</v>
      </c>
      <c r="D95" s="202">
        <f t="shared" si="24"/>
        <v>0.18916918950773365</v>
      </c>
      <c r="E95" s="125">
        <v>11.679816374691873</v>
      </c>
      <c r="F95" s="125">
        <v>11.027587110821218</v>
      </c>
      <c r="G95" s="125">
        <v>11.027587110821218</v>
      </c>
      <c r="H95" s="125">
        <v>11.679816374691873</v>
      </c>
      <c r="I95" s="125">
        <v>13.203710315316719</v>
      </c>
      <c r="J95" s="126"/>
      <c r="L95" s="202">
        <f t="shared" si="25"/>
        <v>0.18916918950773365</v>
      </c>
      <c r="M95" s="127">
        <v>4.3853737135621635</v>
      </c>
      <c r="N95" s="127">
        <v>4.2249401275965557</v>
      </c>
      <c r="O95" s="127">
        <v>4.2249401275965557</v>
      </c>
      <c r="P95" s="127">
        <v>4.3853737135621635</v>
      </c>
      <c r="Q95" s="127">
        <v>4.7602170134086261</v>
      </c>
    </row>
    <row r="96" spans="2:17" ht="15" customHeight="1" x14ac:dyDescent="0.25">
      <c r="B96" s="129" t="s">
        <v>128</v>
      </c>
      <c r="E96" s="130"/>
      <c r="F96" s="130"/>
      <c r="G96" s="130"/>
      <c r="H96" s="130"/>
      <c r="I96" s="130"/>
      <c r="J96" s="130"/>
    </row>
    <row r="97" spans="2:17" ht="17.25" customHeight="1" x14ac:dyDescent="0.4">
      <c r="B97" s="117"/>
      <c r="D97" s="118" t="s">
        <v>117</v>
      </c>
      <c r="E97" s="68"/>
      <c r="F97" s="68"/>
      <c r="G97" s="68"/>
      <c r="H97" s="68"/>
      <c r="I97" s="68"/>
      <c r="J97" s="119"/>
      <c r="L97" s="118" t="s">
        <v>124</v>
      </c>
      <c r="M97" s="68"/>
      <c r="N97" s="68"/>
      <c r="O97" s="68"/>
      <c r="P97" s="68"/>
      <c r="Q97" s="68"/>
    </row>
    <row r="98" spans="2:17" ht="15" customHeight="1" x14ac:dyDescent="0.25">
      <c r="B98" s="117"/>
      <c r="E98" s="120" t="s">
        <v>129</v>
      </c>
      <c r="F98" s="120"/>
      <c r="G98" s="120"/>
      <c r="H98" s="120"/>
      <c r="I98" s="120"/>
      <c r="J98" s="121"/>
      <c r="M98" s="120" t="s">
        <v>129</v>
      </c>
      <c r="N98" s="120"/>
      <c r="O98" s="120"/>
      <c r="P98" s="120"/>
      <c r="Q98" s="120"/>
    </row>
    <row r="99" spans="2:17" ht="15" customHeight="1" x14ac:dyDescent="0.25">
      <c r="B99" s="117"/>
      <c r="D99" s="169">
        <f>D73</f>
        <v>9.5633269446214264</v>
      </c>
      <c r="E99" s="170">
        <f>+F99-0.5</f>
        <v>2.2999999999999998</v>
      </c>
      <c r="F99" s="170">
        <f>+G99-0.5</f>
        <v>2.8</v>
      </c>
      <c r="G99" s="131">
        <f>$I$43</f>
        <v>3.3</v>
      </c>
      <c r="H99" s="170">
        <f>+G99+0.5</f>
        <v>3.8</v>
      </c>
      <c r="I99" s="235">
        <f>+H99+0.5</f>
        <v>4.3</v>
      </c>
      <c r="J99" s="234"/>
      <c r="L99" s="124">
        <f>D78</f>
        <v>3.8647653819006678</v>
      </c>
      <c r="M99" s="170">
        <f>+N99-0.5</f>
        <v>2.2999999999999998</v>
      </c>
      <c r="N99" s="170">
        <f>+O99-0.5</f>
        <v>2.8</v>
      </c>
      <c r="O99" s="131">
        <f>$I$43</f>
        <v>3.3</v>
      </c>
      <c r="P99" s="170">
        <f>+O99+0.5</f>
        <v>3.8</v>
      </c>
      <c r="Q99" s="235">
        <f>+P99+0.5</f>
        <v>4.3</v>
      </c>
    </row>
    <row r="100" spans="2:17" ht="15" customHeight="1" x14ac:dyDescent="0.25">
      <c r="B100" s="117"/>
      <c r="D100" s="201">
        <f>D101+0.01</f>
        <v>0.22916918950773368</v>
      </c>
      <c r="E100" s="125">
        <f t="dataTable" ref="E100:I104" dt2D="1" dtr="1" r1="I43" r2="H4" ca="1"/>
        <v>5.7148176052110609</v>
      </c>
      <c r="F100" s="125">
        <v>4.22150133490159</v>
      </c>
      <c r="G100" s="125">
        <v>4.22150133490159</v>
      </c>
      <c r="H100" s="125">
        <v>5.7148176052110609</v>
      </c>
      <c r="I100" s="125">
        <v>8.7014501458300018</v>
      </c>
      <c r="J100" s="126"/>
      <c r="L100" s="201">
        <f>L101+0.01</f>
        <v>0.22916918950773368</v>
      </c>
      <c r="M100" s="127">
        <f t="dataTable" ref="M100:Q104" dt2D="1" dtr="1" r1="I43" r2="H4" ca="1"/>
        <v>2.9181194888912101</v>
      </c>
      <c r="N100" s="127">
        <v>2.5507976014849945</v>
      </c>
      <c r="O100" s="127">
        <v>2.5507976014849945</v>
      </c>
      <c r="P100" s="127">
        <v>2.9181194888912101</v>
      </c>
      <c r="Q100" s="127">
        <v>3.65276326370364</v>
      </c>
    </row>
    <row r="101" spans="2:17" ht="15" customHeight="1" x14ac:dyDescent="0.25">
      <c r="B101" s="117"/>
      <c r="D101" s="201">
        <f>D102+0.01</f>
        <v>0.21916918950773367</v>
      </c>
      <c r="E101" s="125">
        <v>6.0365388494521799</v>
      </c>
      <c r="F101" s="125">
        <v>4.4928793217711034</v>
      </c>
      <c r="G101" s="125">
        <v>4.4928793217711034</v>
      </c>
      <c r="H101" s="125">
        <v>6.0365388494521799</v>
      </c>
      <c r="I101" s="125">
        <v>9.1238579048143293</v>
      </c>
      <c r="J101" s="126"/>
      <c r="L101" s="201">
        <f>L102+0.01</f>
        <v>0.21916918950773367</v>
      </c>
      <c r="M101" s="127">
        <v>2.9972556082805966</v>
      </c>
      <c r="N101" s="127">
        <v>2.6175504229196331</v>
      </c>
      <c r="O101" s="127">
        <v>2.6175504229196331</v>
      </c>
      <c r="P101" s="127">
        <v>2.9972556082805966</v>
      </c>
      <c r="Q101" s="127">
        <v>3.7566659790025216</v>
      </c>
    </row>
    <row r="102" spans="2:17" ht="15" customHeight="1" x14ac:dyDescent="0.25">
      <c r="B102" s="117"/>
      <c r="C102" s="122" t="s">
        <v>126</v>
      </c>
      <c r="D102" s="128">
        <f>WACC!$E$21</f>
        <v>0.20916918950773367</v>
      </c>
      <c r="E102" s="125">
        <v>6.3710553540295836</v>
      </c>
      <c r="F102" s="125">
        <v>4.7749195587336635</v>
      </c>
      <c r="G102" s="125">
        <v>4.7749195587336635</v>
      </c>
      <c r="H102" s="125">
        <v>6.3710553540295836</v>
      </c>
      <c r="I102" s="125">
        <v>9.5633269446214264</v>
      </c>
      <c r="J102" s="126"/>
      <c r="K102" s="122" t="s">
        <v>126</v>
      </c>
      <c r="L102" s="128">
        <f>WACC!$E$21</f>
        <v>0.20916918950773367</v>
      </c>
      <c r="M102" s="127">
        <v>3.0795390711162605</v>
      </c>
      <c r="N102" s="127">
        <v>2.686925915724057</v>
      </c>
      <c r="O102" s="127">
        <v>2.686925915724057</v>
      </c>
      <c r="P102" s="127">
        <v>3.0795390711162605</v>
      </c>
      <c r="Q102" s="127">
        <v>3.8647653819006678</v>
      </c>
    </row>
    <row r="103" spans="2:17" ht="15" customHeight="1" x14ac:dyDescent="0.25">
      <c r="B103" s="117"/>
      <c r="D103" s="201">
        <f t="shared" ref="D103:D104" si="26">D102-0.01</f>
        <v>0.19916918950773366</v>
      </c>
      <c r="E103" s="125">
        <v>6.7190012094220739</v>
      </c>
      <c r="F103" s="125">
        <v>5.068146985467008</v>
      </c>
      <c r="G103" s="125">
        <v>5.068146985467008</v>
      </c>
      <c r="H103" s="125">
        <v>6.7190012094220739</v>
      </c>
      <c r="I103" s="125">
        <v>10.020709657332205</v>
      </c>
      <c r="J103" s="126"/>
      <c r="L103" s="201">
        <f t="shared" ref="L103:L104" si="27">L102-0.01</f>
        <v>0.19916918950773366</v>
      </c>
      <c r="M103" s="127">
        <v>3.1651258492549954</v>
      </c>
      <c r="N103" s="127">
        <v>2.7590532031369497</v>
      </c>
      <c r="O103" s="127">
        <v>2.7590532031369497</v>
      </c>
      <c r="P103" s="127">
        <v>3.1651258492549954</v>
      </c>
      <c r="Q103" s="127">
        <v>3.9772711414910864</v>
      </c>
    </row>
    <row r="104" spans="2:17" ht="15" customHeight="1" x14ac:dyDescent="0.25">
      <c r="B104" s="117"/>
      <c r="D104" s="202">
        <f t="shared" si="26"/>
        <v>0.18916918950773365</v>
      </c>
      <c r="E104" s="125">
        <v>7.0810478936807142</v>
      </c>
      <c r="F104" s="125">
        <v>5.3731173665654204</v>
      </c>
      <c r="G104" s="125">
        <v>5.3731173665654204</v>
      </c>
      <c r="H104" s="125">
        <v>7.0810478936807142</v>
      </c>
      <c r="I104" s="125">
        <v>10.496908947911304</v>
      </c>
      <c r="J104" s="126"/>
      <c r="L104" s="202">
        <f t="shared" si="27"/>
        <v>0.18916918950773365</v>
      </c>
      <c r="M104" s="127">
        <v>3.2541811110472518</v>
      </c>
      <c r="N104" s="127">
        <v>2.8340689906263918</v>
      </c>
      <c r="O104" s="127">
        <v>2.8340689906263918</v>
      </c>
      <c r="P104" s="127">
        <v>3.2541811110472518</v>
      </c>
      <c r="Q104" s="127">
        <v>4.0944053518889723</v>
      </c>
    </row>
    <row r="105" spans="2:17" x14ac:dyDescent="0.25">
      <c r="J105" s="132"/>
    </row>
    <row r="106" spans="2:17" x14ac:dyDescent="0.25">
      <c r="B106" s="133" t="s">
        <v>130</v>
      </c>
      <c r="C106" s="133"/>
      <c r="D106" s="133"/>
      <c r="E106" s="133"/>
      <c r="G106" s="133" t="s">
        <v>131</v>
      </c>
      <c r="H106" s="133"/>
      <c r="I106" s="133"/>
      <c r="J106" s="134"/>
      <c r="K106" s="133"/>
      <c r="L106" s="133"/>
      <c r="M106" s="133"/>
      <c r="N106" s="133"/>
      <c r="O106" s="133"/>
      <c r="P106" s="133"/>
    </row>
    <row r="107" spans="2:17" x14ac:dyDescent="0.25">
      <c r="J107" s="132"/>
    </row>
    <row r="108" spans="2:17" x14ac:dyDescent="0.25">
      <c r="J108" s="132"/>
    </row>
    <row r="109" spans="2:17" x14ac:dyDescent="0.25">
      <c r="J109" s="132"/>
    </row>
    <row r="110" spans="2:17" x14ac:dyDescent="0.25">
      <c r="J110" s="132"/>
    </row>
    <row r="111" spans="2:17" x14ac:dyDescent="0.25">
      <c r="J111" s="132"/>
    </row>
    <row r="112" spans="2:17" x14ac:dyDescent="0.25">
      <c r="J112" s="132"/>
    </row>
    <row r="113" spans="2:17" x14ac:dyDescent="0.25">
      <c r="J113" s="132"/>
    </row>
    <row r="114" spans="2:17" x14ac:dyDescent="0.25">
      <c r="J114" s="132"/>
    </row>
    <row r="115" spans="2:17" x14ac:dyDescent="0.25">
      <c r="J115" s="132"/>
    </row>
    <row r="116" spans="2:17" x14ac:dyDescent="0.25">
      <c r="J116" s="132"/>
    </row>
    <row r="117" spans="2:17" x14ac:dyDescent="0.25">
      <c r="J117" s="132"/>
    </row>
    <row r="118" spans="2:17" x14ac:dyDescent="0.25">
      <c r="J118" s="132"/>
    </row>
    <row r="119" spans="2:17" x14ac:dyDescent="0.25">
      <c r="J119" s="132"/>
    </row>
    <row r="120" spans="2:17" x14ac:dyDescent="0.25">
      <c r="J120" s="132"/>
      <c r="M120" s="135"/>
    </row>
    <row r="121" spans="2:17" x14ac:dyDescent="0.25">
      <c r="J121" s="132"/>
    </row>
    <row r="122" spans="2:17" x14ac:dyDescent="0.25">
      <c r="J122" s="132"/>
    </row>
    <row r="123" spans="2:17" x14ac:dyDescent="0.25">
      <c r="J123" s="132"/>
    </row>
    <row r="124" spans="2:17" x14ac:dyDescent="0.25">
      <c r="J124" s="132"/>
    </row>
    <row r="125" spans="2:17" x14ac:dyDescent="0.25">
      <c r="J125" s="132"/>
    </row>
    <row r="126" spans="2:17" x14ac:dyDescent="0.25">
      <c r="J126" s="132"/>
    </row>
    <row r="127" spans="2:17" x14ac:dyDescent="0.25">
      <c r="B127" s="136"/>
      <c r="C127" s="137" t="s">
        <v>132</v>
      </c>
      <c r="D127" s="137" t="s">
        <v>133</v>
      </c>
      <c r="E127" s="138" t="s">
        <v>134</v>
      </c>
      <c r="G127" s="136"/>
      <c r="H127" s="139"/>
      <c r="I127" s="139"/>
      <c r="J127" s="140"/>
      <c r="K127" s="139"/>
      <c r="L127" s="139"/>
      <c r="M127" s="139"/>
      <c r="N127" s="139"/>
      <c r="O127" s="137" t="s">
        <v>132</v>
      </c>
      <c r="P127" s="137" t="s">
        <v>133</v>
      </c>
      <c r="Q127" s="138" t="s">
        <v>134</v>
      </c>
    </row>
    <row r="128" spans="2:17" x14ac:dyDescent="0.25">
      <c r="B128" s="171" t="str">
        <f>"DCF Value at "&amp;TEXT(E99,"0.0x")&amp;"-"&amp;TEXT(I99,"0.0x")&amp;" Exit EBITDA Range at "&amp;TEXT(D102,"0.0%")&amp;" WACC"</f>
        <v>DCF Value at 2.3x-4.3x Exit EBITDA Range at 20.9% WACC</v>
      </c>
      <c r="C128" s="172">
        <f>E102</f>
        <v>6.3710553540295836</v>
      </c>
      <c r="D128" s="172">
        <f>E128-C128</f>
        <v>3.1922715905918428</v>
      </c>
      <c r="E128" s="173">
        <f>I102</f>
        <v>9.5633269446214264</v>
      </c>
      <c r="G128" s="171" t="str">
        <f>"LTM EBITDA Purchase Multiple at "&amp;TEXT(M90,"0.0%")&amp;"-"&amp;TEXT(Q90,"0.0%")&amp;" Perpetuity Growth at "&amp;TEXT(L93,"0.0%")&amp;" WACC"</f>
        <v>LTM EBITDA Purchase Multiple at 9.0%-11.0% Perpetuity Growth at 20.9% WACC</v>
      </c>
      <c r="H128"/>
      <c r="I128"/>
      <c r="J128" s="179"/>
      <c r="K128"/>
      <c r="L128"/>
      <c r="M128"/>
      <c r="N128"/>
      <c r="O128" s="180">
        <f>M93</f>
        <v>3.6561662758431823</v>
      </c>
      <c r="P128" s="180">
        <f>Q128-O128</f>
        <v>0.24211423486177708</v>
      </c>
      <c r="Q128" s="181">
        <f>Q93</f>
        <v>3.8982805107049594</v>
      </c>
    </row>
    <row r="129" spans="2:17" x14ac:dyDescent="0.25">
      <c r="B129" s="174" t="str">
        <f>"DCF Value at "&amp;TEXT(E90,"0.0%")&amp;"-"&amp;TEXT(I90,"0.0%")&amp;" Perpetuity Range at "&amp;TEXT(D102,"0.0%")&amp;" WACC"</f>
        <v>DCF Value at 9.0%-11.0% Perpetuity Range at 20.9% WACC</v>
      </c>
      <c r="C129" s="172">
        <f>E93</f>
        <v>8.7152848057570829</v>
      </c>
      <c r="D129" s="172">
        <f>E129-C129</f>
        <v>0.98429507902638136</v>
      </c>
      <c r="E129" s="173">
        <f>I93</f>
        <v>9.6995798847834642</v>
      </c>
      <c r="G129" s="174" t="str">
        <f>"LTM EBITDA Purchase Multiple at "&amp;TEXT(M102,"0.0x")&amp;"-"&amp;TEXT(Q102,"0.0x")&amp;" Exit EBITDA Multiple at "&amp;TEXT(L102,"0.0%")&amp;" WACC"</f>
        <v>LTM EBITDA Purchase Multiple at 3.1x-3.9x Exit EBITDA Multiple at 20.9% WACC</v>
      </c>
      <c r="H129"/>
      <c r="I129"/>
      <c r="J129" s="179"/>
      <c r="K129"/>
      <c r="L129"/>
      <c r="M129"/>
      <c r="N129"/>
      <c r="O129" s="180">
        <f>M102</f>
        <v>3.0795390711162605</v>
      </c>
      <c r="P129" s="180">
        <f>Q129-O129</f>
        <v>0.7852263107844073</v>
      </c>
      <c r="Q129" s="181">
        <f>Q102</f>
        <v>3.8647653819006678</v>
      </c>
    </row>
    <row r="130" spans="2:17" x14ac:dyDescent="0.25">
      <c r="B130" s="175" t="s">
        <v>135</v>
      </c>
      <c r="C130" s="176">
        <v>8.17</v>
      </c>
      <c r="D130" s="177">
        <f>E130-C130</f>
        <v>5.5500000000000007</v>
      </c>
      <c r="E130" s="178">
        <v>13.72</v>
      </c>
      <c r="G130" s="175" t="str">
        <f>"LTM EBITDA Purchase Multiple at "&amp;TEXT(L104,"0.0%")&amp;"-"&amp;TEXT(L100,"0.0%")&amp;" WACC at "&amp;TEXT(O99,"0.0x")&amp;" Exit EBITDA"</f>
        <v>LTM EBITDA Purchase Multiple at 18.9%-22.9% WACC at 3.3x Exit EBITDA</v>
      </c>
      <c r="H130" s="42"/>
      <c r="I130" s="42"/>
      <c r="J130" s="182"/>
      <c r="K130" s="42"/>
      <c r="L130" s="42"/>
      <c r="M130" s="42"/>
      <c r="N130" s="42"/>
      <c r="O130" s="177">
        <f>O100</f>
        <v>2.5507976014849945</v>
      </c>
      <c r="P130" s="177">
        <f>Q130-O130</f>
        <v>0.28327138914139738</v>
      </c>
      <c r="Q130" s="183">
        <f>O104</f>
        <v>2.8340689906263918</v>
      </c>
    </row>
    <row r="131" spans="2:17" x14ac:dyDescent="0.25">
      <c r="J131" s="132"/>
    </row>
    <row r="132" spans="2:17" x14ac:dyDescent="0.25">
      <c r="J132" s="132"/>
    </row>
  </sheetData>
  <conditionalFormatting sqref="E91:J95 E100:J104">
    <cfRule type="cellIs" dxfId="1" priority="2" operator="lessThan">
      <formula>#REF!</formula>
    </cfRule>
  </conditionalFormatting>
  <dataValidations count="1">
    <dataValidation type="list" allowBlank="1" showInputMessage="1" showErrorMessage="1" sqref="H9" xr:uid="{CB45C56C-AFB1-4E43-A477-1FC1C59EBD22}">
      <formula1>"0,1"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F4E94-4BEA-4BEC-A3D4-AE92824096F5}">
  <dimension ref="B1:I24"/>
  <sheetViews>
    <sheetView zoomScaleNormal="100" workbookViewId="0">
      <selection activeCell="C7" sqref="C7"/>
    </sheetView>
  </sheetViews>
  <sheetFormatPr defaultColWidth="9.140625" defaultRowHeight="15" x14ac:dyDescent="0.25"/>
  <cols>
    <col min="1" max="1" width="1.42578125" style="54" customWidth="1"/>
    <col min="2" max="2" width="50.28515625" style="54" customWidth="1"/>
    <col min="3" max="3" width="15.5703125" style="54" bestFit="1" customWidth="1"/>
    <col min="4" max="9" width="12.7109375" style="54" customWidth="1"/>
    <col min="10" max="10" width="1.7109375" style="54" customWidth="1"/>
    <col min="11" max="11" width="11" style="54" bestFit="1" customWidth="1"/>
    <col min="12" max="16" width="9.42578125" style="54" customWidth="1"/>
    <col min="17" max="16384" width="9.140625" style="54"/>
  </cols>
  <sheetData>
    <row r="1" spans="2:9" ht="15.75" thickBot="1" x14ac:dyDescent="0.3"/>
    <row r="2" spans="2:9" ht="15.75" thickBot="1" x14ac:dyDescent="0.3">
      <c r="B2" s="55" t="s">
        <v>136</v>
      </c>
      <c r="C2" s="56"/>
      <c r="D2" s="56"/>
      <c r="E2" s="56"/>
      <c r="F2" s="56"/>
      <c r="G2" s="56"/>
      <c r="H2" s="56"/>
      <c r="I2" s="56"/>
    </row>
    <row r="3" spans="2:9" x14ac:dyDescent="0.25">
      <c r="B3" s="57" t="str">
        <f>DCF!B3</f>
        <v>All amounts are shown in Egyptian pounds, except per-share data, ratios, and shares outstanding</v>
      </c>
    </row>
    <row r="4" spans="2:9" ht="15" customHeight="1" x14ac:dyDescent="0.25">
      <c r="B4" s="142" t="s">
        <v>137</v>
      </c>
      <c r="C4" s="143"/>
      <c r="D4" s="143"/>
      <c r="E4" s="144"/>
      <c r="F4" s="145"/>
    </row>
    <row r="5" spans="2:9" x14ac:dyDescent="0.25">
      <c r="E5" s="97"/>
    </row>
    <row r="6" spans="2:9" ht="15" customHeight="1" x14ac:dyDescent="0.25">
      <c r="B6" s="54" t="s">
        <v>138</v>
      </c>
      <c r="C6" s="149">
        <v>0.22</v>
      </c>
    </row>
    <row r="7" spans="2:9" ht="15" customHeight="1" x14ac:dyDescent="0.25">
      <c r="B7" s="54" t="s">
        <v>26</v>
      </c>
      <c r="C7" s="254">
        <v>0.22500000000000001</v>
      </c>
    </row>
    <row r="8" spans="2:9" ht="15" customHeight="1" x14ac:dyDescent="0.25">
      <c r="B8" s="54" t="s">
        <v>139</v>
      </c>
      <c r="C8" s="150">
        <f>C6*(1-C7)</f>
        <v>0.17050000000000001</v>
      </c>
    </row>
    <row r="10" spans="2:9" x14ac:dyDescent="0.25">
      <c r="B10" s="54" t="s">
        <v>140</v>
      </c>
      <c r="C10" s="148">
        <v>0.19700000000000001</v>
      </c>
    </row>
    <row r="11" spans="2:9" x14ac:dyDescent="0.25">
      <c r="B11" s="54" t="s">
        <v>141</v>
      </c>
      <c r="C11" s="164">
        <f>(2/3*0.69)+1/3</f>
        <v>0.79333333333333322</v>
      </c>
    </row>
    <row r="12" spans="2:9" ht="15" customHeight="1" x14ac:dyDescent="0.25">
      <c r="B12" s="54" t="s">
        <v>142</v>
      </c>
      <c r="C12" s="151">
        <v>4.4600000000000001E-2</v>
      </c>
    </row>
    <row r="13" spans="2:9" x14ac:dyDescent="0.25">
      <c r="B13" s="54" t="s">
        <v>143</v>
      </c>
      <c r="C13" s="152">
        <f>C10+C11*C12</f>
        <v>0.23238266666666668</v>
      </c>
    </row>
    <row r="14" spans="2:9" x14ac:dyDescent="0.25">
      <c r="C14" s="153"/>
    </row>
    <row r="15" spans="2:9" x14ac:dyDescent="0.25">
      <c r="B15" s="146" t="s">
        <v>144</v>
      </c>
      <c r="C15" s="154"/>
      <c r="D15" s="154"/>
      <c r="E15" s="154"/>
    </row>
    <row r="16" spans="2:9" x14ac:dyDescent="0.25">
      <c r="B16" s="75"/>
      <c r="C16" s="122"/>
      <c r="D16" s="122" t="s">
        <v>145</v>
      </c>
    </row>
    <row r="17" spans="2:5" ht="17.25" x14ac:dyDescent="0.4">
      <c r="C17" s="155" t="s">
        <v>146</v>
      </c>
      <c r="D17" s="155" t="s">
        <v>147</v>
      </c>
      <c r="E17" s="155" t="s">
        <v>148</v>
      </c>
    </row>
    <row r="18" spans="2:5" x14ac:dyDescent="0.25">
      <c r="B18" s="54" t="s">
        <v>15</v>
      </c>
      <c r="C18" s="73">
        <f>DCF!I61*DCF!H5</f>
        <v>12015360000</v>
      </c>
      <c r="D18" s="156"/>
      <c r="E18" s="157">
        <f>C18/(C18+C19)</f>
        <v>0.62487917199862586</v>
      </c>
    </row>
    <row r="19" spans="2:5" x14ac:dyDescent="0.25">
      <c r="B19" s="54" t="s">
        <v>102</v>
      </c>
      <c r="C19" s="73">
        <f>DCF!C57</f>
        <v>7212933306</v>
      </c>
      <c r="D19" s="158"/>
      <c r="E19" s="157">
        <f>C19/(C19+C18)</f>
        <v>0.37512082800137414</v>
      </c>
    </row>
    <row r="21" spans="2:5" x14ac:dyDescent="0.25">
      <c r="B21" s="147" t="s">
        <v>149</v>
      </c>
      <c r="C21" s="159"/>
      <c r="D21" s="139"/>
      <c r="E21" s="160">
        <f>C8*E19+C13*E18</f>
        <v>0.20916918950773367</v>
      </c>
    </row>
    <row r="22" spans="2:5" x14ac:dyDescent="0.25">
      <c r="B22" s="74"/>
      <c r="C22" s="102"/>
    </row>
    <row r="23" spans="2:5" x14ac:dyDescent="0.25">
      <c r="B23" s="74"/>
      <c r="C23" s="102"/>
    </row>
    <row r="24" spans="2:5" x14ac:dyDescent="0.25">
      <c r="B24" s="74"/>
      <c r="C24" s="102"/>
    </row>
  </sheetData>
  <conditionalFormatting sqref="B22:C24">
    <cfRule type="expression" dxfId="0" priority="1">
      <formula>#REF!="Industry"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FSM</vt:lpstr>
      <vt:lpstr>DCF</vt:lpstr>
      <vt:lpstr>WACC</vt:lpstr>
      <vt:lpstr>Company_Name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Ahmed WAEL</dc:creator>
  <dc:description/>
  <cp:lastModifiedBy>Ahmed Wael</cp:lastModifiedBy>
  <cp:revision>0</cp:revision>
  <dcterms:created xsi:type="dcterms:W3CDTF">2015-06-05T18:17:20Z</dcterms:created>
  <dcterms:modified xsi:type="dcterms:W3CDTF">2026-06-11T17:06:56Z</dcterms:modified>
  <dc:language>en-US</dc:language>
</cp:coreProperties>
</file>