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hmed.wael\Downloads\"/>
    </mc:Choice>
  </mc:AlternateContent>
  <xr:revisionPtr revIDLastSave="0" documentId="13_ncr:1_{8D290310-8097-4D7E-8DEC-A440CB600D33}" xr6:coauthVersionLast="47" xr6:coauthVersionMax="47" xr10:uidLastSave="{00000000-0000-0000-0000-000000000000}"/>
  <bookViews>
    <workbookView xWindow="-20610" yWindow="-1995" windowWidth="20730" windowHeight="11040" tabRatio="500" firstSheet="2" activeTab="4" xr2:uid="{00000000-000D-0000-FFFF-FFFF00000000}"/>
  </bookViews>
  <sheets>
    <sheet name="FSM" sheetId="1" r:id="rId1"/>
    <sheet name="Norm EBITDA" sheetId="2" r:id="rId2"/>
    <sheet name="DCF" sheetId="3" r:id="rId3"/>
    <sheet name="WACC" sheetId="4" r:id="rId4"/>
    <sheet name="Trading Comps" sheetId="5" r:id="rId5"/>
    <sheet name="Transaction Comps" sheetId="6" r:id="rId6"/>
    <sheet name="Valuation Summary" sheetId="7" r:id="rId7"/>
  </sheets>
  <definedNames>
    <definedName name="CIQWBGuid" localSheetId="2" hidden="1">"DCF_complete.xlsx"</definedName>
    <definedName name="CIQWBGuid" localSheetId="3" hidden="1">"DCF_complete.xlsx"</definedName>
    <definedName name="CIQWBGuid" hidden="1">"a611639b-bab1-425e-aaa5-008c326fdfdb"</definedName>
    <definedName name="Company_Name" localSheetId="0">FSM!$D$5</definedName>
    <definedName name="Company_Name">#REF!</definedName>
    <definedName name="Hist_Yr" localSheetId="0">FSM!#REF!</definedName>
    <definedName name="Hist_Yr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2" hidden="1">43549.6880671296</definedName>
    <definedName name="IQ_NAMES_REVISION_DATE_" localSheetId="3" hidden="1">43549.6880671296</definedName>
    <definedName name="IQ_NAMES_REVISION_DATE_" hidden="1">43588.5561574074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MLNK841c85bef3244d5c8fb6b3f84988d79e" localSheetId="2" hidden="1">#REF!</definedName>
    <definedName name="MLNK841c85bef3244d5c8fb6b3f84988d79e" localSheetId="3" hidden="1">#REF!</definedName>
    <definedName name="MLNK841c85bef3244d5c8fb6b3f84988d79e" hidden="1">#REF!</definedName>
    <definedName name="MLNKa7775792bf444a4785f8ed5c82461a24" localSheetId="2" hidden="1">#REF!</definedName>
    <definedName name="MLNKa7775792bf444a4785f8ed5c82461a24" localSheetId="3" hidden="1">#REF!</definedName>
    <definedName name="MLNKa7775792bf444a4785f8ed5c82461a24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2" i="6" l="1"/>
  <c r="D20" i="6" s="1"/>
  <c r="M10" i="6"/>
  <c r="L10" i="6"/>
  <c r="M9" i="6"/>
  <c r="L9" i="6"/>
  <c r="M8" i="6"/>
  <c r="L8" i="6"/>
  <c r="M7" i="6"/>
  <c r="M14" i="6" s="1"/>
  <c r="L7" i="6"/>
  <c r="L12" i="6" s="1"/>
  <c r="F9" i="5"/>
  <c r="H9" i="5" s="1"/>
  <c r="O9" i="5" s="1"/>
  <c r="F8" i="5"/>
  <c r="H8" i="5" s="1"/>
  <c r="F7" i="5"/>
  <c r="H7" i="5" s="1"/>
  <c r="B46" i="4"/>
  <c r="B43" i="4"/>
  <c r="I42" i="4"/>
  <c r="F42" i="4"/>
  <c r="I41" i="4"/>
  <c r="F41" i="4"/>
  <c r="I40" i="4"/>
  <c r="C45" i="4" s="1"/>
  <c r="F40" i="4"/>
  <c r="C28" i="4"/>
  <c r="C18" i="4"/>
  <c r="F43" i="4" s="1"/>
  <c r="F182" i="1"/>
  <c r="E182" i="1"/>
  <c r="D182" i="1"/>
  <c r="F181" i="1"/>
  <c r="E181" i="1"/>
  <c r="D181" i="1"/>
  <c r="F180" i="1"/>
  <c r="E180" i="1"/>
  <c r="D180" i="1"/>
  <c r="E177" i="1" s="1"/>
  <c r="G177" i="1"/>
  <c r="F177" i="1"/>
  <c r="F175" i="1"/>
  <c r="F171" i="1"/>
  <c r="G169" i="1" s="1"/>
  <c r="E171" i="1"/>
  <c r="F169" i="1" s="1"/>
  <c r="D171" i="1"/>
  <c r="E169" i="1"/>
  <c r="F162" i="1"/>
  <c r="E162" i="1"/>
  <c r="D162" i="1"/>
  <c r="E160" i="1"/>
  <c r="D159" i="1"/>
  <c r="G158" i="1"/>
  <c r="H158" i="1" s="1"/>
  <c r="I158" i="1" s="1"/>
  <c r="J158" i="1" s="1"/>
  <c r="K158" i="1" s="1"/>
  <c r="F157" i="1"/>
  <c r="E157" i="1"/>
  <c r="E159" i="1" s="1"/>
  <c r="D157" i="1"/>
  <c r="F156" i="1"/>
  <c r="E156" i="1"/>
  <c r="G149" i="1"/>
  <c r="E149" i="1"/>
  <c r="D149" i="1"/>
  <c r="E148" i="1"/>
  <c r="G147" i="1"/>
  <c r="H147" i="1" s="1"/>
  <c r="E147" i="1"/>
  <c r="F139" i="1"/>
  <c r="F149" i="1" s="1"/>
  <c r="E139" i="1"/>
  <c r="E140" i="1" s="1"/>
  <c r="D139" i="1"/>
  <c r="D140" i="1" s="1"/>
  <c r="F136" i="1"/>
  <c r="F135" i="1"/>
  <c r="F148" i="1" s="1"/>
  <c r="G148" i="1" s="1"/>
  <c r="E135" i="1"/>
  <c r="D135" i="1"/>
  <c r="F134" i="1"/>
  <c r="F147" i="1" s="1"/>
  <c r="E134" i="1"/>
  <c r="E136" i="1" s="1"/>
  <c r="E142" i="1" s="1"/>
  <c r="D134" i="1"/>
  <c r="D147" i="1" s="1"/>
  <c r="F131" i="1"/>
  <c r="F126" i="1"/>
  <c r="F125" i="1"/>
  <c r="F127" i="1" s="1"/>
  <c r="D7" i="2" s="1"/>
  <c r="E125" i="1"/>
  <c r="E127" i="1" s="1"/>
  <c r="C7" i="2" s="1"/>
  <c r="D125" i="1"/>
  <c r="G121" i="1"/>
  <c r="H121" i="1" s="1"/>
  <c r="F121" i="1"/>
  <c r="E121" i="1"/>
  <c r="D121" i="1"/>
  <c r="F120" i="1"/>
  <c r="G120" i="1" s="1"/>
  <c r="E120" i="1"/>
  <c r="D120" i="1"/>
  <c r="F118" i="1"/>
  <c r="G115" i="1" s="1"/>
  <c r="E118" i="1"/>
  <c r="D118" i="1"/>
  <c r="E115" i="1" s="1"/>
  <c r="F115" i="1"/>
  <c r="G106" i="1"/>
  <c r="K103" i="1"/>
  <c r="J103" i="1"/>
  <c r="I103" i="1"/>
  <c r="H103" i="1"/>
  <c r="G103" i="1"/>
  <c r="F76" i="1"/>
  <c r="E76" i="1"/>
  <c r="D76" i="1"/>
  <c r="H74" i="1"/>
  <c r="I74" i="1" s="1"/>
  <c r="G74" i="1"/>
  <c r="F71" i="1"/>
  <c r="F78" i="1" s="1"/>
  <c r="E71" i="1"/>
  <c r="E78" i="1" s="1"/>
  <c r="G69" i="1"/>
  <c r="F69" i="1"/>
  <c r="E69" i="1"/>
  <c r="D69" i="1"/>
  <c r="I68" i="1"/>
  <c r="J68" i="1" s="1"/>
  <c r="K68" i="1" s="1"/>
  <c r="G68" i="1"/>
  <c r="H68" i="1" s="1"/>
  <c r="G67" i="1"/>
  <c r="H67" i="1" s="1"/>
  <c r="F64" i="1"/>
  <c r="E64" i="1"/>
  <c r="D64" i="1"/>
  <c r="D71" i="1" s="1"/>
  <c r="D78" i="1" s="1"/>
  <c r="F58" i="1"/>
  <c r="F80" i="1" s="1"/>
  <c r="F56" i="1"/>
  <c r="E56" i="1"/>
  <c r="E58" i="1" s="1"/>
  <c r="E80" i="1" s="1"/>
  <c r="D56" i="1"/>
  <c r="H55" i="1"/>
  <c r="I55" i="1" s="1"/>
  <c r="J55" i="1" s="1"/>
  <c r="K55" i="1" s="1"/>
  <c r="G55" i="1"/>
  <c r="F50" i="1"/>
  <c r="E50" i="1"/>
  <c r="D50" i="1"/>
  <c r="D58" i="1" s="1"/>
  <c r="F42" i="1"/>
  <c r="J39" i="1"/>
  <c r="K39" i="1" s="1"/>
  <c r="H39" i="1"/>
  <c r="I39" i="1" s="1"/>
  <c r="F38" i="1"/>
  <c r="G38" i="1" s="1"/>
  <c r="H38" i="1" s="1"/>
  <c r="I38" i="1" s="1"/>
  <c r="J38" i="1" s="1"/>
  <c r="K38" i="1" s="1"/>
  <c r="E38" i="1"/>
  <c r="D38" i="1"/>
  <c r="F37" i="1"/>
  <c r="F36" i="1"/>
  <c r="E36" i="1"/>
  <c r="D36" i="1"/>
  <c r="F33" i="1"/>
  <c r="E33" i="1"/>
  <c r="D33" i="1"/>
  <c r="F22" i="1"/>
  <c r="D18" i="3" s="1"/>
  <c r="I21" i="1"/>
  <c r="J21" i="1" s="1"/>
  <c r="K21" i="1" s="1"/>
  <c r="H21" i="1"/>
  <c r="F19" i="1"/>
  <c r="E19" i="1"/>
  <c r="E37" i="1" s="1"/>
  <c r="D19" i="1"/>
  <c r="D37" i="1" s="1"/>
  <c r="G16" i="1"/>
  <c r="F14" i="1"/>
  <c r="E14" i="1" s="1"/>
  <c r="D14" i="1"/>
  <c r="D153" i="1" s="1"/>
  <c r="F13" i="1"/>
  <c r="F130" i="1" s="1"/>
  <c r="C2" i="1"/>
  <c r="D130" i="3"/>
  <c r="Q99" i="3"/>
  <c r="O99" i="3"/>
  <c r="P99" i="3" s="1"/>
  <c r="N99" i="3"/>
  <c r="M99" i="3" s="1"/>
  <c r="H99" i="3"/>
  <c r="I99" i="3" s="1"/>
  <c r="G99" i="3"/>
  <c r="F99" i="3" s="1"/>
  <c r="E99" i="3" s="1"/>
  <c r="O90" i="3"/>
  <c r="P90" i="3" s="1"/>
  <c r="Q90" i="3" s="1"/>
  <c r="N90" i="3"/>
  <c r="M90" i="3" s="1"/>
  <c r="G90" i="3"/>
  <c r="F90" i="3" s="1"/>
  <c r="E90" i="3" s="1"/>
  <c r="C63" i="3"/>
  <c r="C62" i="3"/>
  <c r="I61" i="3"/>
  <c r="C38" i="3"/>
  <c r="B35" i="3"/>
  <c r="I22" i="3"/>
  <c r="H22" i="3"/>
  <c r="G22" i="3"/>
  <c r="F22" i="3"/>
  <c r="E22" i="3"/>
  <c r="D17" i="3"/>
  <c r="D16" i="3"/>
  <c r="E14" i="3"/>
  <c r="E15" i="3" s="1"/>
  <c r="D14" i="3"/>
  <c r="C14" i="3"/>
  <c r="E12" i="3"/>
  <c r="E37" i="3" s="1"/>
  <c r="D12" i="3"/>
  <c r="C12" i="3"/>
  <c r="D7" i="3"/>
  <c r="D37" i="3" s="1"/>
  <c r="D5" i="3"/>
  <c r="B3" i="3"/>
  <c r="B3" i="4" s="1"/>
  <c r="D23" i="3" l="1"/>
  <c r="D19" i="3"/>
  <c r="D21" i="3"/>
  <c r="F12" i="3"/>
  <c r="H149" i="1"/>
  <c r="E43" i="4"/>
  <c r="D72" i="3"/>
  <c r="C72" i="3"/>
  <c r="H90" i="3"/>
  <c r="I90" i="3" s="1"/>
  <c r="G20" i="1"/>
  <c r="H16" i="1"/>
  <c r="H148" i="1"/>
  <c r="G135" i="1"/>
  <c r="G48" i="1" s="1"/>
  <c r="F26" i="1"/>
  <c r="O7" i="5"/>
  <c r="N7" i="5"/>
  <c r="P7" i="5"/>
  <c r="J74" i="1"/>
  <c r="G118" i="1"/>
  <c r="I147" i="1"/>
  <c r="D126" i="1"/>
  <c r="D127" i="1"/>
  <c r="D175" i="1"/>
  <c r="D166" i="1"/>
  <c r="D113" i="1"/>
  <c r="D131" i="1"/>
  <c r="D43" i="1"/>
  <c r="D80" i="1"/>
  <c r="E131" i="1"/>
  <c r="E43" i="1"/>
  <c r="E175" i="1"/>
  <c r="E153" i="1"/>
  <c r="E166" i="1"/>
  <c r="E113" i="1"/>
  <c r="H120" i="1"/>
  <c r="G116" i="1"/>
  <c r="D136" i="1"/>
  <c r="D142" i="1" s="1"/>
  <c r="D148" i="1"/>
  <c r="G181" i="1"/>
  <c r="P9" i="5"/>
  <c r="E13" i="1"/>
  <c r="C29" i="4"/>
  <c r="C30" i="4" s="1"/>
  <c r="C27" i="4"/>
  <c r="C26" i="4" s="1"/>
  <c r="M13" i="6"/>
  <c r="D19" i="6" s="1"/>
  <c r="F165" i="1"/>
  <c r="F152" i="1"/>
  <c r="F112" i="1"/>
  <c r="F166" i="1"/>
  <c r="F153" i="1"/>
  <c r="F113" i="1"/>
  <c r="G37" i="1"/>
  <c r="F43" i="1"/>
  <c r="F140" i="1"/>
  <c r="F142" i="1" s="1"/>
  <c r="M15" i="6"/>
  <c r="G13" i="1"/>
  <c r="G14" i="1"/>
  <c r="D22" i="1"/>
  <c r="D26" i="1" s="1"/>
  <c r="D28" i="1" s="1"/>
  <c r="G117" i="1"/>
  <c r="G87" i="1" s="1"/>
  <c r="E143" i="1"/>
  <c r="F159" i="1"/>
  <c r="G157" i="1"/>
  <c r="G156" i="1"/>
  <c r="F174" i="1"/>
  <c r="P8" i="5"/>
  <c r="N8" i="5"/>
  <c r="E22" i="1"/>
  <c r="E26" i="1" s="1"/>
  <c r="I67" i="1"/>
  <c r="H69" i="1"/>
  <c r="G182" i="1"/>
  <c r="O8" i="5"/>
  <c r="I121" i="1"/>
  <c r="H117" i="1"/>
  <c r="H87" i="1" s="1"/>
  <c r="N9" i="5"/>
  <c r="E126" i="1"/>
  <c r="L13" i="6"/>
  <c r="L14" i="6"/>
  <c r="L15" i="6"/>
  <c r="F143" i="1" l="1"/>
  <c r="D32" i="3"/>
  <c r="F144" i="1"/>
  <c r="I149" i="1"/>
  <c r="F160" i="1"/>
  <c r="C57" i="3"/>
  <c r="C6" i="2"/>
  <c r="C13" i="2" s="1"/>
  <c r="C15" i="2" s="1"/>
  <c r="E28" i="1"/>
  <c r="P14" i="5"/>
  <c r="P11" i="5"/>
  <c r="P13" i="5"/>
  <c r="P12" i="5"/>
  <c r="H20" i="1"/>
  <c r="I16" i="1"/>
  <c r="F14" i="3"/>
  <c r="F15" i="3" s="1"/>
  <c r="I148" i="1"/>
  <c r="H135" i="1"/>
  <c r="H48" i="1" s="1"/>
  <c r="H37" i="1"/>
  <c r="I37" i="1" s="1"/>
  <c r="J37" i="1" s="1"/>
  <c r="K37" i="1" s="1"/>
  <c r="G17" i="1"/>
  <c r="D143" i="1"/>
  <c r="E144" i="1"/>
  <c r="N13" i="5"/>
  <c r="N12" i="5"/>
  <c r="N11" i="5"/>
  <c r="N14" i="5"/>
  <c r="F37" i="3"/>
  <c r="G12" i="3"/>
  <c r="H157" i="1"/>
  <c r="G159" i="1"/>
  <c r="H156" i="1"/>
  <c r="G54" i="1"/>
  <c r="H115" i="1"/>
  <c r="K74" i="1"/>
  <c r="G97" i="1"/>
  <c r="E27" i="3"/>
  <c r="E28" i="3" s="1"/>
  <c r="O12" i="5"/>
  <c r="D20" i="5" s="1"/>
  <c r="O14" i="5"/>
  <c r="O13" i="5"/>
  <c r="O11" i="5"/>
  <c r="D21" i="5" s="1"/>
  <c r="I69" i="1"/>
  <c r="J67" i="1"/>
  <c r="J121" i="1"/>
  <c r="D39" i="1"/>
  <c r="D30" i="1"/>
  <c r="D170" i="1" s="1"/>
  <c r="E130" i="1"/>
  <c r="E42" i="1"/>
  <c r="E152" i="1"/>
  <c r="E174" i="1"/>
  <c r="E165" i="1"/>
  <c r="E112" i="1"/>
  <c r="D13" i="1"/>
  <c r="I120" i="1"/>
  <c r="H116" i="1"/>
  <c r="G166" i="1"/>
  <c r="G175" i="1"/>
  <c r="G84" i="1"/>
  <c r="H14" i="1"/>
  <c r="G43" i="1"/>
  <c r="G153" i="1"/>
  <c r="G131" i="1"/>
  <c r="G113" i="1"/>
  <c r="G179" i="1"/>
  <c r="G125" i="1" s="1"/>
  <c r="H182" i="1"/>
  <c r="G165" i="1"/>
  <c r="G174" i="1"/>
  <c r="G152" i="1"/>
  <c r="G83" i="1"/>
  <c r="H13" i="1"/>
  <c r="G112" i="1"/>
  <c r="G130" i="1"/>
  <c r="G42" i="1"/>
  <c r="G178" i="1"/>
  <c r="H181" i="1"/>
  <c r="J147" i="1"/>
  <c r="D6" i="2"/>
  <c r="D13" i="2" s="1"/>
  <c r="F28" i="1"/>
  <c r="K147" i="1" l="1"/>
  <c r="K121" i="1"/>
  <c r="H175" i="1"/>
  <c r="H84" i="1"/>
  <c r="H131" i="1"/>
  <c r="H43" i="1"/>
  <c r="H153" i="1"/>
  <c r="H113" i="1"/>
  <c r="I14" i="1"/>
  <c r="H166" i="1"/>
  <c r="G99" i="1"/>
  <c r="G98" i="1"/>
  <c r="G180" i="1"/>
  <c r="K67" i="1"/>
  <c r="K69" i="1" s="1"/>
  <c r="J69" i="1"/>
  <c r="G160" i="1"/>
  <c r="C6" i="4"/>
  <c r="C8" i="4" s="1"/>
  <c r="I20" i="1"/>
  <c r="J16" i="1"/>
  <c r="I19" i="1"/>
  <c r="I22" i="1" s="1"/>
  <c r="I17" i="1"/>
  <c r="I134" i="1" s="1"/>
  <c r="G14" i="3"/>
  <c r="G15" i="3" s="1"/>
  <c r="C19" i="4"/>
  <c r="C65" i="3"/>
  <c r="I182" i="1"/>
  <c r="H179" i="1"/>
  <c r="H125" i="1" s="1"/>
  <c r="G127" i="1"/>
  <c r="E25" i="3" s="1"/>
  <c r="G88" i="1"/>
  <c r="G126" i="1"/>
  <c r="H118" i="1"/>
  <c r="J148" i="1"/>
  <c r="I135" i="1"/>
  <c r="I48" i="1" s="1"/>
  <c r="J149" i="1"/>
  <c r="I139" i="1"/>
  <c r="G134" i="1"/>
  <c r="G19" i="1"/>
  <c r="G22" i="1" s="1"/>
  <c r="G139" i="1"/>
  <c r="G37" i="3"/>
  <c r="H12" i="3"/>
  <c r="E20" i="6"/>
  <c r="G20" i="6" s="1"/>
  <c r="E21" i="5"/>
  <c r="F21" i="5" s="1"/>
  <c r="D15" i="2"/>
  <c r="E20" i="5"/>
  <c r="F20" i="5" s="1"/>
  <c r="E19" i="6"/>
  <c r="G19" i="6" s="1"/>
  <c r="H17" i="1"/>
  <c r="I157" i="1"/>
  <c r="H159" i="1"/>
  <c r="I156" i="1"/>
  <c r="I181" i="1"/>
  <c r="H178" i="1"/>
  <c r="H98" i="1" s="1"/>
  <c r="I117" i="1"/>
  <c r="I87" i="1" s="1"/>
  <c r="F30" i="1"/>
  <c r="F170" i="1" s="1"/>
  <c r="F39" i="1"/>
  <c r="H97" i="1"/>
  <c r="H174" i="1"/>
  <c r="H130" i="1"/>
  <c r="H42" i="1"/>
  <c r="H152" i="1"/>
  <c r="H83" i="1"/>
  <c r="H112" i="1"/>
  <c r="H165" i="1"/>
  <c r="I13" i="1"/>
  <c r="I116" i="1"/>
  <c r="J120" i="1"/>
  <c r="D174" i="1"/>
  <c r="D42" i="1"/>
  <c r="D152" i="1"/>
  <c r="D165" i="1"/>
  <c r="D112" i="1"/>
  <c r="D130" i="1"/>
  <c r="E39" i="1"/>
  <c r="E30" i="1"/>
  <c r="E170" i="1" s="1"/>
  <c r="D33" i="3"/>
  <c r="C9" i="7" l="1"/>
  <c r="E9" i="7" s="1"/>
  <c r="D9" i="7"/>
  <c r="C10" i="7"/>
  <c r="D10" i="7"/>
  <c r="E18" i="3"/>
  <c r="G32" i="1"/>
  <c r="G26" i="1"/>
  <c r="I136" i="1"/>
  <c r="I47" i="1"/>
  <c r="G136" i="1"/>
  <c r="G142" i="1" s="1"/>
  <c r="G47" i="1"/>
  <c r="I26" i="1"/>
  <c r="G18" i="3"/>
  <c r="H177" i="1"/>
  <c r="H180" i="1" s="1"/>
  <c r="G53" i="1"/>
  <c r="G56" i="1" s="1"/>
  <c r="I140" i="1"/>
  <c r="I63" i="1"/>
  <c r="I64" i="1" s="1"/>
  <c r="I71" i="1" s="1"/>
  <c r="K16" i="1"/>
  <c r="J17" i="1"/>
  <c r="J134" i="1" s="1"/>
  <c r="J20" i="1"/>
  <c r="J19" i="1"/>
  <c r="J22" i="1" s="1"/>
  <c r="H14" i="3"/>
  <c r="H15" i="3" s="1"/>
  <c r="I178" i="1"/>
  <c r="I98" i="1" s="1"/>
  <c r="J181" i="1"/>
  <c r="H127" i="1"/>
  <c r="F25" i="3" s="1"/>
  <c r="H126" i="1"/>
  <c r="H88" i="1"/>
  <c r="I97" i="1"/>
  <c r="I99" i="1" s="1"/>
  <c r="G27" i="3"/>
  <c r="G28" i="3" s="1"/>
  <c r="I179" i="1"/>
  <c r="I125" i="1" s="1"/>
  <c r="J182" i="1"/>
  <c r="K117" i="1"/>
  <c r="K87" i="1" s="1"/>
  <c r="I130" i="1"/>
  <c r="I42" i="1"/>
  <c r="I152" i="1"/>
  <c r="I112" i="1"/>
  <c r="I83" i="1"/>
  <c r="I174" i="1"/>
  <c r="I165" i="1"/>
  <c r="J13" i="1"/>
  <c r="F27" i="3"/>
  <c r="F28" i="3" s="1"/>
  <c r="H37" i="3"/>
  <c r="I12" i="3"/>
  <c r="K148" i="1"/>
  <c r="K135" i="1" s="1"/>
  <c r="K48" i="1" s="1"/>
  <c r="J135" i="1"/>
  <c r="J48" i="1" s="1"/>
  <c r="H20" i="6"/>
  <c r="I20" i="6" s="1"/>
  <c r="G21" i="5"/>
  <c r="H21" i="5" s="1"/>
  <c r="C12" i="7"/>
  <c r="G43" i="4"/>
  <c r="C46" i="4" s="1"/>
  <c r="G20" i="5"/>
  <c r="H20" i="5" s="1"/>
  <c r="H19" i="6"/>
  <c r="I19" i="6" s="1"/>
  <c r="D70" i="3"/>
  <c r="C70" i="3"/>
  <c r="G162" i="1"/>
  <c r="G27" i="1" s="1"/>
  <c r="H160" i="1"/>
  <c r="I131" i="1"/>
  <c r="I43" i="1"/>
  <c r="I153" i="1"/>
  <c r="I113" i="1"/>
  <c r="I166" i="1"/>
  <c r="I175" i="1"/>
  <c r="I84" i="1"/>
  <c r="J14" i="1"/>
  <c r="J117" i="1"/>
  <c r="J87" i="1" s="1"/>
  <c r="J116" i="1"/>
  <c r="K120" i="1"/>
  <c r="K116" i="1" s="1"/>
  <c r="K149" i="1"/>
  <c r="J139" i="1"/>
  <c r="H99" i="1"/>
  <c r="J157" i="1"/>
  <c r="J156" i="1"/>
  <c r="I159" i="1"/>
  <c r="H54" i="1"/>
  <c r="I115" i="1"/>
  <c r="I118" i="1" s="1"/>
  <c r="E19" i="4"/>
  <c r="E18" i="4"/>
  <c r="H134" i="1"/>
  <c r="H19" i="1"/>
  <c r="H22" i="1" s="1"/>
  <c r="H139" i="1"/>
  <c r="G140" i="1"/>
  <c r="G63" i="1"/>
  <c r="G64" i="1" s="1"/>
  <c r="G71" i="1" s="1"/>
  <c r="E10" i="7" l="1"/>
  <c r="K139" i="1"/>
  <c r="J115" i="1"/>
  <c r="J118" i="1" s="1"/>
  <c r="I54" i="1"/>
  <c r="K97" i="1"/>
  <c r="J136" i="1"/>
  <c r="J47" i="1"/>
  <c r="F10" i="7"/>
  <c r="E28" i="4"/>
  <c r="E23" i="3"/>
  <c r="E19" i="3"/>
  <c r="C18" i="3"/>
  <c r="E21" i="3"/>
  <c r="J97" i="1"/>
  <c r="J99" i="1" s="1"/>
  <c r="H27" i="3"/>
  <c r="H28" i="3" s="1"/>
  <c r="C35" i="4"/>
  <c r="C11" i="4" s="1"/>
  <c r="C13" i="4" s="1"/>
  <c r="E21" i="4" s="1"/>
  <c r="E25" i="4"/>
  <c r="E30" i="4" s="1"/>
  <c r="K19" i="1"/>
  <c r="K17" i="1"/>
  <c r="K134" i="1" s="1"/>
  <c r="K20" i="1"/>
  <c r="I14" i="3"/>
  <c r="I15" i="3" s="1"/>
  <c r="J26" i="1"/>
  <c r="H18" i="3"/>
  <c r="H140" i="1"/>
  <c r="H63" i="1"/>
  <c r="H64" i="1" s="1"/>
  <c r="H71" i="1" s="1"/>
  <c r="H26" i="1"/>
  <c r="H32" i="1"/>
  <c r="F18" i="3"/>
  <c r="J175" i="1"/>
  <c r="J153" i="1"/>
  <c r="J113" i="1"/>
  <c r="J43" i="1"/>
  <c r="J166" i="1"/>
  <c r="J84" i="1"/>
  <c r="K14" i="1"/>
  <c r="J131" i="1"/>
  <c r="H162" i="1"/>
  <c r="H27" i="1" s="1"/>
  <c r="I160" i="1"/>
  <c r="K182" i="1"/>
  <c r="K179" i="1" s="1"/>
  <c r="K125" i="1" s="1"/>
  <c r="J179" i="1"/>
  <c r="J125" i="1" s="1"/>
  <c r="K181" i="1"/>
  <c r="K178" i="1" s="1"/>
  <c r="K98" i="1" s="1"/>
  <c r="J178" i="1"/>
  <c r="J98" i="1" s="1"/>
  <c r="J63" i="1"/>
  <c r="J64" i="1" s="1"/>
  <c r="J71" i="1" s="1"/>
  <c r="J140" i="1"/>
  <c r="F14" i="7"/>
  <c r="D18" i="7" s="1"/>
  <c r="D19" i="7" s="1"/>
  <c r="E14" i="7"/>
  <c r="C18" i="7" s="1"/>
  <c r="C19" i="7" s="1"/>
  <c r="J174" i="1"/>
  <c r="J152" i="1"/>
  <c r="J112" i="1"/>
  <c r="J83" i="1"/>
  <c r="J165" i="1"/>
  <c r="J130" i="1"/>
  <c r="J42" i="1"/>
  <c r="K13" i="1"/>
  <c r="G143" i="1"/>
  <c r="E32" i="3"/>
  <c r="G144" i="1"/>
  <c r="G92" i="1" s="1"/>
  <c r="G93" i="1" s="1"/>
  <c r="H136" i="1"/>
  <c r="H142" i="1" s="1"/>
  <c r="H47" i="1"/>
  <c r="K157" i="1"/>
  <c r="K159" i="1" s="1"/>
  <c r="K156" i="1"/>
  <c r="J159" i="1"/>
  <c r="I127" i="1"/>
  <c r="I126" i="1"/>
  <c r="I88" i="1"/>
  <c r="I142" i="1"/>
  <c r="F9" i="7"/>
  <c r="E44" i="3"/>
  <c r="B44" i="3"/>
  <c r="B43" i="3"/>
  <c r="I37" i="3"/>
  <c r="I177" i="1"/>
  <c r="I180" i="1" s="1"/>
  <c r="H53" i="1"/>
  <c r="H56" i="1" s="1"/>
  <c r="G28" i="1"/>
  <c r="G21" i="3"/>
  <c r="G19" i="3"/>
  <c r="G23" i="3"/>
  <c r="E16" i="3"/>
  <c r="G33" i="1"/>
  <c r="C25" i="4" l="1"/>
  <c r="L102" i="3"/>
  <c r="L93" i="3"/>
  <c r="D93" i="3"/>
  <c r="D102" i="3"/>
  <c r="H4" i="3"/>
  <c r="J160" i="1"/>
  <c r="I162" i="1"/>
  <c r="I27" i="1" s="1"/>
  <c r="I28" i="1" s="1"/>
  <c r="G30" i="1"/>
  <c r="G29" i="1"/>
  <c r="I144" i="1"/>
  <c r="I92" i="1" s="1"/>
  <c r="I93" i="1" s="1"/>
  <c r="H143" i="1"/>
  <c r="F32" i="3"/>
  <c r="F23" i="3"/>
  <c r="F30" i="3" s="1"/>
  <c r="F38" i="3" s="1"/>
  <c r="F39" i="3" s="1"/>
  <c r="F19" i="3"/>
  <c r="F21" i="3"/>
  <c r="I27" i="3"/>
  <c r="I28" i="3" s="1"/>
  <c r="E33" i="3"/>
  <c r="F26" i="3"/>
  <c r="E26" i="3"/>
  <c r="K166" i="1"/>
  <c r="K153" i="1"/>
  <c r="K113" i="1"/>
  <c r="K84" i="1"/>
  <c r="K175" i="1"/>
  <c r="K131" i="1"/>
  <c r="K43" i="1"/>
  <c r="H33" i="1"/>
  <c r="F16" i="3"/>
  <c r="F17" i="3" s="1"/>
  <c r="K99" i="1"/>
  <c r="G25" i="3"/>
  <c r="I32" i="1"/>
  <c r="H144" i="1"/>
  <c r="H92" i="1" s="1"/>
  <c r="H93" i="1" s="1"/>
  <c r="H28" i="1"/>
  <c r="E29" i="4"/>
  <c r="E17" i="3"/>
  <c r="C16" i="3"/>
  <c r="K47" i="1"/>
  <c r="K136" i="1"/>
  <c r="E26" i="4"/>
  <c r="K115" i="1"/>
  <c r="K118" i="1" s="1"/>
  <c r="K54" i="1" s="1"/>
  <c r="J54" i="1"/>
  <c r="I143" i="1"/>
  <c r="G32" i="3"/>
  <c r="J142" i="1"/>
  <c r="J144" i="1" s="1"/>
  <c r="J92" i="1" s="1"/>
  <c r="J93" i="1" s="1"/>
  <c r="I53" i="1"/>
  <c r="I56" i="1" s="1"/>
  <c r="J177" i="1"/>
  <c r="J180" i="1" s="1"/>
  <c r="J127" i="1"/>
  <c r="J88" i="1"/>
  <c r="J126" i="1"/>
  <c r="K22" i="1"/>
  <c r="E30" i="3"/>
  <c r="E38" i="3" s="1"/>
  <c r="K165" i="1"/>
  <c r="K174" i="1"/>
  <c r="K112" i="1"/>
  <c r="K130" i="1"/>
  <c r="K152" i="1"/>
  <c r="K83" i="1"/>
  <c r="K42" i="1"/>
  <c r="K88" i="1"/>
  <c r="K126" i="1"/>
  <c r="K127" i="1"/>
  <c r="I25" i="3" s="1"/>
  <c r="F25" i="4"/>
  <c r="D25" i="4"/>
  <c r="E27" i="4"/>
  <c r="H21" i="3"/>
  <c r="H23" i="3"/>
  <c r="H19" i="3"/>
  <c r="K140" i="1"/>
  <c r="K63" i="1"/>
  <c r="K64" i="1" s="1"/>
  <c r="K71" i="1" s="1"/>
  <c r="G30" i="3" l="1"/>
  <c r="G38" i="3" s="1"/>
  <c r="G39" i="3" s="1"/>
  <c r="I30" i="1"/>
  <c r="I29" i="1"/>
  <c r="K160" i="1"/>
  <c r="K162" i="1" s="1"/>
  <c r="K27" i="1" s="1"/>
  <c r="J162" i="1"/>
  <c r="J27" i="1" s="1"/>
  <c r="J28" i="1" s="1"/>
  <c r="K26" i="1"/>
  <c r="K28" i="1" s="1"/>
  <c r="K32" i="1"/>
  <c r="I18" i="3"/>
  <c r="D28" i="4"/>
  <c r="D26" i="4"/>
  <c r="D30" i="4"/>
  <c r="D29" i="4"/>
  <c r="D27" i="4"/>
  <c r="H25" i="3"/>
  <c r="H30" i="3" s="1"/>
  <c r="H38" i="3" s="1"/>
  <c r="H39" i="3" s="1"/>
  <c r="J32" i="1"/>
  <c r="F33" i="3"/>
  <c r="G26" i="3"/>
  <c r="D103" i="3"/>
  <c r="D104" i="3" s="1"/>
  <c r="D101" i="3"/>
  <c r="D100" i="3" s="1"/>
  <c r="B128" i="3"/>
  <c r="B129" i="3"/>
  <c r="G33" i="3"/>
  <c r="H26" i="3"/>
  <c r="F26" i="4"/>
  <c r="F29" i="4"/>
  <c r="F27" i="4"/>
  <c r="F28" i="4"/>
  <c r="F30" i="4"/>
  <c r="H30" i="1"/>
  <c r="H29" i="1"/>
  <c r="D94" i="3"/>
  <c r="D95" i="3" s="1"/>
  <c r="D92" i="3"/>
  <c r="D91" i="3" s="1"/>
  <c r="K177" i="1"/>
  <c r="K180" i="1" s="1"/>
  <c r="K53" i="1" s="1"/>
  <c r="K56" i="1" s="1"/>
  <c r="J53" i="1"/>
  <c r="J56" i="1" s="1"/>
  <c r="L94" i="3"/>
  <c r="L95" i="3" s="1"/>
  <c r="L92" i="3"/>
  <c r="L91" i="3" s="1"/>
  <c r="G128" i="3"/>
  <c r="K142" i="1"/>
  <c r="K144" i="1" s="1"/>
  <c r="K92" i="1" s="1"/>
  <c r="K93" i="1" s="1"/>
  <c r="I33" i="1"/>
  <c r="G16" i="3"/>
  <c r="G17" i="3" s="1"/>
  <c r="L101" i="3"/>
  <c r="L100" i="3" s="1"/>
  <c r="L103" i="3"/>
  <c r="L104" i="3" s="1"/>
  <c r="E39" i="3"/>
  <c r="J143" i="1"/>
  <c r="H32" i="3"/>
  <c r="G170" i="1"/>
  <c r="G171" i="1" s="1"/>
  <c r="G86" i="1"/>
  <c r="G89" i="1" s="1"/>
  <c r="G94" i="1" s="1"/>
  <c r="G105" i="1" s="1"/>
  <c r="G107" i="1" s="1"/>
  <c r="G49" i="1" s="1"/>
  <c r="H106" i="1" l="1"/>
  <c r="G50" i="1"/>
  <c r="G58" i="1" s="1"/>
  <c r="K33" i="1"/>
  <c r="I16" i="3"/>
  <c r="H33" i="3"/>
  <c r="G130" i="3"/>
  <c r="J29" i="1"/>
  <c r="J30" i="1" s="1"/>
  <c r="H169" i="1"/>
  <c r="G75" i="1"/>
  <c r="G76" i="1" s="1"/>
  <c r="G78" i="1" s="1"/>
  <c r="H170" i="1"/>
  <c r="H86" i="1"/>
  <c r="H89" i="1" s="1"/>
  <c r="H94" i="1" s="1"/>
  <c r="H105" i="1" s="1"/>
  <c r="H107" i="1" s="1"/>
  <c r="H49" i="1" s="1"/>
  <c r="K29" i="1"/>
  <c r="K30" i="1" s="1"/>
  <c r="I86" i="1"/>
  <c r="I89" i="1" s="1"/>
  <c r="I94" i="1" s="1"/>
  <c r="I105" i="1" s="1"/>
  <c r="I170" i="1"/>
  <c r="I32" i="3"/>
  <c r="I33" i="3" s="1"/>
  <c r="K143" i="1"/>
  <c r="J33" i="1"/>
  <c r="H16" i="3"/>
  <c r="H17" i="3" s="1"/>
  <c r="I23" i="3"/>
  <c r="I21" i="3"/>
  <c r="I19" i="3"/>
  <c r="J86" i="1" l="1"/>
  <c r="J89" i="1" s="1"/>
  <c r="J94" i="1" s="1"/>
  <c r="J105" i="1" s="1"/>
  <c r="J170" i="1"/>
  <c r="K86" i="1"/>
  <c r="K89" i="1" s="1"/>
  <c r="K94" i="1" s="1"/>
  <c r="K105" i="1" s="1"/>
  <c r="K170" i="1"/>
  <c r="I26" i="3"/>
  <c r="H171" i="1"/>
  <c r="I30" i="3"/>
  <c r="I38" i="3" s="1"/>
  <c r="I102" i="3" s="1"/>
  <c r="E128" i="3" s="1"/>
  <c r="G80" i="1"/>
  <c r="I106" i="1"/>
  <c r="H50" i="1"/>
  <c r="H58" i="1" s="1"/>
  <c r="I42" i="3"/>
  <c r="I44" i="3" s="1"/>
  <c r="I45" i="3" s="1"/>
  <c r="I17" i="3"/>
  <c r="Q102" i="3"/>
  <c r="Q129" i="3" s="1"/>
  <c r="P100" i="3"/>
  <c r="Q104" i="3"/>
  <c r="I100" i="3"/>
  <c r="N103" i="3"/>
  <c r="H100" i="3"/>
  <c r="I107" i="1"/>
  <c r="I49" i="1" s="1"/>
  <c r="M101" i="3"/>
  <c r="M102" i="3" l="1"/>
  <c r="M103" i="3"/>
  <c r="G100" i="3"/>
  <c r="Q100" i="3"/>
  <c r="M104" i="3"/>
  <c r="O100" i="3"/>
  <c r="O130" i="3" s="1"/>
  <c r="F104" i="3"/>
  <c r="J106" i="1"/>
  <c r="J107" i="1" s="1"/>
  <c r="J49" i="1" s="1"/>
  <c r="I50" i="1"/>
  <c r="I58" i="1" s="1"/>
  <c r="N104" i="3"/>
  <c r="H102" i="3"/>
  <c r="P102" i="3"/>
  <c r="I169" i="1"/>
  <c r="I171" i="1" s="1"/>
  <c r="H75" i="1"/>
  <c r="H76" i="1" s="1"/>
  <c r="H78" i="1" s="1"/>
  <c r="H80" i="1" s="1"/>
  <c r="I39" i="3"/>
  <c r="C46" i="3" s="1"/>
  <c r="I46" i="3" s="1"/>
  <c r="I47" i="3" s="1"/>
  <c r="C43" i="3"/>
  <c r="C44" i="3" s="1"/>
  <c r="H95" i="3"/>
  <c r="Q93" i="3"/>
  <c r="Q128" i="3" s="1"/>
  <c r="P128" i="3" s="1"/>
  <c r="Q94" i="3"/>
  <c r="O95" i="3"/>
  <c r="O93" i="3"/>
  <c r="P94" i="3"/>
  <c r="E92" i="3"/>
  <c r="N94" i="3"/>
  <c r="G93" i="3"/>
  <c r="M93" i="3"/>
  <c r="O128" i="3" s="1"/>
  <c r="E93" i="3"/>
  <c r="C129" i="3" s="1"/>
  <c r="F95" i="3"/>
  <c r="I92" i="3"/>
  <c r="H93" i="3"/>
  <c r="P93" i="3"/>
  <c r="N93" i="3"/>
  <c r="I94" i="3"/>
  <c r="G95" i="3"/>
  <c r="O94" i="3"/>
  <c r="E94" i="3"/>
  <c r="E91" i="3"/>
  <c r="P91" i="3"/>
  <c r="E95" i="3"/>
  <c r="Q95" i="3"/>
  <c r="F93" i="3"/>
  <c r="I51" i="3"/>
  <c r="I93" i="3"/>
  <c r="E129" i="3" s="1"/>
  <c r="D129" i="3" s="1"/>
  <c r="M94" i="3"/>
  <c r="H92" i="3"/>
  <c r="I91" i="3"/>
  <c r="G92" i="3"/>
  <c r="M92" i="3"/>
  <c r="F94" i="3"/>
  <c r="G91" i="3"/>
  <c r="I95" i="3"/>
  <c r="O91" i="3"/>
  <c r="Q92" i="3"/>
  <c r="H94" i="3"/>
  <c r="Q91" i="3"/>
  <c r="N92" i="3"/>
  <c r="F92" i="3"/>
  <c r="O92" i="3"/>
  <c r="N91" i="3"/>
  <c r="F91" i="3"/>
  <c r="N95" i="3"/>
  <c r="P95" i="3"/>
  <c r="G94" i="3"/>
  <c r="H91" i="3"/>
  <c r="M91" i="3"/>
  <c r="P92" i="3"/>
  <c r="M95" i="3"/>
  <c r="H103" i="3"/>
  <c r="P101" i="3"/>
  <c r="O104" i="3"/>
  <c r="Q130" i="3" s="1"/>
  <c r="P130" i="3" s="1"/>
  <c r="Q103" i="3"/>
  <c r="I104" i="3"/>
  <c r="G102" i="3"/>
  <c r="F101" i="3"/>
  <c r="M100" i="3"/>
  <c r="I103" i="3"/>
  <c r="P103" i="3"/>
  <c r="G104" i="3"/>
  <c r="I101" i="3"/>
  <c r="H101" i="3"/>
  <c r="O101" i="3"/>
  <c r="E103" i="3"/>
  <c r="P104" i="3"/>
  <c r="G103" i="3"/>
  <c r="F103" i="3"/>
  <c r="N101" i="3"/>
  <c r="H104" i="3"/>
  <c r="N100" i="3"/>
  <c r="O102" i="3"/>
  <c r="O103" i="3"/>
  <c r="F100" i="3"/>
  <c r="E102" i="3"/>
  <c r="C128" i="3" s="1"/>
  <c r="D128" i="3" s="1"/>
  <c r="G101" i="3"/>
  <c r="E100" i="3"/>
  <c r="E104" i="3"/>
  <c r="N102" i="3"/>
  <c r="Q101" i="3"/>
  <c r="E101" i="3"/>
  <c r="F102" i="3"/>
  <c r="K106" i="1" l="1"/>
  <c r="K107" i="1" s="1"/>
  <c r="K49" i="1" s="1"/>
  <c r="K50" i="1" s="1"/>
  <c r="K58" i="1" s="1"/>
  <c r="J50" i="1"/>
  <c r="J58" i="1" s="1"/>
  <c r="C8" i="7"/>
  <c r="E8" i="7" s="1"/>
  <c r="D69" i="3"/>
  <c r="D8" i="7"/>
  <c r="F8" i="7" s="1"/>
  <c r="I49" i="3"/>
  <c r="I50" i="3" s="1"/>
  <c r="I75" i="1"/>
  <c r="I76" i="1" s="1"/>
  <c r="I78" i="1" s="1"/>
  <c r="J169" i="1"/>
  <c r="J171" i="1" s="1"/>
  <c r="I80" i="1"/>
  <c r="O129" i="3"/>
  <c r="P129" i="3" s="1"/>
  <c r="G129" i="3"/>
  <c r="C45" i="3"/>
  <c r="C51" i="3"/>
  <c r="C47" i="3" l="1"/>
  <c r="C49" i="3" s="1"/>
  <c r="C50" i="3" s="1"/>
  <c r="D79" i="3"/>
  <c r="D84" i="3"/>
  <c r="D78" i="3"/>
  <c r="L99" i="3" s="1"/>
  <c r="D71" i="3"/>
  <c r="D73" i="3" s="1"/>
  <c r="D99" i="3" s="1"/>
  <c r="D83" i="3"/>
  <c r="D82" i="3"/>
  <c r="D77" i="3"/>
  <c r="J75" i="1"/>
  <c r="J76" i="1" s="1"/>
  <c r="J78" i="1" s="1"/>
  <c r="K169" i="1"/>
  <c r="K171" i="1" s="1"/>
  <c r="K75" i="1" s="1"/>
  <c r="K76" i="1" s="1"/>
  <c r="K78" i="1" s="1"/>
  <c r="K80" i="1" s="1"/>
  <c r="J80" i="1"/>
  <c r="C7" i="7" l="1"/>
  <c r="E7" i="7" s="1"/>
  <c r="C69" i="3"/>
  <c r="D7" i="7"/>
  <c r="F7" i="7" s="1"/>
  <c r="C82" i="3" l="1"/>
  <c r="C79" i="3"/>
  <c r="C71" i="3"/>
  <c r="C73" i="3" s="1"/>
  <c r="C84" i="3"/>
  <c r="C83" i="3"/>
  <c r="C78" i="3"/>
  <c r="L90" i="3" s="1"/>
  <c r="C77" i="3"/>
  <c r="D90" i="3" l="1"/>
  <c r="H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8" authorId="0" shapeId="0" xr:uid="{00000000-0006-0000-0100-000001000000}">
      <text>
        <r>
          <rPr>
            <sz val="10"/>
            <rFont val="Arial"/>
            <family val="2"/>
          </rPr>
          <t>Source: Iceland Foods Ltd FY25 statutory accounts, Note 26 (p.54).</t>
        </r>
      </text>
    </comment>
    <comment ref="D8" authorId="0" shapeId="0" xr:uid="{00000000-0006-0000-0100-000007000000}">
      <text>
        <r>
          <rPr>
            <sz val="10"/>
            <rFont val="Arial"/>
            <family val="2"/>
          </rPr>
          <t>Source: Iceland Foods Ltd FY25 statutory accounts, Note 26 (p.54).</t>
        </r>
      </text>
    </comment>
    <comment ref="C9" authorId="0" shapeId="0" xr:uid="{00000000-0006-0000-0100-000002000000}">
      <text>
        <r>
          <rPr>
            <sz val="10"/>
            <rFont val="Arial"/>
            <family val="2"/>
          </rPr>
          <t>Source: Iceland Foods Ltd FY25 statutory accounts, Note 26 (p.54).</t>
        </r>
      </text>
    </comment>
    <comment ref="D9" authorId="0" shapeId="0" xr:uid="{00000000-0006-0000-0100-000008000000}">
      <text>
        <r>
          <rPr>
            <sz val="10"/>
            <rFont val="Arial"/>
            <family val="2"/>
          </rPr>
          <t>Source: Iceland Foods Ltd FY25 statutory accounts, Note 26 (p.54).</t>
        </r>
      </text>
    </comment>
    <comment ref="C10" authorId="0" shapeId="0" xr:uid="{00000000-0006-0000-0100-000003000000}">
      <text>
        <r>
          <rPr>
            <sz val="10"/>
            <rFont val="Arial"/>
            <family val="2"/>
          </rPr>
          <t>Source: Iceland Foods Ltd FY25 statutory accounts, Note 26 (p.54).</t>
        </r>
      </text>
    </comment>
    <comment ref="D10" authorId="0" shapeId="0" xr:uid="{00000000-0006-0000-0100-000009000000}">
      <text>
        <r>
          <rPr>
            <sz val="10"/>
            <rFont val="Arial"/>
            <family val="2"/>
          </rPr>
          <t>Source: Iceland Foods Ltd FY25 statutory accounts, Note 26 (p.54).</t>
        </r>
      </text>
    </comment>
    <comment ref="C11" authorId="0" shapeId="0" xr:uid="{00000000-0006-0000-0100-000004000000}">
      <text>
        <r>
          <rPr>
            <sz val="10"/>
            <rFont val="Arial"/>
            <family val="2"/>
          </rPr>
          <t>Source: Iceland Foods Ltd FY25 statutory accounts, Note 26 (p.54).</t>
        </r>
      </text>
    </comment>
    <comment ref="D11" authorId="0" shapeId="0" xr:uid="{00000000-0006-0000-0100-00000A000000}">
      <text>
        <r>
          <rPr>
            <sz val="10"/>
            <rFont val="Arial"/>
            <family val="2"/>
          </rPr>
          <t>Source: Iceland Foods Ltd FY25 statutory accounts, Note 26 (p.54).</t>
        </r>
      </text>
    </comment>
    <comment ref="C12" authorId="0" shapeId="0" xr:uid="{00000000-0006-0000-0100-000005000000}">
      <text>
        <r>
          <rPr>
            <sz val="10"/>
            <rFont val="Arial"/>
            <family val="2"/>
          </rPr>
          <t>Source: Iceland Foods Ltd FY25 statutory accounts, Note 26 (p.54).</t>
        </r>
      </text>
    </comment>
    <comment ref="D12" authorId="0" shapeId="0" xr:uid="{00000000-0006-0000-0100-00000B000000}">
      <text>
        <r>
          <rPr>
            <sz val="10"/>
            <rFont val="Arial"/>
            <family val="2"/>
          </rPr>
          <t>Source: Iceland Foods Ltd FY25 statutory accounts, Note 26 (p.54).</t>
        </r>
      </text>
    </comment>
    <comment ref="C14" authorId="0" shapeId="0" xr:uid="{00000000-0006-0000-0100-000006000000}">
      <text>
        <r>
          <rPr>
            <sz val="10"/>
            <rFont val="Arial"/>
            <family val="2"/>
          </rPr>
          <t>Source: FY25 accounts, Note 26 &amp; Strategic Report p.4.</t>
        </r>
      </text>
    </comment>
    <comment ref="D14" authorId="0" shapeId="0" xr:uid="{00000000-0006-0000-0100-00000C000000}">
      <text>
        <r>
          <rPr>
            <sz val="10"/>
            <rFont val="Arial"/>
            <family val="2"/>
          </rPr>
          <t>Source: FY25 accounts, Note 26 &amp; Strategic Report p.4.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8" authorId="0" shapeId="0" xr:uid="{00000000-0006-0000-0200-000002000000}">
      <text>
        <r>
          <rPr>
            <sz val="10"/>
            <rFont val="Arial"/>
            <family val="2"/>
          </rPr>
          <t>Set to 1: valuation date = last audited year-end (28-Mar-25), so Year 1 (FY26) is a FULL forecast year. YEARFRAC gave 1.008 because FY26 spans 368 days.</t>
        </r>
      </text>
    </comment>
    <comment ref="B27" authorId="0" shapeId="0" xr:uid="{00000000-0006-0000-0200-000001000000}">
      <text>
        <r>
          <rPr>
            <sz val="10"/>
            <rFont val="Arial"/>
            <family val="2"/>
          </rPr>
          <t>Fixed: previously only PP&amp;E capex was subtracted while total D&amp;A (incl. intangible amortisation) was added back — UFCF was overstated by c.£4m/yr. Now includes intangible additions (FSM row 178).</t>
        </r>
      </text>
    </comment>
    <comment ref="I51" authorId="0" shapeId="0" xr:uid="{00000000-0006-0000-0200-000003000000}">
      <text>
        <r>
          <rPr>
            <sz val="10"/>
            <rFont val="Arial"/>
            <family val="2"/>
          </rPr>
          <t>Wall Street Prep:
Implied g = [r -FCF(t)/TV]/(1+FCF(t)/TV)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10" authorId="0" shapeId="0" xr:uid="{00000000-0006-0000-0300-000001000000}">
      <text>
        <r>
          <rPr>
            <sz val="10"/>
            <rFont val="Arial"/>
            <family val="2"/>
          </rPr>
          <t xml:space="preserve">Ahmed Wael:
U.K. 10 Year Gilt
</t>
        </r>
      </text>
    </comment>
    <comment ref="C12" authorId="0" shapeId="0" xr:uid="{00000000-0006-0000-0300-000002000000}">
      <text>
        <r>
          <rPr>
            <sz val="10"/>
            <rFont val="Arial"/>
            <family val="2"/>
          </rPr>
          <t>Ahmed Wael:
country-risk premium</t>
        </r>
      </text>
    </comment>
    <comment ref="I39" authorId="0" shapeId="0" xr:uid="{00000000-0006-0000-0300-000004000000}">
      <text>
        <r>
          <rPr>
            <sz val="10"/>
            <rFont val="Arial"/>
            <family val="2"/>
          </rPr>
          <t>Ahmed Wael:
Unlevered Beta</t>
        </r>
      </text>
    </comment>
    <comment ref="C46" authorId="0" shapeId="0" xr:uid="{00000000-0006-0000-0300-000003000000}">
      <text>
        <r>
          <rPr>
            <sz val="10"/>
            <rFont val="Arial"/>
            <family val="2"/>
          </rPr>
          <t>Ahmed Wael:
Re-levered Beta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7" authorId="0" shapeId="0" xr:uid="{00000000-0006-0000-0400-000001000000}">
      <text>
        <r>
          <rPr>
            <sz val="10"/>
            <rFont val="Arial"/>
            <family val="2"/>
          </rPr>
          <t>Source: LSE close used in WACC sheet (consistent basis).</t>
        </r>
      </text>
    </comment>
    <comment ref="E7" authorId="0" shapeId="0" xr:uid="{00000000-0006-0000-0400-000004000000}">
      <text>
        <r>
          <rPr>
            <sz val="10"/>
            <rFont val="Arial"/>
            <family val="2"/>
          </rPr>
          <t>Diluted shares (m) — same basis as WACC sheet beta table.</t>
        </r>
      </text>
    </comment>
    <comment ref="G7" authorId="0" shapeId="0" xr:uid="{00000000-0006-0000-0400-000009000000}">
      <text>
        <r>
          <rPr>
            <sz val="10"/>
            <rFont val="Arial"/>
            <family val="2"/>
          </rPr>
          <t>Source: Tesco FY25/26 prelims (Apr 2026): net debt £10,563m incl. leases.</t>
        </r>
      </text>
    </comment>
    <comment ref="J7" authorId="0" shapeId="0" xr:uid="{00000000-0006-0000-0400-00000E000000}">
      <text>
        <r>
          <rPr>
            <sz val="10"/>
            <rFont val="Arial"/>
            <family val="2"/>
          </rPr>
          <t>Approx. FY25/26 Group revenue incl. fuel. Refine from annual report in a live deal.</t>
        </r>
      </text>
    </comment>
    <comment ref="K7" authorId="0" shapeId="0" xr:uid="{00000000-0006-0000-0400-000011000000}">
      <text>
        <r>
          <rPr>
            <sz val="10"/>
            <rFont val="Arial"/>
            <family val="2"/>
          </rPr>
          <t>Derived: net debt £10,563m at stated 2.1x net debt/EBITDA (FY25/26 prelims) = c.£5.0bn.</t>
        </r>
      </text>
    </comment>
    <comment ref="L7" authorId="0" shapeId="0" xr:uid="{00000000-0006-0000-0400-000014000000}">
      <text>
        <r>
          <rPr>
            <sz val="10"/>
            <rFont val="Arial"/>
            <family val="2"/>
          </rPr>
          <t>FY25/26 Group adjusted operating profit c.£3.0bn (guidance £2.9–3.1bn, delivered).</t>
        </r>
      </text>
    </comment>
    <comment ref="D8" authorId="0" shapeId="0" xr:uid="{00000000-0006-0000-0400-000002000000}">
      <text>
        <r>
          <rPr>
            <sz val="10"/>
            <rFont val="Arial"/>
            <family val="2"/>
          </rPr>
          <t>Source: close 23 Apr 2026 post-prelims (334.7p).</t>
        </r>
      </text>
    </comment>
    <comment ref="E8" authorId="0" shapeId="0" xr:uid="{00000000-0006-0000-0400-000005000000}">
      <text>
        <r>
          <rPr>
            <sz val="10"/>
            <rFont val="Arial"/>
            <family val="2"/>
          </rPr>
          <t>Diluted shares (m) — same basis as WACC sheet beta table.</t>
        </r>
      </text>
    </comment>
    <comment ref="G8" authorId="0" shapeId="0" xr:uid="{00000000-0006-0000-0400-00000A000000}">
      <text>
        <r>
          <rPr>
            <sz val="10"/>
            <rFont val="Arial"/>
            <family val="2"/>
          </rPr>
          <t>Source: Sainsbury FY25/26 prelims: net debt incl. leases c.£5.74bn (2.6x EBITDA).</t>
        </r>
      </text>
    </comment>
    <comment ref="J8" authorId="0" shapeId="0" xr:uid="{00000000-0006-0000-0400-00000F000000}">
      <text>
        <r>
          <rPr>
            <sz val="10"/>
            <rFont val="Arial"/>
            <family val="2"/>
          </rPr>
          <t>Approx. Group revenue incl. fuel, FY25/26.</t>
        </r>
      </text>
    </comment>
    <comment ref="K8" authorId="0" shapeId="0" xr:uid="{00000000-0006-0000-0400-000012000000}">
      <text>
        <r>
          <rPr>
            <sz val="10"/>
            <rFont val="Arial"/>
            <family val="2"/>
          </rPr>
          <t>Source: FY25/26 prelims — Group underlying EBITDA £2,222m (52-wk rolling).</t>
        </r>
      </text>
    </comment>
    <comment ref="L8" authorId="0" shapeId="0" xr:uid="{00000000-0006-0000-0400-000015000000}">
      <text>
        <r>
          <rPr>
            <sz val="10"/>
            <rFont val="Arial"/>
            <family val="2"/>
          </rPr>
          <t>Retail underlying operating profit £1,025m + Financial Services c.£10m.</t>
        </r>
      </text>
    </comment>
    <comment ref="D9" authorId="0" shapeId="0" xr:uid="{00000000-0006-0000-0400-000003000000}">
      <text>
        <r>
          <rPr>
            <sz val="10"/>
            <rFont val="Arial"/>
            <family val="2"/>
          </rPr>
          <t>Source: c.315p, May 2026 (post FY25/26 results).</t>
        </r>
      </text>
    </comment>
    <comment ref="E9" authorId="0" shapeId="0" xr:uid="{00000000-0006-0000-0400-000006000000}">
      <text>
        <r>
          <rPr>
            <sz val="10"/>
            <rFont val="Arial"/>
            <family val="2"/>
          </rPr>
          <t>Diluted shares (m) — same basis as WACC sheet beta table.</t>
        </r>
      </text>
    </comment>
    <comment ref="G9" authorId="0" shapeId="0" xr:uid="{00000000-0006-0000-0400-00000B000000}">
      <text>
        <r>
          <rPr>
            <sz val="10"/>
            <rFont val="Arial"/>
            <family val="2"/>
          </rPr>
          <t>Net debt incl. lease liabilities (approx; M&amp;S is net funds ex-leases).</t>
        </r>
      </text>
    </comment>
    <comment ref="J9" authorId="0" shapeId="0" xr:uid="{00000000-0006-0000-0400-000010000000}">
      <text>
        <r>
          <rPr>
            <sz val="10"/>
            <rFont val="Arial"/>
            <family val="2"/>
          </rPr>
          <t>FY25/26 Group sales £17.4bn incl. first-time consolidation of Ocado Retail.</t>
        </r>
      </text>
    </comment>
    <comment ref="K9" authorId="0" shapeId="0" xr:uid="{00000000-0006-0000-0400-000013000000}">
      <text>
        <r>
          <rPr>
            <sz val="10"/>
            <rFont val="Arial"/>
            <family val="2"/>
          </rPr>
          <t>Estimate: adj. operating profit c.£0.8bn + D&amp;A c.£0.7bn. Cyber-incident year — treat with caution.</t>
        </r>
      </text>
    </comment>
    <comment ref="L9" authorId="0" shapeId="0" xr:uid="{00000000-0006-0000-0400-000016000000}">
      <text>
        <r>
          <rPr>
            <sz val="10"/>
            <rFont val="Arial"/>
            <family val="2"/>
          </rPr>
          <t>Approx. FY25/26 adjusted operating profit (cyber-impacted).</t>
        </r>
      </text>
    </comment>
    <comment ref="E20" authorId="0" shapeId="0" xr:uid="{00000000-0006-0000-0400-000007000000}">
      <text>
        <r>
          <rPr>
            <sz val="10"/>
            <rFont val="Arial"/>
            <family val="2"/>
          </rPr>
          <t>Iceland FY25 Normalized EBITDA £142.1m.</t>
        </r>
      </text>
    </comment>
    <comment ref="G20" authorId="0" shapeId="0" xr:uid="{00000000-0006-0000-0400-00000C000000}">
      <text>
        <r>
          <rPr>
            <sz val="10"/>
            <rFont val="Arial"/>
            <family val="2"/>
          </rPr>
          <t>Net debt from DCF bridge (£624.1m).</t>
        </r>
      </text>
    </comment>
    <comment ref="E21" authorId="0" shapeId="0" xr:uid="{00000000-0006-0000-0400-000008000000}">
      <text>
        <r>
          <rPr>
            <sz val="10"/>
            <rFont val="Arial"/>
            <family val="2"/>
          </rPr>
          <t>Iceland FY25 Normalized EBITDA £142.1m.</t>
        </r>
      </text>
    </comment>
    <comment ref="G21" authorId="0" shapeId="0" xr:uid="{00000000-0006-0000-0400-00000D000000}">
      <text>
        <r>
          <rPr>
            <sz val="10"/>
            <rFont val="Arial"/>
            <family val="2"/>
          </rPr>
          <t>Net debt from DCF bridge (£624.1m).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G7" authorId="0" shapeId="0" xr:uid="{00000000-0006-0000-0500-000001000000}">
      <text>
        <r>
          <rPr>
            <sz val="10"/>
            <rFont val="Arial"/>
            <family val="2"/>
          </rPr>
          <t>Source: Rule 2.7 announcement 19 Aug 2021 — equity c.£7.0bn fully diluted, implied EV c.£9.7–9.8bn.</t>
        </r>
      </text>
    </comment>
    <comment ref="I7" authorId="0" shapeId="0" xr:uid="{00000000-0006-0000-0500-000005000000}">
      <text>
        <r>
          <rPr>
            <sz val="10"/>
            <rFont val="Arial"/>
            <family val="2"/>
          </rPr>
          <t>Underlying EBITDA post-IFRS 16, 52wks to Jan-2021, c.£1.15bn (Fortress bid at 254p = 8.3x; CD&amp;R final higher).</t>
        </r>
      </text>
    </comment>
    <comment ref="J7" authorId="0" shapeId="0" xr:uid="{00000000-0006-0000-0500-000009000000}">
      <text>
        <r>
          <rPr>
            <sz val="10"/>
            <rFont val="Arial"/>
            <family val="2"/>
          </rPr>
          <t>61% premium to undisturbed price (per offer documents).</t>
        </r>
      </text>
    </comment>
    <comment ref="G8" authorId="0" shapeId="0" xr:uid="{00000000-0006-0000-0500-000002000000}">
      <text>
        <r>
          <rPr>
            <sz val="10"/>
            <rFont val="Arial"/>
            <family val="2"/>
          </rPr>
          <t>Source: Walmart sale announcement — EV £6.8bn.</t>
        </r>
      </text>
    </comment>
    <comment ref="I8" authorId="0" shapeId="0" xr:uid="{00000000-0006-0000-0500-000006000000}">
      <text>
        <r>
          <rPr>
            <sz val="10"/>
            <rFont val="Arial"/>
            <family val="2"/>
          </rPr>
          <t>Approx. pre-deal EBITDA c.£1.1–1.2bn. Private sale by Walmart — refine from deal docs in live work.</t>
        </r>
      </text>
    </comment>
    <comment ref="J8" authorId="0" shapeId="0" xr:uid="{00000000-0006-0000-0500-00000A000000}">
      <text>
        <r>
          <rPr>
            <sz val="10"/>
            <rFont val="Arial"/>
            <family val="2"/>
          </rPr>
          <t>Private sale — no listed premium (NM).</t>
        </r>
      </text>
    </comment>
    <comment ref="G9" authorId="0" shapeId="0" xr:uid="{00000000-0006-0000-0500-000003000000}">
      <text>
        <r>
          <rPr>
            <sz val="10"/>
            <rFont val="Arial"/>
            <family val="2"/>
          </rPr>
          <t>Source: 2012 buyout of Landsbanki/Glitnir estates stakes — EV c.£1.45bn. THE SAME COMPANY — most relevant data point.</t>
        </r>
      </text>
    </comment>
    <comment ref="I9" authorId="0" shapeId="0" xr:uid="{00000000-0006-0000-0500-000007000000}">
      <text>
        <r>
          <rPr>
            <sz val="10"/>
            <rFont val="Arial"/>
            <family val="2"/>
          </rPr>
          <t>FY2012 EBITDA c.£230m.</t>
        </r>
      </text>
    </comment>
    <comment ref="J9" authorId="0" shapeId="0" xr:uid="{00000000-0006-0000-0500-00000B000000}">
      <text>
        <r>
          <rPr>
            <sz val="10"/>
            <rFont val="Arial"/>
            <family val="2"/>
          </rPr>
          <t>Private process — NM.</t>
        </r>
      </text>
    </comment>
    <comment ref="G10" authorId="0" shapeId="0" xr:uid="{00000000-0006-0000-0500-000004000000}">
      <text>
        <r>
          <rPr>
            <sz val="10"/>
            <rFont val="Arial"/>
            <family val="2"/>
          </rPr>
          <t>Source: Tesco/Booker merger announcement — c.£3.7bn.</t>
        </r>
      </text>
    </comment>
    <comment ref="I10" authorId="0" shapeId="0" xr:uid="{00000000-0006-0000-0500-000008000000}">
      <text>
        <r>
          <rPr>
            <sz val="10"/>
            <rFont val="Arial"/>
            <family val="2"/>
          </rPr>
          <t>Booker LTM EBITDA c.£220m → c.17x: wholesale platform with large stated synergies. EXCLUDED from stats as non-comparable.</t>
        </r>
      </text>
    </comment>
    <comment ref="J10" authorId="0" shapeId="0" xr:uid="{00000000-0006-0000-0500-00000C000000}">
      <text>
        <r>
          <rPr>
            <sz val="10"/>
            <rFont val="Arial"/>
            <family val="2"/>
          </rPr>
          <t>c.12% headline premium (share-and-cash offer; approx.).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12" authorId="0" shapeId="0" xr:uid="{00000000-0006-0000-0600-000001000000}">
      <text>
        <r>
          <rPr>
            <sz val="10"/>
            <rFont val="Arial"/>
            <family val="2"/>
          </rPr>
          <t>Gross debt 762.7 + pref 0.1 − cash 123.8 − equity investments 14.9 = 624.1</t>
        </r>
      </text>
    </comment>
    <comment ref="C14" authorId="0" shapeId="0" xr:uid="{00000000-0006-0000-0600-000002000000}">
      <text>
        <r>
          <rPr>
            <sz val="10"/>
            <rFont val="Arial"/>
            <family val="2"/>
          </rPr>
          <t>Judgment: overlap zone of the four methods.</t>
        </r>
      </text>
    </comment>
    <comment ref="D14" authorId="0" shapeId="0" xr:uid="{00000000-0006-0000-0600-000004000000}">
      <text>
        <r>
          <rPr>
            <sz val="10"/>
            <rFont val="Arial"/>
            <family val="2"/>
          </rPr>
          <t>Judgment: overlap zone of the four methods.</t>
        </r>
      </text>
    </comment>
    <comment ref="C17" authorId="0" shapeId="0" xr:uid="{00000000-0006-0000-0600-000003000000}">
      <text>
        <r>
          <rPr>
            <sz val="10"/>
            <rFont val="Arial"/>
            <family val="2"/>
          </rPr>
          <t>DLOM applies to MINORITY stakes in private companies (typical studies: 10-25%). In a CONTROL sale (Intercap M&amp;A context) the buyer acquires the whole business and can exit it, so DLOM is generally NOT applied. Toggle to e.g. 15% to see a minority-basis value.</t>
        </r>
      </text>
    </comment>
  </commentList>
</comments>
</file>

<file path=xl/sharedStrings.xml><?xml version="1.0" encoding="utf-8"?>
<sst xmlns="http://schemas.openxmlformats.org/spreadsheetml/2006/main" count="416" uniqueCount="324">
  <si>
    <t>All amounts are shown in Millions of Pounds (£'m), except per-share data, ratios, and shares outstanding</t>
  </si>
  <si>
    <t>Company Name</t>
  </si>
  <si>
    <t>Iceland Foods Limited</t>
  </si>
  <si>
    <t>Ticker</t>
  </si>
  <si>
    <t>Latest Closing Share Price</t>
  </si>
  <si>
    <t>Latest Closing Share Price Date</t>
  </si>
  <si>
    <t>Last Historical Year</t>
  </si>
  <si>
    <t>Shares outstanding</t>
  </si>
  <si>
    <t>INCOME STATEMENT</t>
  </si>
  <si>
    <t xml:space="preserve">Fiscal year  </t>
  </si>
  <si>
    <t>Fiscal year end date</t>
  </si>
  <si>
    <t>Turnover</t>
  </si>
  <si>
    <t>Cost of sales</t>
  </si>
  <si>
    <t>Exceptional cost of sales</t>
  </si>
  <si>
    <t>Gross profit</t>
  </si>
  <si>
    <t>Administrative expenses before exceptionals</t>
  </si>
  <si>
    <t>Exceptional administrative expenses</t>
  </si>
  <si>
    <t>Operating Profit (EBIT)</t>
  </si>
  <si>
    <t>Amounts written off investments</t>
  </si>
  <si>
    <t>Movement in fair value of derivatives</t>
  </si>
  <si>
    <t>Profit on disposal of subsidiary undertaking</t>
  </si>
  <si>
    <t>Profit on ordinary activities before interest/tax</t>
  </si>
  <si>
    <t>Net interest payable</t>
  </si>
  <si>
    <t>(Loss) / profit on ordinary activities before tax</t>
  </si>
  <si>
    <t>Taxation on (loss)/profit on ordinary activities</t>
  </si>
  <si>
    <t>(Loss)/profit and total comprehensive income</t>
  </si>
  <si>
    <t>EBITDA</t>
  </si>
  <si>
    <t>EBITDA margin %</t>
  </si>
  <si>
    <t>Growth Rates &amp; Margins</t>
  </si>
  <si>
    <t>Revenue growth</t>
  </si>
  <si>
    <t>Gross Margin % of Revenue</t>
  </si>
  <si>
    <t>Tax rate</t>
  </si>
  <si>
    <t>BALANCE SHEET</t>
  </si>
  <si>
    <t>ASSETS</t>
  </si>
  <si>
    <t>Current Assets</t>
  </si>
  <si>
    <t>Stocks</t>
  </si>
  <si>
    <t>Debtors</t>
  </si>
  <si>
    <t>Cash at bank and in hand</t>
  </si>
  <si>
    <t>Total Current Assets</t>
  </si>
  <si>
    <t>Fixed Assets</t>
  </si>
  <si>
    <t>Intangible assets</t>
  </si>
  <si>
    <t>Tangible assets</t>
  </si>
  <si>
    <t>Investments</t>
  </si>
  <si>
    <t>Total Non-Current Assets</t>
  </si>
  <si>
    <t>Total Assets</t>
  </si>
  <si>
    <t>LIABILITIES AND EQUITY</t>
  </si>
  <si>
    <t>Current Liabilities</t>
  </si>
  <si>
    <t>Creditors: amounts falling due within 1 year</t>
  </si>
  <si>
    <t>Total Current Liabilities</t>
  </si>
  <si>
    <t>Non-Current Liabilities</t>
  </si>
  <si>
    <t>Creditors: amounts falling due after &gt; 1 year</t>
  </si>
  <si>
    <t>Provisions for liabilities</t>
  </si>
  <si>
    <t>Total Non-Current Liabilities</t>
  </si>
  <si>
    <t>Total Liabilities</t>
  </si>
  <si>
    <t>Equity</t>
  </si>
  <si>
    <t>Called up share capital</t>
  </si>
  <si>
    <t>Profit and loss account (Retained Earnings)</t>
  </si>
  <si>
    <t>Total Equity</t>
  </si>
  <si>
    <t>Total Liabilites &amp; Equity</t>
  </si>
  <si>
    <t>Balance Check</t>
  </si>
  <si>
    <t>CASH FLOW STATEMENT</t>
  </si>
  <si>
    <t>Net income</t>
  </si>
  <si>
    <t>Depreciation of property, plant and equipment</t>
  </si>
  <si>
    <t>Amortization</t>
  </si>
  <si>
    <t>Operating cash flow before working capital</t>
  </si>
  <si>
    <t>Changes in Working Capital</t>
  </si>
  <si>
    <t>Net change in working capital</t>
  </si>
  <si>
    <t>Cash Generated from Operations</t>
  </si>
  <si>
    <t>Net cash flows from operating activities</t>
  </si>
  <si>
    <t>CASH FLOWS FROM INVESTING ACTIVITIES</t>
  </si>
  <si>
    <t>Paid to purchase property, plant and equipment</t>
  </si>
  <si>
    <t>Purchase of intangible assets</t>
  </si>
  <si>
    <t>Net cash flows used in investing activities</t>
  </si>
  <si>
    <t>CASH FLOWS FROM FINANCING ACTIVITIES</t>
  </si>
  <si>
    <t>N/A</t>
  </si>
  <si>
    <t>Net cash flow from financing activities</t>
  </si>
  <si>
    <t>Net change in cash and cash equivalents</t>
  </si>
  <si>
    <t>Cash and cash equivalents at 1 January</t>
  </si>
  <si>
    <t>Cash and cash equivalents at 31 December</t>
  </si>
  <si>
    <t>Reconciliation Check vs BS Cash</t>
  </si>
  <si>
    <t>PROPERTY, PLANT &amp; EQUIPMENT</t>
  </si>
  <si>
    <t>Beginning of period</t>
  </si>
  <si>
    <t>Plus: Capital expenditures</t>
  </si>
  <si>
    <t>Less: Depreciation</t>
  </si>
  <si>
    <t>End of period</t>
  </si>
  <si>
    <t>CapEx % of revenue</t>
  </si>
  <si>
    <t>PP&amp;E depreciation as % of revenue</t>
  </si>
  <si>
    <t>IMPUTING TOTAL DEPRECIATION &amp; AMORTIZATION</t>
  </si>
  <si>
    <t>D&amp;A not related to PP&amp;E</t>
  </si>
  <si>
    <t>as % of revenue</t>
  </si>
  <si>
    <t xml:space="preserve">Depreciation &amp; Amortization - Total </t>
  </si>
  <si>
    <t>WORKING CAPITAL SCHEDULE</t>
  </si>
  <si>
    <t>Operating Working Capital Assets</t>
  </si>
  <si>
    <t>Total Operating WC Assets</t>
  </si>
  <si>
    <t>Operating Working Capital Liabilities</t>
  </si>
  <si>
    <t>Total Operating WC Liabilities</t>
  </si>
  <si>
    <t>Net Working Capital</t>
  </si>
  <si>
    <t>NWC as % of revenue</t>
  </si>
  <si>
    <t>Change in NWC (− = cash used)</t>
  </si>
  <si>
    <t>WC DRIVERS (DAYS)</t>
  </si>
  <si>
    <t>DIO (days, off COGS)</t>
  </si>
  <si>
    <t>DSO (days, off revenue)</t>
  </si>
  <si>
    <t>DPO (days, off COGS)</t>
  </si>
  <si>
    <t>DEBT &amp; INTEREST SCHEDULE</t>
  </si>
  <si>
    <t>Total Debt</t>
  </si>
  <si>
    <t>"Group Bonds / Intercompany Debt"</t>
  </si>
  <si>
    <t>Effective interest rate</t>
  </si>
  <si>
    <t>Finance costs</t>
  </si>
  <si>
    <t>EQUITY &amp; NCI ROLL-FORWARD</t>
  </si>
  <si>
    <t>Retained Earnings</t>
  </si>
  <si>
    <t>Plus: Net income</t>
  </si>
  <si>
    <t>End of period (= BS)</t>
  </si>
  <si>
    <t>Additions</t>
  </si>
  <si>
    <t>Additions % revenue</t>
  </si>
  <si>
    <t>Amortization % revenue</t>
  </si>
  <si>
    <t>Iceland Foods Limited - Normalized (Adjusted) EBITDA</t>
  </si>
  <si>
    <t>Reconciliation of statutory profit to Adjusted EBITDA, per Note 26 of the FY25 statutory accounts (£'m)</t>
  </si>
  <si>
    <t>FY2024</t>
  </si>
  <si>
    <t>FY2025</t>
  </si>
  <si>
    <t>Profit on ordinary activities before interest &amp; tax</t>
  </si>
  <si>
    <t>Add: Depreciation &amp; amortisation</t>
  </si>
  <si>
    <t>Add: Exceptional expenses</t>
  </si>
  <si>
    <t>Add: Movement in fair value of derivatives</t>
  </si>
  <si>
    <t>Less: Profit on disposal of subsidiary</t>
  </si>
  <si>
    <t>Add/(Less): Transfer pricing adjustment</t>
  </si>
  <si>
    <t>Add: Loss on disposal of fixed assets</t>
  </si>
  <si>
    <t>Normalized (Adjusted) EBITDA</t>
  </si>
  <si>
    <t>Check vs company-reported Adjusted EBITDA (Note 26)</t>
  </si>
  <si>
    <t>Difference (must be zero)</t>
  </si>
  <si>
    <t>Discounted Cash Flow Valuation</t>
  </si>
  <si>
    <t>Most recent fiscal year end</t>
  </si>
  <si>
    <t>Discount rate (WACC)</t>
  </si>
  <si>
    <t>Link from WACC</t>
  </si>
  <si>
    <t>End of first fiscal year</t>
  </si>
  <si>
    <t>Most recent quarter end date</t>
  </si>
  <si>
    <t xml:space="preserve">Valuation date </t>
  </si>
  <si>
    <t>Implied Share Price</t>
  </si>
  <si>
    <t>Portion of First Year Cash Flows</t>
  </si>
  <si>
    <t>Midyear adjustment?</t>
  </si>
  <si>
    <t>Unlevered Free Cash Flows</t>
  </si>
  <si>
    <t>LTM</t>
  </si>
  <si>
    <t>Actual</t>
  </si>
  <si>
    <t>Forecasts</t>
  </si>
  <si>
    <t>Fiscal year ended</t>
  </si>
  <si>
    <t>Revenue</t>
  </si>
  <si>
    <t>% growth</t>
  </si>
  <si>
    <t>% margin</t>
  </si>
  <si>
    <t>EBIT</t>
  </si>
  <si>
    <t>Tax on EBIT</t>
  </si>
  <si>
    <t>NOPAT (aka EBIAT)</t>
  </si>
  <si>
    <t>Depreciation &amp; amortization</t>
  </si>
  <si>
    <t>Changes in net working capital</t>
  </si>
  <si>
    <t>Capital expenditures (PP&amp;E + intangibles)</t>
  </si>
  <si>
    <t>Unlevered free cash flows (UFCF)</t>
  </si>
  <si>
    <t>Net working capital (WC Assets - WC liabilities)</t>
  </si>
  <si>
    <t>Val date</t>
  </si>
  <si>
    <t xml:space="preserve">Yr 1 - Stub </t>
  </si>
  <si>
    <t>Year 2</t>
  </si>
  <si>
    <t>Year 3</t>
  </si>
  <si>
    <t>Year 4</t>
  </si>
  <si>
    <t>Year 5</t>
  </si>
  <si>
    <t>Date for discounting cash flows</t>
  </si>
  <si>
    <t>Unlevered free cash flows (UFCF) stub adjusted</t>
  </si>
  <si>
    <t>Present value of of unlevered free cash flows</t>
  </si>
  <si>
    <t>Terminal value - growth in perpetuity approach</t>
  </si>
  <si>
    <t>Terminal value - EBITDA multiple approach</t>
  </si>
  <si>
    <t>Long term growth rate</t>
  </si>
  <si>
    <t>Terminal year EBITDA</t>
  </si>
  <si>
    <t>EBITDA multiple</t>
  </si>
  <si>
    <t>Present value of terminal value</t>
  </si>
  <si>
    <t>Present value of stage 1 cash flows</t>
  </si>
  <si>
    <t>Total enterprise value (TEV)</t>
  </si>
  <si>
    <t>Enterprise value (stage 1 + 2)</t>
  </si>
  <si>
    <t>Terminal value as % of TEV</t>
  </si>
  <si>
    <t>Stage 1 cash flows as % of TEV</t>
  </si>
  <si>
    <t>Cash flows as % of TEV</t>
  </si>
  <si>
    <t>Implied TV exit EBITDA multiple</t>
  </si>
  <si>
    <t>Implied terminal growth rate</t>
  </si>
  <si>
    <t>Net debt</t>
  </si>
  <si>
    <t>Source doc</t>
  </si>
  <si>
    <t>Source date</t>
  </si>
  <si>
    <t>Date</t>
  </si>
  <si>
    <t>Shares</t>
  </si>
  <si>
    <t>Gross debt and equivalents</t>
  </si>
  <si>
    <t>Basic shares</t>
  </si>
  <si>
    <t>Debt</t>
  </si>
  <si>
    <t>Restricted stock / RSUs</t>
  </si>
  <si>
    <t>Convertible debt</t>
  </si>
  <si>
    <t>Options / warrants</t>
  </si>
  <si>
    <t>Preferred stock</t>
  </si>
  <si>
    <t>Noncontrolling (minority) interests</t>
  </si>
  <si>
    <t>Convertible preferred stock</t>
  </si>
  <si>
    <t>Nonoperating assets</t>
  </si>
  <si>
    <t>Net diluted shares outstanding</t>
  </si>
  <si>
    <t xml:space="preserve">Cash </t>
  </si>
  <si>
    <t xml:space="preserve">Equity investments </t>
  </si>
  <si>
    <t>Debt securities (optional cash asset)</t>
  </si>
  <si>
    <t>Valuation</t>
  </si>
  <si>
    <t>Perpetuity</t>
  </si>
  <si>
    <t>Enterprise value</t>
  </si>
  <si>
    <t xml:space="preserve">Equity value </t>
  </si>
  <si>
    <t>Equity value per share</t>
  </si>
  <si>
    <t>Last twelve months (LTM)</t>
  </si>
  <si>
    <t>EV / Revenue</t>
  </si>
  <si>
    <t xml:space="preserve">EV / EBITDA </t>
  </si>
  <si>
    <t>EV / EBIT</t>
  </si>
  <si>
    <t>Year 1</t>
  </si>
  <si>
    <t>Outputs</t>
  </si>
  <si>
    <t>LTM EBITDA multiple</t>
  </si>
  <si>
    <t>Long term growth rate (g):</t>
  </si>
  <si>
    <t>WACC:</t>
  </si>
  <si>
    <t xml:space="preserve">Data </t>
  </si>
  <si>
    <t>Tables</t>
  </si>
  <si>
    <t>Exit EBITDA Multiple</t>
  </si>
  <si>
    <t>Equity value range</t>
  </si>
  <si>
    <t>Football field</t>
  </si>
  <si>
    <t>Low</t>
  </si>
  <si>
    <t>Diff.</t>
  </si>
  <si>
    <t>High</t>
  </si>
  <si>
    <t>52 Week Market High/Low</t>
  </si>
  <si>
    <t>WACC Buildup</t>
  </si>
  <si>
    <t>Cost of capital assumptions</t>
  </si>
  <si>
    <t>Cost of debt</t>
  </si>
  <si>
    <t>Cost of debt (after tax)</t>
  </si>
  <si>
    <t xml:space="preserve">Risk free rate </t>
  </si>
  <si>
    <t xml:space="preserve">Beta </t>
  </si>
  <si>
    <t>Market risk premium</t>
  </si>
  <si>
    <t>Cost of equity</t>
  </si>
  <si>
    <t>Capital weights (capital structure)</t>
  </si>
  <si>
    <t xml:space="preserve">Target </t>
  </si>
  <si>
    <t xml:space="preserve">Current </t>
  </si>
  <si>
    <t>(override)</t>
  </si>
  <si>
    <t>% of total</t>
  </si>
  <si>
    <t>Cost of capital (WACC)</t>
  </si>
  <si>
    <t>WACC sensitivity to MRP and Beta</t>
  </si>
  <si>
    <t>Beta</t>
  </si>
  <si>
    <t>Market</t>
  </si>
  <si>
    <t>Risk</t>
  </si>
  <si>
    <t>Premium</t>
  </si>
  <si>
    <t>Select Beta for model</t>
  </si>
  <si>
    <t>Industry</t>
  </si>
  <si>
    <t>Observed</t>
  </si>
  <si>
    <t>Industry beta</t>
  </si>
  <si>
    <t>Observed b</t>
  </si>
  <si>
    <t>Share price</t>
  </si>
  <si>
    <t>Dil. shares</t>
  </si>
  <si>
    <t>Market cap</t>
  </si>
  <si>
    <t>Net Debt</t>
  </si>
  <si>
    <t>Delev. b</t>
  </si>
  <si>
    <t>Tesco PLC (TSCO.L)</t>
  </si>
  <si>
    <t>J Sainsbury plc (SBRY.L)</t>
  </si>
  <si>
    <t>Marks and Spencer Group plc (MKS.L)</t>
  </si>
  <si>
    <t>Industry average delevered beta</t>
  </si>
  <si>
    <t>Comparable Company Analysis (Trading Comps)</t>
  </si>
  <si>
    <t>£ in millions except per-share. Market data as of latest available dates shown in comments; peer financials = latest reported FY.</t>
  </si>
  <si>
    <t>Company</t>
  </si>
  <si>
    <t>Price £</t>
  </si>
  <si>
    <t>LTM Revenue</t>
  </si>
  <si>
    <t>LTM EBITDA</t>
  </si>
  <si>
    <t>LTM EBIT</t>
  </si>
  <si>
    <t>EV / Rev</t>
  </si>
  <si>
    <t>EV / EBITDA</t>
  </si>
  <si>
    <t>TSCO.L</t>
  </si>
  <si>
    <t>Tesco PLC</t>
  </si>
  <si>
    <t>SBRY.L</t>
  </si>
  <si>
    <t>J Sainsbury plc</t>
  </si>
  <si>
    <t>MKS.L</t>
  </si>
  <si>
    <t>Marks &amp; Spencer Group plc</t>
  </si>
  <si>
    <t>Mean</t>
  </si>
  <si>
    <t>Median</t>
  </si>
  <si>
    <t>Implied valuation of Iceland Foods (off Normalized EBITDA)</t>
  </si>
  <si>
    <t>EV/Revenue is shown but NOT used: peers run 7–13% EBITDA margins vs Iceland's 3.5% — same revenue is worth far less.</t>
  </si>
  <si>
    <t>Multiple</t>
  </si>
  <si>
    <t>× EBITDA</t>
  </si>
  <si>
    <t>EV</t>
  </si>
  <si>
    <t>− Net debt</t>
  </si>
  <si>
    <t>At peer median EV/EBITDA</t>
  </si>
  <si>
    <t>At peer mean EV/EBITDA</t>
  </si>
  <si>
    <t>Precedent Transaction Analysis (Transaction Comps)</t>
  </si>
  <si>
    <t>£ in millions. UK grocery M&amp;A. Deal metrics from public offer documents / press at announcement — see cell comments for sources.</t>
  </si>
  <si>
    <t>Target</t>
  </si>
  <si>
    <t>Acquirer</t>
  </si>
  <si>
    <t>Announced</t>
  </si>
  <si>
    <t>Status</t>
  </si>
  <si>
    <t>EV (TV)</t>
  </si>
  <si>
    <t>In stats?</t>
  </si>
  <si>
    <t>Wm Morrison Supermarkets</t>
  </si>
  <si>
    <t>Clayton, Dubilier &amp; Rice</t>
  </si>
  <si>
    <t>Aug-2021</t>
  </si>
  <si>
    <t>Completed</t>
  </si>
  <si>
    <t>Yes</t>
  </si>
  <si>
    <t>Asda Group</t>
  </si>
  <si>
    <t>TDR Capital &amp; Issa Brothers</t>
  </si>
  <si>
    <t>Oct-2020</t>
  </si>
  <si>
    <t>NM</t>
  </si>
  <si>
    <t>Iceland Foods (2012 MBO)</t>
  </si>
  <si>
    <t>Walker-led consortium</t>
  </si>
  <si>
    <t>Mar-2012</t>
  </si>
  <si>
    <t>Booker Group</t>
  </si>
  <si>
    <t>Jan-2017</t>
  </si>
  <si>
    <t>No — outlier</t>
  </si>
  <si>
    <t>Mean (incl. deals only)</t>
  </si>
  <si>
    <t>Median (incl. deals only)</t>
  </si>
  <si>
    <t>Implied valuation of Iceland Foods (control basis)</t>
  </si>
  <si>
    <t>At precedent median EV/EBITDA</t>
  </si>
  <si>
    <t>At precedent mean EV/EBITDA</t>
  </si>
  <si>
    <t>Valuation Summary — Iceland Foods Limited</t>
  </si>
  <si>
    <t>£'m. Enterprise value by method, bridged to equity value. Control basis (M&amp;A perspective).</t>
  </si>
  <si>
    <t>Method</t>
  </si>
  <si>
    <t>EV low</t>
  </si>
  <si>
    <t>EV high</t>
  </si>
  <si>
    <t>Equity low</t>
  </si>
  <si>
    <t>Equity high</t>
  </si>
  <si>
    <t>Weighting note</t>
  </si>
  <si>
    <t>DCF — perpetuity growth (base)</t>
  </si>
  <si>
    <t>DCF — exit multiple (base)</t>
  </si>
  <si>
    <t>Trading comps (median–mean EV/EBITDA)</t>
  </si>
  <si>
    <t>Transaction comps (median–mean EV/EBITDA)</t>
  </si>
  <si>
    <t>Net debt (bridge, from DCF)</t>
  </si>
  <si>
    <t>Concluded enterprise value range (judgment)</t>
  </si>
  <si>
    <t>DISCOUNT FOR LACK OF MARKETABILITY (DLOM)</t>
  </si>
  <si>
    <t>DLOM applied? (0% = control/M&amp;A basis — DEFAULT)</t>
  </si>
  <si>
    <t>Equity value after DLOM — low / high</t>
  </si>
  <si>
    <t>Per share (£) — low /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</si>
</sst>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64" formatCode="[$-409]mmmmm/yy;@"/>
    <numFmt numFmtId="165" formatCode="#,##0_);\(#,##0\)"/>
    <numFmt numFmtId="166" formatCode="m/d/yyyy"/>
    <numFmt numFmtId="167" formatCode="[$EGP]\ #,##0.00_);[Red]\([$EGP]\ #,##0.00\)"/>
    <numFmt numFmtId="168" formatCode="_(* #,##0_);_(* \(#,##0\);_(* \-??_);_(@_)"/>
    <numFmt numFmtId="169" formatCode="0\A;[Red]0\A"/>
    <numFmt numFmtId="170" formatCode="0\P_);\(0&quot;P)&quot;"/>
    <numFmt numFmtId="171" formatCode="d/m/yy;@"/>
    <numFmt numFmtId="172" formatCode="_(* #,##0.00_);_(* \(#,##0.00\);_(* \-_);_(@_)"/>
    <numFmt numFmtId="173" formatCode="_(* #,##0.0_);_(* \(#,##0.0\);_(* \-??_);_(@_)"/>
    <numFmt numFmtId="174" formatCode="0.0%"/>
    <numFmt numFmtId="175" formatCode="m/d/yy;@"/>
    <numFmt numFmtId="176" formatCode="_(* #,##0.0_);_(* \(#,##0.0\);_(* \-_);_(@_)"/>
    <numFmt numFmtId="177" formatCode="_(* #,##0_);_(* \(#,##0\);_(* \-_);_(@_)"/>
    <numFmt numFmtId="178" formatCode="&quot;FY&quot;yy"/>
    <numFmt numFmtId="179" formatCode="#,##0.0_);\(#,##0.0\);@_)"/>
    <numFmt numFmtId="180" formatCode="0.0%_);\(0.0%\);@_)"/>
    <numFmt numFmtId="181" formatCode="_-[$£-809]* #,##0.00_-;\-[$£-809]* #,##0.00_-;_-[$£-809]* \-??_-;_-@_-"/>
    <numFmt numFmtId="182" formatCode="_(#,##0.0%_);\(#,##0.0%\);_(\–_)_%;_(@_)_%"/>
    <numFmt numFmtId="183" formatCode="\$#,##0.00_);&quot;($&quot;#,##0.00\)"/>
    <numFmt numFmtId="184" formatCode="0000\A"/>
    <numFmt numFmtId="185" formatCode="0000\P"/>
    <numFmt numFmtId="186" formatCode="#,##0_);\(#,##0\);@_)"/>
    <numFmt numFmtId="187" formatCode="0.0\x_);\(0.0&quot;x)&quot;;@_)"/>
    <numFmt numFmtId="188" formatCode="0.000%_);\(0.000%\);@_)"/>
    <numFmt numFmtId="189" formatCode="#,##0.000_);\(#,##0.000\);@_)"/>
    <numFmt numFmtId="190" formatCode="#,##0.0;\-#,##0.0"/>
    <numFmt numFmtId="191" formatCode="#,##0.000_);\(#,##0.000\)"/>
    <numFmt numFmtId="192" formatCode="_([$$]#,##0_)_%;\([$$]#,##0\)_%;_(\–_)_%;_(@_)_%"/>
    <numFmt numFmtId="193" formatCode="#,##0.00_);\(#,##0.00\)"/>
    <numFmt numFmtId="194" formatCode="_(0.0\x_)_';_(\(0.0&quot;x)&quot;_';_(\–_)_%;_(@_)_%"/>
    <numFmt numFmtId="195" formatCode="_(0.0_)_'_x;_(\(0.0\)_';_(\–_)_%;_(@_)_%"/>
    <numFmt numFmtId="196" formatCode="#,##0.00_);\(#,##0.00\);\-_);@_)"/>
    <numFmt numFmtId="197" formatCode="#,##0.0_);\(#,##0.0\);\-_);@_)"/>
    <numFmt numFmtId="198" formatCode="_(#,##0.00%_);\(#,##0.00%\);_(\–_)_%;_(@_)_%"/>
    <numFmt numFmtId="200" formatCode="_(* #,##0.00_);_(* \(#,##0.00\);_(* \-??_);_(@_)"/>
    <numFmt numFmtId="201" formatCode="0.000"/>
  </numFmts>
  <fonts count="30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1"/>
      <color theme="1"/>
      <name val="Calibri"/>
      <family val="2"/>
      <charset val="1"/>
    </font>
    <font>
      <i/>
      <sz val="9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FF"/>
      <name val="Calibri"/>
      <family val="2"/>
      <charset val="1"/>
    </font>
    <font>
      <i/>
      <sz val="11"/>
      <color theme="1"/>
      <name val="Calibri"/>
      <family val="2"/>
      <charset val="1"/>
    </font>
    <font>
      <sz val="11"/>
      <color theme="4" tint="-0.249977111117893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theme="4" tint="-0.249977111117893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theme="0"/>
      <name val="Calibri"/>
      <family val="2"/>
      <charset val="1"/>
    </font>
    <font>
      <b/>
      <sz val="11"/>
      <color theme="0"/>
      <name val="Calibri"/>
      <family val="2"/>
      <charset val="1"/>
    </font>
    <font>
      <b/>
      <sz val="14"/>
      <name val="Calibri"/>
      <family val="2"/>
    </font>
    <font>
      <i/>
      <sz val="9"/>
      <color rgb="FF80808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rgb="FF008000"/>
      <name val="Calibri"/>
      <family val="2"/>
    </font>
    <font>
      <sz val="11"/>
      <color rgb="FF0000FF"/>
      <name val="Calibri"/>
      <family val="2"/>
    </font>
    <font>
      <sz val="11"/>
      <color rgb="FF008000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sz val="11"/>
      <color rgb="FF0070C0"/>
      <name val="Calibri"/>
      <family val="2"/>
      <charset val="1"/>
    </font>
    <font>
      <u/>
      <sz val="11"/>
      <color theme="1"/>
      <name val="Calibri"/>
      <family val="2"/>
      <charset val="1"/>
    </font>
    <font>
      <u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u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2F2FF"/>
        <bgColor rgb="FFCCFFFF"/>
      </patternFill>
    </fill>
    <fill>
      <patternFill patternType="solid">
        <fgColor rgb="FFCCFFFF"/>
        <bgColor rgb="FFD2F2FF"/>
      </patternFill>
    </fill>
    <fill>
      <patternFill patternType="solid">
        <fgColor rgb="FFC0C0C0"/>
        <bgColor rgb="FFB3B3B3"/>
      </patternFill>
    </fill>
    <fill>
      <patternFill patternType="solid">
        <fgColor rgb="FFC9DAF8"/>
        <bgColor rgb="FFD2F2FF"/>
      </patternFill>
    </fill>
  </fills>
  <borders count="2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2" fillId="0" borderId="0"/>
    <xf numFmtId="0" fontId="29" fillId="0" borderId="0"/>
  </cellStyleXfs>
  <cellXfs count="272">
    <xf numFmtId="0" fontId="0" fillId="0" borderId="0" xfId="0"/>
    <xf numFmtId="0" fontId="0" fillId="0" borderId="0" xfId="0" applyAlignment="1">
      <alignment horizontal="center"/>
    </xf>
    <xf numFmtId="0" fontId="28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7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166" fontId="4" fillId="0" borderId="0" xfId="0" applyNumberFormat="1" applyFont="1" applyAlignment="1">
      <alignment horizontal="left"/>
    </xf>
    <xf numFmtId="0" fontId="0" fillId="0" borderId="2" xfId="0" applyBorder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67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 vertical="center"/>
    </xf>
    <xf numFmtId="0" fontId="3" fillId="0" borderId="3" xfId="0" applyFont="1" applyBorder="1"/>
    <xf numFmtId="0" fontId="0" fillId="0" borderId="3" xfId="0" applyBorder="1"/>
    <xf numFmtId="169" fontId="3" fillId="0" borderId="0" xfId="0" applyNumberFormat="1" applyFont="1"/>
    <xf numFmtId="170" fontId="3" fillId="0" borderId="0" xfId="0" applyNumberFormat="1" applyFont="1"/>
    <xf numFmtId="0" fontId="7" fillId="0" borderId="3" xfId="0" applyFont="1" applyBorder="1"/>
    <xf numFmtId="171" fontId="0" fillId="0" borderId="3" xfId="0" applyNumberFormat="1" applyBorder="1"/>
    <xf numFmtId="171" fontId="7" fillId="0" borderId="3" xfId="0" applyNumberFormat="1" applyFont="1" applyBorder="1"/>
    <xf numFmtId="172" fontId="8" fillId="0" borderId="0" xfId="0" applyNumberFormat="1" applyFont="1"/>
    <xf numFmtId="173" fontId="0" fillId="0" borderId="0" xfId="0" applyNumberFormat="1"/>
    <xf numFmtId="0" fontId="3" fillId="0" borderId="0" xfId="0" applyFont="1"/>
    <xf numFmtId="172" fontId="3" fillId="0" borderId="0" xfId="0" applyNumberFormat="1" applyFont="1"/>
    <xf numFmtId="173" fontId="3" fillId="0" borderId="0" xfId="0" applyNumberFormat="1" applyFont="1"/>
    <xf numFmtId="174" fontId="7" fillId="0" borderId="0" xfId="0" applyNumberFormat="1" applyFont="1"/>
    <xf numFmtId="17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172" fontId="9" fillId="0" borderId="0" xfId="0" applyNumberFormat="1" applyFont="1"/>
    <xf numFmtId="173" fontId="9" fillId="0" borderId="0" xfId="0" applyNumberFormat="1" applyFont="1"/>
    <xf numFmtId="0" fontId="0" fillId="0" borderId="0" xfId="0" applyAlignment="1">
      <alignment horizontal="left"/>
    </xf>
    <xf numFmtId="168" fontId="0" fillId="0" borderId="0" xfId="0" applyNumberFormat="1"/>
    <xf numFmtId="0" fontId="10" fillId="0" borderId="0" xfId="0" applyFont="1" applyAlignment="1">
      <alignment horizontal="left"/>
    </xf>
    <xf numFmtId="172" fontId="11" fillId="0" borderId="0" xfId="0" applyNumberFormat="1" applyFont="1"/>
    <xf numFmtId="0" fontId="12" fillId="0" borderId="0" xfId="0" applyFont="1" applyAlignment="1">
      <alignment horizontal="left"/>
    </xf>
    <xf numFmtId="0" fontId="0" fillId="0" borderId="0" xfId="0" applyAlignment="1">
      <alignment horizontal="left" indent="1"/>
    </xf>
    <xf numFmtId="168" fontId="3" fillId="0" borderId="0" xfId="0" applyNumberFormat="1" applyFont="1"/>
    <xf numFmtId="0" fontId="10" fillId="0" borderId="3" xfId="0" applyFont="1" applyBorder="1"/>
    <xf numFmtId="168" fontId="3" fillId="0" borderId="3" xfId="0" applyNumberFormat="1" applyFont="1" applyBorder="1"/>
    <xf numFmtId="174" fontId="13" fillId="0" borderId="4" xfId="0" applyNumberFormat="1" applyFont="1" applyBorder="1"/>
    <xf numFmtId="174" fontId="8" fillId="0" borderId="4" xfId="0" applyNumberFormat="1" applyFont="1" applyBorder="1"/>
    <xf numFmtId="174" fontId="0" fillId="0" borderId="0" xfId="0" applyNumberFormat="1"/>
    <xf numFmtId="174" fontId="8" fillId="0" borderId="0" xfId="0" applyNumberFormat="1" applyFont="1"/>
    <xf numFmtId="174" fontId="5" fillId="0" borderId="0" xfId="0" applyNumberFormat="1" applyFont="1"/>
    <xf numFmtId="1" fontId="0" fillId="0" borderId="0" xfId="0" applyNumberFormat="1"/>
    <xf numFmtId="175" fontId="0" fillId="0" borderId="3" xfId="0" applyNumberFormat="1" applyBorder="1"/>
    <xf numFmtId="175" fontId="7" fillId="0" borderId="3" xfId="0" applyNumberFormat="1" applyFont="1" applyBorder="1"/>
    <xf numFmtId="0" fontId="13" fillId="0" borderId="0" xfId="0" applyFont="1"/>
    <xf numFmtId="0" fontId="9" fillId="0" borderId="0" xfId="0" applyFont="1"/>
    <xf numFmtId="176" fontId="8" fillId="0" borderId="0" xfId="0" applyNumberFormat="1" applyFont="1"/>
    <xf numFmtId="176" fontId="0" fillId="0" borderId="0" xfId="0" applyNumberFormat="1"/>
    <xf numFmtId="0" fontId="3" fillId="0" borderId="4" xfId="0" applyFont="1" applyBorder="1"/>
    <xf numFmtId="176" fontId="3" fillId="0" borderId="4" xfId="0" applyNumberFormat="1" applyFont="1" applyBorder="1"/>
    <xf numFmtId="176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left" indent="1"/>
    </xf>
    <xf numFmtId="176" fontId="3" fillId="0" borderId="0" xfId="0" applyNumberFormat="1" applyFont="1"/>
    <xf numFmtId="176" fontId="13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left"/>
    </xf>
    <xf numFmtId="177" fontId="3" fillId="0" borderId="0" xfId="0" applyNumberFormat="1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13" fillId="0" borderId="0" xfId="0" applyNumberFormat="1" applyFont="1"/>
    <xf numFmtId="176" fontId="13" fillId="0" borderId="0" xfId="0" applyNumberFormat="1" applyFont="1"/>
    <xf numFmtId="176" fontId="3" fillId="0" borderId="0" xfId="0" applyNumberFormat="1" applyFont="1" applyAlignment="1">
      <alignment horizontal="center" vertical="center"/>
    </xf>
    <xf numFmtId="177" fontId="9" fillId="0" borderId="0" xfId="0" applyNumberFormat="1" applyFont="1"/>
    <xf numFmtId="176" fontId="9" fillId="0" borderId="0" xfId="0" applyNumberFormat="1" applyFont="1"/>
    <xf numFmtId="177" fontId="0" fillId="0" borderId="0" xfId="0" applyNumberFormat="1"/>
    <xf numFmtId="177" fontId="7" fillId="0" borderId="0" xfId="0" applyNumberFormat="1" applyFont="1"/>
    <xf numFmtId="176" fontId="7" fillId="0" borderId="0" xfId="0" applyNumberFormat="1" applyFont="1"/>
    <xf numFmtId="177" fontId="13" fillId="0" borderId="0" xfId="0" applyNumberFormat="1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177" fontId="3" fillId="0" borderId="0" xfId="0" applyNumberFormat="1" applyFont="1"/>
    <xf numFmtId="177" fontId="8" fillId="0" borderId="0" xfId="0" applyNumberFormat="1" applyFont="1"/>
    <xf numFmtId="0" fontId="0" fillId="0" borderId="0" xfId="0" applyAlignment="1">
      <alignment horizontal="left" indent="2"/>
    </xf>
    <xf numFmtId="176" fontId="3" fillId="0" borderId="4" xfId="0" applyNumberFormat="1" applyFont="1" applyBorder="1" applyAlignment="1">
      <alignment horizontal="center" vertical="center"/>
    </xf>
    <xf numFmtId="178" fontId="9" fillId="0" borderId="0" xfId="0" applyNumberFormat="1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vertical="center"/>
    </xf>
    <xf numFmtId="178" fontId="15" fillId="0" borderId="0" xfId="0" applyNumberFormat="1" applyFont="1" applyAlignment="1">
      <alignment horizontal="center" vertical="center"/>
    </xf>
    <xf numFmtId="10" fontId="0" fillId="0" borderId="0" xfId="0" applyNumberFormat="1"/>
    <xf numFmtId="176" fontId="9" fillId="0" borderId="4" xfId="0" applyNumberFormat="1" applyFont="1" applyBorder="1"/>
    <xf numFmtId="0" fontId="0" fillId="0" borderId="4" xfId="0" applyBorder="1"/>
    <xf numFmtId="169" fontId="3" fillId="0" borderId="4" xfId="0" applyNumberFormat="1" applyFont="1" applyBorder="1"/>
    <xf numFmtId="170" fontId="3" fillId="0" borderId="4" xfId="0" applyNumberFormat="1" applyFont="1" applyBorder="1"/>
    <xf numFmtId="0" fontId="7" fillId="0" borderId="0" xfId="0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168" fontId="8" fillId="0" borderId="0" xfId="0" applyNumberFormat="1" applyFont="1"/>
    <xf numFmtId="9" fontId="0" fillId="0" borderId="0" xfId="0" applyNumberFormat="1"/>
    <xf numFmtId="9" fontId="8" fillId="0" borderId="0" xfId="0" applyNumberFormat="1" applyFont="1"/>
    <xf numFmtId="173" fontId="8" fillId="0" borderId="0" xfId="0" applyNumberFormat="1" applyFont="1"/>
    <xf numFmtId="0" fontId="16" fillId="0" borderId="0" xfId="0" applyFont="1"/>
    <xf numFmtId="0" fontId="17" fillId="0" borderId="0" xfId="0" applyFont="1"/>
    <xf numFmtId="0" fontId="18" fillId="0" borderId="3" xfId="0" applyFont="1" applyBorder="1" applyAlignment="1">
      <alignment horizontal="center"/>
    </xf>
    <xf numFmtId="0" fontId="18" fillId="0" borderId="3" xfId="0" applyFont="1" applyBorder="1"/>
    <xf numFmtId="0" fontId="19" fillId="0" borderId="0" xfId="0" applyFont="1"/>
    <xf numFmtId="179" fontId="20" fillId="0" borderId="0" xfId="0" applyNumberFormat="1" applyFont="1"/>
    <xf numFmtId="179" fontId="21" fillId="0" borderId="0" xfId="0" applyNumberFormat="1" applyFont="1"/>
    <xf numFmtId="0" fontId="18" fillId="0" borderId="0" xfId="0" applyFont="1"/>
    <xf numFmtId="179" fontId="18" fillId="0" borderId="5" xfId="0" applyNumberFormat="1" applyFont="1" applyBorder="1"/>
    <xf numFmtId="179" fontId="19" fillId="0" borderId="0" xfId="0" applyNumberFormat="1" applyFont="1"/>
    <xf numFmtId="166" fontId="4" fillId="0" borderId="2" xfId="0" applyNumberFormat="1" applyFont="1" applyBorder="1"/>
    <xf numFmtId="166" fontId="6" fillId="0" borderId="0" xfId="0" applyNumberFormat="1" applyFont="1" applyAlignment="1">
      <alignment horizontal="right"/>
    </xf>
    <xf numFmtId="180" fontId="22" fillId="0" borderId="0" xfId="0" applyNumberFormat="1" applyFont="1"/>
    <xf numFmtId="166" fontId="5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 vertical="center"/>
    </xf>
    <xf numFmtId="0" fontId="23" fillId="0" borderId="0" xfId="0" applyFont="1"/>
    <xf numFmtId="181" fontId="6" fillId="0" borderId="0" xfId="0" applyNumberFormat="1" applyFont="1" applyAlignment="1">
      <alignment horizontal="right" vertical="center"/>
    </xf>
    <xf numFmtId="182" fontId="5" fillId="0" borderId="0" xfId="0" applyNumberFormat="1" applyFont="1"/>
    <xf numFmtId="182" fontId="21" fillId="0" borderId="0" xfId="0" applyNumberFormat="1" applyFont="1"/>
    <xf numFmtId="183" fontId="22" fillId="0" borderId="0" xfId="0" applyNumberFormat="1" applyFont="1" applyAlignment="1">
      <alignment horizontal="right"/>
    </xf>
    <xf numFmtId="0" fontId="24" fillId="0" borderId="0" xfId="0" applyFont="1" applyAlignment="1">
      <alignment horizontal="center"/>
    </xf>
    <xf numFmtId="0" fontId="3" fillId="0" borderId="6" xfId="0" applyFont="1" applyBorder="1"/>
    <xf numFmtId="0" fontId="0" fillId="0" borderId="6" xfId="0" applyBorder="1"/>
    <xf numFmtId="183" fontId="22" fillId="0" borderId="6" xfId="0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7" fillId="0" borderId="0" xfId="0" applyFont="1"/>
    <xf numFmtId="166" fontId="0" fillId="0" borderId="0" xfId="0" applyNumberFormat="1" applyAlignment="1">
      <alignment horizontal="center"/>
    </xf>
    <xf numFmtId="171" fontId="0" fillId="0" borderId="3" xfId="0" applyNumberFormat="1" applyBorder="1" applyAlignment="1">
      <alignment horizontal="center"/>
    </xf>
    <xf numFmtId="184" fontId="3" fillId="0" borderId="8" xfId="0" applyNumberFormat="1" applyFont="1" applyBorder="1"/>
    <xf numFmtId="185" fontId="3" fillId="0" borderId="8" xfId="0" applyNumberFormat="1" applyFont="1" applyBorder="1"/>
    <xf numFmtId="185" fontId="3" fillId="0" borderId="9" xfId="0" applyNumberFormat="1" applyFont="1" applyBorder="1"/>
    <xf numFmtId="186" fontId="5" fillId="0" borderId="0" xfId="0" applyNumberFormat="1" applyFont="1"/>
    <xf numFmtId="186" fontId="22" fillId="0" borderId="10" xfId="0" applyNumberFormat="1" applyFont="1" applyBorder="1"/>
    <xf numFmtId="9" fontId="0" fillId="0" borderId="10" xfId="0" applyNumberFormat="1" applyBorder="1"/>
    <xf numFmtId="186" fontId="5" fillId="0" borderId="10" xfId="0" applyNumberFormat="1" applyFont="1" applyBorder="1"/>
    <xf numFmtId="180" fontId="22" fillId="0" borderId="10" xfId="0" applyNumberFormat="1" applyFont="1" applyBorder="1"/>
    <xf numFmtId="186" fontId="10" fillId="0" borderId="11" xfId="0" applyNumberFormat="1" applyFont="1" applyBorder="1"/>
    <xf numFmtId="186" fontId="22" fillId="0" borderId="0" xfId="0" applyNumberFormat="1" applyFont="1"/>
    <xf numFmtId="186" fontId="0" fillId="0" borderId="0" xfId="0" applyNumberFormat="1"/>
    <xf numFmtId="186" fontId="10" fillId="0" borderId="0" xfId="0" applyNumberFormat="1" applyFont="1"/>
    <xf numFmtId="165" fontId="5" fillId="0" borderId="0" xfId="0" applyNumberFormat="1" applyFont="1"/>
    <xf numFmtId="186" fontId="22" fillId="0" borderId="6" xfId="0" applyNumberFormat="1" applyFont="1" applyBorder="1"/>
    <xf numFmtId="186" fontId="26" fillId="0" borderId="6" xfId="0" applyNumberFormat="1" applyFont="1" applyBorder="1" applyAlignment="1">
      <alignment horizontal="center"/>
    </xf>
    <xf numFmtId="186" fontId="26" fillId="0" borderId="0" xfId="0" applyNumberFormat="1" applyFont="1"/>
    <xf numFmtId="166" fontId="0" fillId="0" borderId="0" xfId="0" applyNumberFormat="1"/>
    <xf numFmtId="182" fontId="0" fillId="0" borderId="0" xfId="0" applyNumberFormat="1" applyAlignment="1">
      <alignment horizontal="center"/>
    </xf>
    <xf numFmtId="186" fontId="5" fillId="0" borderId="6" xfId="0" applyNumberFormat="1" applyFont="1" applyBorder="1"/>
    <xf numFmtId="0" fontId="10" fillId="0" borderId="0" xfId="0" applyFont="1"/>
    <xf numFmtId="182" fontId="6" fillId="0" borderId="0" xfId="0" applyNumberFormat="1" applyFont="1"/>
    <xf numFmtId="185" fontId="0" fillId="0" borderId="0" xfId="0" applyNumberFormat="1"/>
    <xf numFmtId="187" fontId="6" fillId="0" borderId="0" xfId="0" applyNumberFormat="1" applyFont="1" applyAlignment="1">
      <alignment vertical="center"/>
    </xf>
    <xf numFmtId="187" fontId="6" fillId="0" borderId="0" xfId="0" applyNumberFormat="1" applyFont="1"/>
    <xf numFmtId="186" fontId="3" fillId="0" borderId="0" xfId="0" applyNumberFormat="1" applyFont="1"/>
    <xf numFmtId="0" fontId="7" fillId="0" borderId="0" xfId="0" applyFont="1" applyAlignment="1">
      <alignment horizontal="left"/>
    </xf>
    <xf numFmtId="182" fontId="7" fillId="0" borderId="0" xfId="0" applyNumberFormat="1" applyFont="1"/>
    <xf numFmtId="188" fontId="7" fillId="0" borderId="0" xfId="0" applyNumberFormat="1" applyFont="1"/>
    <xf numFmtId="182" fontId="0" fillId="0" borderId="0" xfId="0" applyNumberFormat="1"/>
    <xf numFmtId="187" fontId="7" fillId="0" borderId="0" xfId="0" applyNumberFormat="1" applyFont="1"/>
    <xf numFmtId="180" fontId="0" fillId="0" borderId="0" xfId="0" applyNumberFormat="1"/>
    <xf numFmtId="166" fontId="6" fillId="0" borderId="0" xfId="0" applyNumberFormat="1" applyFont="1" applyAlignment="1">
      <alignment horizontal="left" vertical="center"/>
    </xf>
    <xf numFmtId="0" fontId="25" fillId="0" borderId="0" xfId="0" applyFont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left" vertical="center"/>
    </xf>
    <xf numFmtId="166" fontId="5" fillId="0" borderId="0" xfId="0" applyNumberFormat="1" applyFont="1"/>
    <xf numFmtId="186" fontId="6" fillId="0" borderId="0" xfId="0" applyNumberFormat="1" applyFont="1"/>
    <xf numFmtId="189" fontId="6" fillId="0" borderId="0" xfId="0" applyNumberFormat="1" applyFont="1"/>
    <xf numFmtId="190" fontId="22" fillId="0" borderId="0" xfId="0" applyNumberFormat="1" applyFont="1"/>
    <xf numFmtId="191" fontId="6" fillId="0" borderId="0" xfId="0" applyNumberFormat="1" applyFont="1"/>
    <xf numFmtId="190" fontId="0" fillId="0" borderId="0" xfId="0" applyNumberFormat="1"/>
    <xf numFmtId="190" fontId="8" fillId="0" borderId="0" xfId="0" applyNumberFormat="1" applyFont="1"/>
    <xf numFmtId="0" fontId="5" fillId="0" borderId="0" xfId="0" applyFont="1" applyAlignment="1">
      <alignment horizontal="left" indent="1"/>
    </xf>
    <xf numFmtId="3" fontId="3" fillId="0" borderId="0" xfId="0" applyNumberFormat="1" applyFont="1"/>
    <xf numFmtId="192" fontId="6" fillId="0" borderId="0" xfId="0" applyNumberFormat="1" applyFont="1"/>
    <xf numFmtId="0" fontId="0" fillId="0" borderId="0" xfId="0" applyAlignment="1">
      <alignment horizontal="left" vertical="center" indent="1"/>
    </xf>
    <xf numFmtId="191" fontId="0" fillId="0" borderId="0" xfId="0" applyNumberFormat="1"/>
    <xf numFmtId="189" fontId="27" fillId="0" borderId="0" xfId="0" applyNumberFormat="1" applyFont="1"/>
    <xf numFmtId="0" fontId="3" fillId="0" borderId="0" xfId="0" applyFont="1" applyAlignment="1">
      <alignment vertical="center"/>
    </xf>
    <xf numFmtId="190" fontId="3" fillId="0" borderId="0" xfId="0" applyNumberFormat="1" applyFont="1"/>
    <xf numFmtId="193" fontId="0" fillId="0" borderId="0" xfId="0" applyNumberFormat="1" applyAlignment="1">
      <alignment horizontal="right"/>
    </xf>
    <xf numFmtId="193" fontId="7" fillId="0" borderId="6" xfId="0" applyNumberFormat="1" applyFont="1" applyBorder="1" applyAlignment="1">
      <alignment horizontal="right"/>
    </xf>
    <xf numFmtId="181" fontId="3" fillId="0" borderId="0" xfId="0" applyNumberFormat="1" applyFont="1" applyAlignment="1">
      <alignment horizontal="right"/>
    </xf>
    <xf numFmtId="194" fontId="0" fillId="0" borderId="0" xfId="0" applyNumberFormat="1" applyAlignment="1">
      <alignment horizontal="right"/>
    </xf>
    <xf numFmtId="195" fontId="0" fillId="0" borderId="0" xfId="0" applyNumberFormat="1" applyAlignment="1">
      <alignment horizontal="right"/>
    </xf>
    <xf numFmtId="0" fontId="5" fillId="2" borderId="0" xfId="0" applyFont="1" applyFill="1"/>
    <xf numFmtId="0" fontId="0" fillId="0" borderId="0" xfId="0" applyAlignment="1">
      <alignment horizontal="right"/>
    </xf>
    <xf numFmtId="181" fontId="0" fillId="0" borderId="3" xfId="0" applyNumberFormat="1" applyBorder="1" applyAlignment="1">
      <alignment horizontal="right"/>
    </xf>
    <xf numFmtId="174" fontId="5" fillId="3" borderId="12" xfId="0" applyNumberFormat="1" applyFont="1" applyFill="1" applyBorder="1"/>
    <xf numFmtId="174" fontId="5" fillId="3" borderId="5" xfId="0" applyNumberFormat="1" applyFont="1" applyFill="1" applyBorder="1"/>
    <xf numFmtId="174" fontId="6" fillId="3" borderId="5" xfId="0" applyNumberFormat="1" applyFont="1" applyFill="1" applyBorder="1"/>
    <xf numFmtId="174" fontId="5" fillId="3" borderId="13" xfId="0" applyNumberFormat="1" applyFont="1" applyFill="1" applyBorder="1"/>
    <xf numFmtId="187" fontId="0" fillId="0" borderId="0" xfId="0" applyNumberFormat="1" applyAlignment="1">
      <alignment horizontal="right"/>
    </xf>
    <xf numFmtId="187" fontId="0" fillId="0" borderId="14" xfId="0" applyNumberFormat="1" applyBorder="1" applyAlignment="1">
      <alignment horizontal="right"/>
    </xf>
    <xf numFmtId="174" fontId="5" fillId="3" borderId="10" xfId="0" applyNumberFormat="1" applyFont="1" applyFill="1" applyBorder="1" applyAlignment="1">
      <alignment horizontal="right"/>
    </xf>
    <xf numFmtId="193" fontId="19" fillId="0" borderId="0" xfId="0" applyNumberFormat="1" applyFont="1"/>
    <xf numFmtId="196" fontId="0" fillId="0" borderId="15" xfId="0" applyNumberFormat="1" applyBorder="1"/>
    <xf numFmtId="187" fontId="19" fillId="0" borderId="0" xfId="0" applyNumberFormat="1" applyFont="1" applyAlignment="1">
      <alignment horizontal="right"/>
    </xf>
    <xf numFmtId="174" fontId="6" fillId="3" borderId="10" xfId="0" applyNumberFormat="1" applyFont="1" applyFill="1" applyBorder="1" applyAlignment="1">
      <alignment horizontal="right"/>
    </xf>
    <xf numFmtId="0" fontId="10" fillId="2" borderId="0" xfId="0" applyFont="1" applyFill="1" applyAlignment="1">
      <alignment horizontal="center"/>
    </xf>
    <xf numFmtId="174" fontId="5" fillId="3" borderId="11" xfId="0" applyNumberFormat="1" applyFont="1" applyFill="1" applyBorder="1" applyAlignment="1">
      <alignment horizontal="right"/>
    </xf>
    <xf numFmtId="197" fontId="0" fillId="0" borderId="0" xfId="0" applyNumberFormat="1"/>
    <xf numFmtId="181" fontId="0" fillId="0" borderId="14" xfId="0" applyNumberFormat="1" applyBorder="1"/>
    <xf numFmtId="187" fontId="13" fillId="3" borderId="5" xfId="0" applyNumberFormat="1" applyFont="1" applyFill="1" applyBorder="1"/>
    <xf numFmtId="187" fontId="6" fillId="3" borderId="5" xfId="0" applyNumberFormat="1" applyFont="1" applyFill="1" applyBorder="1"/>
    <xf numFmtId="187" fontId="13" fillId="3" borderId="13" xfId="0" applyNumberFormat="1" applyFont="1" applyFill="1" applyBorder="1"/>
    <xf numFmtId="187" fontId="5" fillId="0" borderId="0" xfId="0" applyNumberFormat="1" applyFont="1"/>
    <xf numFmtId="0" fontId="0" fillId="0" borderId="15" xfId="0" applyBorder="1"/>
    <xf numFmtId="0" fontId="3" fillId="4" borderId="0" xfId="0" applyFont="1" applyFill="1"/>
    <xf numFmtId="0" fontId="3" fillId="4" borderId="15" xfId="0" applyFont="1" applyFill="1" applyBorder="1"/>
    <xf numFmtId="198" fontId="0" fillId="0" borderId="0" xfId="0" applyNumberFormat="1"/>
    <xf numFmtId="0" fontId="0" fillId="0" borderId="12" xfId="0" applyBorder="1"/>
    <xf numFmtId="0" fontId="0" fillId="0" borderId="5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5" xfId="0" applyBorder="1"/>
    <xf numFmtId="0" fontId="0" fillId="0" borderId="16" xfId="0" applyBorder="1"/>
    <xf numFmtId="0" fontId="0" fillId="0" borderId="17" xfId="0" applyBorder="1"/>
    <xf numFmtId="193" fontId="0" fillId="0" borderId="0" xfId="0" applyNumberFormat="1"/>
    <xf numFmtId="193" fontId="0" fillId="0" borderId="18" xfId="0" applyNumberFormat="1" applyBorder="1"/>
    <xf numFmtId="193" fontId="5" fillId="0" borderId="0" xfId="0" applyNumberFormat="1" applyFont="1"/>
    <xf numFmtId="193" fontId="5" fillId="0" borderId="18" xfId="0" applyNumberFormat="1" applyFont="1" applyBorder="1"/>
    <xf numFmtId="0" fontId="0" fillId="0" borderId="19" xfId="0" applyBorder="1"/>
    <xf numFmtId="193" fontId="0" fillId="0" borderId="3" xfId="0" applyNumberFormat="1" applyBorder="1"/>
    <xf numFmtId="193" fontId="5" fillId="0" borderId="3" xfId="0" applyNumberFormat="1" applyFont="1" applyBorder="1"/>
    <xf numFmtId="193" fontId="0" fillId="0" borderId="14" xfId="0" applyNumberFormat="1" applyBorder="1"/>
    <xf numFmtId="0" fontId="0" fillId="0" borderId="20" xfId="0" applyBorder="1"/>
    <xf numFmtId="193" fontId="5" fillId="0" borderId="14" xfId="0" applyNumberFormat="1" applyFont="1" applyBorder="1"/>
    <xf numFmtId="0" fontId="4" fillId="0" borderId="2" xfId="0" applyFont="1" applyBorder="1"/>
    <xf numFmtId="0" fontId="10" fillId="0" borderId="6" xfId="0" applyFont="1" applyBorder="1"/>
    <xf numFmtId="0" fontId="5" fillId="0" borderId="6" xfId="0" applyFont="1" applyBorder="1"/>
    <xf numFmtId="0" fontId="10" fillId="0" borderId="6" xfId="0" applyFont="1" applyBorder="1" applyAlignment="1">
      <alignment horizontal="right"/>
    </xf>
    <xf numFmtId="0" fontId="25" fillId="0" borderId="0" xfId="0" applyFont="1" applyAlignment="1">
      <alignment horizontal="left"/>
    </xf>
    <xf numFmtId="198" fontId="22" fillId="0" borderId="6" xfId="0" applyNumberFormat="1" applyFont="1" applyBorder="1" applyAlignment="1">
      <alignment vertical="center"/>
    </xf>
    <xf numFmtId="200" fontId="0" fillId="0" borderId="0" xfId="0" applyNumberFormat="1"/>
    <xf numFmtId="198" fontId="8" fillId="0" borderId="6" xfId="0" applyNumberFormat="1" applyFont="1" applyBorder="1"/>
    <xf numFmtId="198" fontId="5" fillId="0" borderId="0" xfId="0" applyNumberFormat="1" applyFont="1"/>
    <xf numFmtId="174" fontId="6" fillId="0" borderId="0" xfId="0" applyNumberFormat="1" applyFont="1" applyAlignment="1">
      <alignment vertical="center"/>
    </xf>
    <xf numFmtId="193" fontId="6" fillId="0" borderId="0" xfId="0" applyNumberFormat="1" applyFont="1"/>
    <xf numFmtId="10" fontId="6" fillId="0" borderId="6" xfId="0" applyNumberFormat="1" applyFont="1" applyBorder="1"/>
    <xf numFmtId="10" fontId="5" fillId="0" borderId="0" xfId="0" applyNumberFormat="1" applyFont="1"/>
    <xf numFmtId="174" fontId="26" fillId="0" borderId="0" xfId="0" applyNumberFormat="1" applyFont="1" applyAlignment="1">
      <alignment horizontal="right"/>
    </xf>
    <xf numFmtId="9" fontId="6" fillId="0" borderId="0" xfId="0" applyNumberFormat="1" applyFont="1"/>
    <xf numFmtId="9" fontId="5" fillId="0" borderId="0" xfId="0" applyNumberFormat="1" applyFont="1"/>
    <xf numFmtId="0" fontId="3" fillId="0" borderId="12" xfId="0" applyFont="1" applyBorder="1"/>
    <xf numFmtId="0" fontId="3" fillId="0" borderId="5" xfId="0" applyFont="1" applyBorder="1"/>
    <xf numFmtId="180" fontId="3" fillId="0" borderId="13" xfId="0" applyNumberFormat="1" applyFont="1" applyBorder="1"/>
    <xf numFmtId="180" fontId="0" fillId="5" borderId="0" xfId="0" applyNumberFormat="1" applyFill="1"/>
    <xf numFmtId="201" fontId="5" fillId="0" borderId="21" xfId="0" applyNumberFormat="1" applyFont="1" applyBorder="1"/>
    <xf numFmtId="191" fontId="6" fillId="0" borderId="22" xfId="0" applyNumberFormat="1" applyFont="1" applyBorder="1"/>
    <xf numFmtId="201" fontId="5" fillId="0" borderId="22" xfId="0" applyNumberFormat="1" applyFont="1" applyBorder="1"/>
    <xf numFmtId="10" fontId="5" fillId="0" borderId="23" xfId="0" applyNumberFormat="1" applyFont="1" applyBorder="1"/>
    <xf numFmtId="10" fontId="19" fillId="0" borderId="4" xfId="0" applyNumberFormat="1" applyFont="1" applyBorder="1"/>
    <xf numFmtId="10" fontId="19" fillId="0" borderId="0" xfId="0" applyNumberFormat="1" applyFont="1"/>
    <xf numFmtId="10" fontId="6" fillId="0" borderId="23" xfId="0" applyNumberFormat="1" applyFont="1" applyBorder="1"/>
    <xf numFmtId="10" fontId="5" fillId="0" borderId="15" xfId="0" applyNumberFormat="1" applyFont="1" applyBorder="1"/>
    <xf numFmtId="0" fontId="6" fillId="2" borderId="24" xfId="0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25" xfId="0" applyBorder="1"/>
    <xf numFmtId="0" fontId="0" fillId="0" borderId="25" xfId="0" applyBorder="1" applyAlignment="1">
      <alignment wrapText="1"/>
    </xf>
    <xf numFmtId="0" fontId="6" fillId="0" borderId="0" xfId="0" applyFont="1"/>
    <xf numFmtId="165" fontId="6" fillId="0" borderId="0" xfId="0" applyNumberFormat="1" applyFont="1"/>
    <xf numFmtId="165" fontId="0" fillId="0" borderId="0" xfId="0" applyNumberFormat="1"/>
    <xf numFmtId="180" fontId="6" fillId="0" borderId="0" xfId="0" applyNumberFormat="1" applyFont="1"/>
    <xf numFmtId="191" fontId="5" fillId="0" borderId="0" xfId="0" applyNumberFormat="1" applyFont="1"/>
    <xf numFmtId="193" fontId="22" fillId="0" borderId="0" xfId="0" applyNumberFormat="1" applyFont="1"/>
    <xf numFmtId="165" fontId="22" fillId="0" borderId="0" xfId="0" applyNumberFormat="1" applyFont="1"/>
    <xf numFmtId="191" fontId="3" fillId="0" borderId="0" xfId="0" applyNumberFormat="1" applyFont="1"/>
    <xf numFmtId="193" fontId="21" fillId="0" borderId="0" xfId="0" applyNumberFormat="1" applyFont="1"/>
    <xf numFmtId="186" fontId="19" fillId="0" borderId="0" xfId="0" applyNumberFormat="1" applyFont="1"/>
    <xf numFmtId="186" fontId="21" fillId="0" borderId="0" xfId="0" applyNumberFormat="1" applyFont="1"/>
    <xf numFmtId="187" fontId="19" fillId="0" borderId="0" xfId="0" applyNumberFormat="1" applyFont="1"/>
    <xf numFmtId="187" fontId="18" fillId="0" borderId="0" xfId="0" applyNumberFormat="1" applyFont="1"/>
    <xf numFmtId="186" fontId="18" fillId="0" borderId="0" xfId="0" applyNumberFormat="1" applyFont="1"/>
    <xf numFmtId="0" fontId="21" fillId="0" borderId="0" xfId="0" applyFont="1" applyAlignment="1">
      <alignment horizontal="center"/>
    </xf>
    <xf numFmtId="180" fontId="21" fillId="0" borderId="0" xfId="0" applyNumberFormat="1" applyFont="1"/>
    <xf numFmtId="0" fontId="17" fillId="0" borderId="0" xfId="0" applyFont="1" applyAlignment="1">
      <alignment horizontal="center"/>
    </xf>
    <xf numFmtId="186" fontId="20" fillId="0" borderId="0" xfId="0" applyNumberFormat="1" applyFont="1"/>
  </cellXfs>
  <cellStyles count="3">
    <cellStyle name="Normal" xfId="0" builtinId="0"/>
    <cellStyle name="Normal 15" xfId="1" xr:uid="{00000000-0005-0000-0000-000006000000}"/>
    <cellStyle name="Normal 2" xfId="2" xr:uid="{00000000-0005-0000-0000-000007000000}"/>
  </cellStyles>
  <dxfs count="2">
    <dxf>
      <font>
        <b/>
      </font>
      <fill>
        <patternFill>
          <bgColor theme="2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70C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563C1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2F2FF"/>
      <rgbColor rgb="FFCCFFCC"/>
      <rgbColor rgb="FFFFFF99"/>
      <rgbColor rgb="FF99CCFF"/>
      <rgbColor rgb="FFFF99CC"/>
      <rgbColor rgb="FFCC99FF"/>
      <rgbColor rgb="FFFFC7CE"/>
      <rgbColor rgb="FF2E75B6"/>
      <rgbColor rgb="FF33CCCC"/>
      <rgbColor rgb="FF99CC00"/>
      <rgbColor rgb="FFFFCC00"/>
      <rgbColor rgb="FFFF9900"/>
      <rgbColor rgb="FFED7D31"/>
      <rgbColor rgb="FF44546A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1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100" b="1" strike="noStrike" spc="-1">
                <a:solidFill>
                  <a:srgbClr val="000000"/>
                </a:solidFill>
                <a:latin typeface="Calibri"/>
              </a:rPr>
              <a:t>DCF Equity Valuation Range </a:t>
            </a:r>
          </a:p>
        </c:rich>
      </c:tx>
      <c:layout>
        <c:manualLayout>
          <c:xMode val="edge"/>
          <c:yMode val="edge"/>
          <c:x val="0.31275477365372201"/>
          <c:y val="0"/>
        </c:manualLayout>
      </c:layout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5.9x-7.9x Exit EBITDA Range at 8.8% WACC</c:v>
                </c:pt>
                <c:pt idx="1">
                  <c:v>DCF Value at 1.0%-3.0% Perpetuity Range at 8.8%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DCF!$C$128:$C$130</c:f>
              <c:numCache>
                <c:formatCode>#,##0.00_);\(#,##0.00\)</c:formatCode>
                <c:ptCount val="3"/>
                <c:pt idx="0">
                  <c:v>5.8229112418786935</c:v>
                </c:pt>
                <c:pt idx="1">
                  <c:v>4.9408233769210375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5F-4E51-B132-59FE75CBF911}"/>
            </c:ext>
          </c:extLst>
        </c:ser>
        <c:ser>
          <c:idx val="1"/>
          <c:order val="1"/>
          <c:spPr>
            <a:solidFill>
              <a:srgbClr val="ED7D31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5.9x-7.9x Exit EBITDA Range at 8.8% WACC</c:v>
                </c:pt>
                <c:pt idx="1">
                  <c:v>DCF Value at 1.0%-3.0% Perpetuity Range at 8.8%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DCF!$D$128:$D$130</c:f>
              <c:numCache>
                <c:formatCode>#,##0.00_);\(#,##0.00\)</c:formatCode>
                <c:ptCount val="3"/>
                <c:pt idx="0">
                  <c:v>5.9121989365475054</c:v>
                </c:pt>
                <c:pt idx="1">
                  <c:v>6.1286825401204661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5F-4E51-B132-59FE75CBF911}"/>
            </c:ext>
          </c:extLst>
        </c:ser>
        <c:ser>
          <c:idx val="2"/>
          <c:order val="2"/>
          <c:spPr>
            <a:noFill/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DCF!$B$128:$B$130</c:f>
              <c:strCache>
                <c:ptCount val="3"/>
                <c:pt idx="0">
                  <c:v>DCF Value at 5.9x-7.9x Exit EBITDA Range at 8.8% WACC</c:v>
                </c:pt>
                <c:pt idx="1">
                  <c:v>DCF Value at 1.0%-3.0% Perpetuity Range at 8.8% WACC</c:v>
                </c:pt>
                <c:pt idx="2">
                  <c:v>52 Week Market High/Low</c:v>
                </c:pt>
              </c:strCache>
            </c:strRef>
          </c:cat>
          <c:val>
            <c:numRef>
              <c:f>DCF!$E$128:$E$130</c:f>
              <c:numCache>
                <c:formatCode>#,##0.00_);\(#,##0.00\)</c:formatCode>
                <c:ptCount val="3"/>
                <c:pt idx="0">
                  <c:v>11.735110178426199</c:v>
                </c:pt>
                <c:pt idx="1">
                  <c:v>11.069505917041504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5F-4E51-B132-59FE75CBF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394424"/>
        <c:axId val="50287564"/>
      </c:barChart>
      <c:catAx>
        <c:axId val="31394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0287564"/>
        <c:crosses val="autoZero"/>
        <c:auto val="1"/>
        <c:lblAlgn val="ctr"/>
        <c:lblOffset val="100"/>
        <c:noMultiLvlLbl val="0"/>
      </c:catAx>
      <c:valAx>
        <c:axId val="50287564"/>
        <c:scaling>
          <c:orientation val="minMax"/>
          <c:max val="400"/>
          <c:min val="100"/>
        </c:scaling>
        <c:delete val="0"/>
        <c:axPos val="l"/>
        <c:numFmt formatCode="#,##0.00_);\(#,##0.00\)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139442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1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100" b="1" strike="noStrike" spc="-1">
                <a:solidFill>
                  <a:srgbClr val="000000"/>
                </a:solidFill>
                <a:latin typeface="Calibri"/>
              </a:rPr>
              <a:t>LTM EBITDA Multiple Range</a:t>
            </a:r>
          </a:p>
        </c:rich>
      </c:tx>
      <c:layout>
        <c:manualLayout>
          <c:xMode val="edge"/>
          <c:yMode val="edge"/>
          <c:x val="0.31298634732771102"/>
          <c:y val="0"/>
        </c:manualLayout>
      </c:layout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1.0%-3.0% Perpetuity Growth at 8.8% WACC</c:v>
                </c:pt>
                <c:pt idx="1">
                  <c:v>LTM EBITDA Purchase Multiple at 5.8x-7.3x Exit EBITDA Multiple at 8.8% WACC</c:v>
                </c:pt>
                <c:pt idx="2">
                  <c:v>LTM EBITDA Purchase Multiple at 6.8%-10.8% WACC at 6.9x Exit EBITDA</c:v>
                </c:pt>
              </c:strCache>
            </c:strRef>
          </c:cat>
          <c:val>
            <c:numRef>
              <c:f>DCF!$O$128:$O$130</c:f>
              <c:numCache>
                <c:formatCode>#,##0.00_);\(#,##0.00\)</c:formatCode>
                <c:ptCount val="3"/>
                <c:pt idx="0">
                  <c:v>5.6089328760225756</c:v>
                </c:pt>
                <c:pt idx="1">
                  <c:v>5.8261965797747433</c:v>
                </c:pt>
                <c:pt idx="2">
                  <c:v>6.0899114225391742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57-4724-9A6E-A26BA9C483B1}"/>
            </c:ext>
          </c:extLst>
        </c:ser>
        <c:ser>
          <c:idx val="1"/>
          <c:order val="1"/>
          <c:spPr>
            <a:solidFill>
              <a:srgbClr val="44546A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1.0%-3.0% Perpetuity Growth at 8.8% WACC</c:v>
                </c:pt>
                <c:pt idx="1">
                  <c:v>LTM EBITDA Purchase Multiple at 5.8x-7.3x Exit EBITDA Multiple at 8.8% WACC</c:v>
                </c:pt>
                <c:pt idx="2">
                  <c:v>LTM EBITDA Purchase Multiple at 6.8%-10.8% WACC at 6.9x Exit EBITDA</c:v>
                </c:pt>
              </c:strCache>
            </c:strRef>
          </c:cat>
          <c:val>
            <c:numRef>
              <c:f>DCF!$P$128:$P$130</c:f>
              <c:numCache>
                <c:formatCode>#,##0.00_);\(#,##0.00\)</c:formatCode>
                <c:ptCount val="3"/>
                <c:pt idx="0">
                  <c:v>1.5095324634714684</c:v>
                </c:pt>
                <c:pt idx="1">
                  <c:v>1.4562112112670356</c:v>
                </c:pt>
                <c:pt idx="2">
                  <c:v>0.976680933798594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57-4724-9A6E-A26BA9C483B1}"/>
            </c:ext>
          </c:extLst>
        </c:ser>
        <c:ser>
          <c:idx val="2"/>
          <c:order val="2"/>
          <c:spPr>
            <a:noFill/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DCF!$G$128:$G$130</c:f>
              <c:strCache>
                <c:ptCount val="3"/>
                <c:pt idx="0">
                  <c:v>LTM EBITDA Purchase Multiple at 1.0%-3.0% Perpetuity Growth at 8.8% WACC</c:v>
                </c:pt>
                <c:pt idx="1">
                  <c:v>LTM EBITDA Purchase Multiple at 5.8x-7.3x Exit EBITDA Multiple at 8.8% WACC</c:v>
                </c:pt>
                <c:pt idx="2">
                  <c:v>LTM EBITDA Purchase Multiple at 6.8%-10.8% WACC at 6.9x Exit EBITDA</c:v>
                </c:pt>
              </c:strCache>
            </c:strRef>
          </c:cat>
          <c:val>
            <c:numRef>
              <c:f>DCF!$Q$128:$Q$130</c:f>
              <c:numCache>
                <c:formatCode>#,##0.00_);\(#,##0.00\)</c:formatCode>
                <c:ptCount val="3"/>
                <c:pt idx="0">
                  <c:v>7.118465339494044</c:v>
                </c:pt>
                <c:pt idx="1">
                  <c:v>7.2824077910417788</c:v>
                </c:pt>
                <c:pt idx="2">
                  <c:v>7.0665923563377682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57-4724-9A6E-A26BA9C48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003009"/>
        <c:axId val="36353909"/>
      </c:barChart>
      <c:catAx>
        <c:axId val="800030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6353909"/>
        <c:crosses val="autoZero"/>
        <c:auto val="1"/>
        <c:lblAlgn val="ctr"/>
        <c:lblOffset val="100"/>
        <c:noMultiLvlLbl val="0"/>
      </c:catAx>
      <c:valAx>
        <c:axId val="36353909"/>
        <c:scaling>
          <c:orientation val="minMax"/>
          <c:max val="20"/>
          <c:min val="10"/>
        </c:scaling>
        <c:delete val="0"/>
        <c:axPos val="l"/>
        <c:numFmt formatCode="#,##0.0\x;\-#,##0.0\x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000300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53640</xdr:colOff>
      <xdr:row>106</xdr:row>
      <xdr:rowOff>149400</xdr:rowOff>
    </xdr:from>
    <xdr:to>
      <xdr:col>4</xdr:col>
      <xdr:colOff>653400</xdr:colOff>
      <xdr:row>125</xdr:row>
      <xdr:rowOff>52200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47160</xdr:colOff>
      <xdr:row>106</xdr:row>
      <xdr:rowOff>149400</xdr:rowOff>
    </xdr:from>
    <xdr:to>
      <xdr:col>15</xdr:col>
      <xdr:colOff>663840</xdr:colOff>
      <xdr:row>125</xdr:row>
      <xdr:rowOff>45720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2"/>
  <sheetViews>
    <sheetView showGridLines="0" topLeftCell="A16" zoomScale="85" zoomScaleNormal="85" workbookViewId="0">
      <selection activeCell="F32" sqref="F32"/>
    </sheetView>
  </sheetViews>
  <sheetFormatPr defaultColWidth="9.140625" defaultRowHeight="15" x14ac:dyDescent="0.25"/>
  <cols>
    <col min="1" max="2" width="1.7109375" customWidth="1"/>
    <col min="3" max="3" width="66.42578125" customWidth="1"/>
    <col min="4" max="4" width="17.140625" style="5" customWidth="1"/>
    <col min="5" max="11" width="17.140625" customWidth="1"/>
    <col min="12" max="12" width="2.7109375" customWidth="1"/>
  </cols>
  <sheetData>
    <row r="1" spans="3:11" ht="15" customHeight="1" x14ac:dyDescent="0.25"/>
    <row r="2" spans="3:11" ht="15.75" customHeight="1" x14ac:dyDescent="0.25">
      <c r="C2" s="6" t="str">
        <f>Company_Name&amp;" - Financial Statement Model"</f>
        <v>Iceland Foods Limited - Financial Statement Model</v>
      </c>
      <c r="D2" s="7"/>
      <c r="E2" s="7"/>
      <c r="F2" s="7"/>
      <c r="G2" s="7"/>
      <c r="H2" s="7"/>
      <c r="I2" s="7"/>
      <c r="J2" s="7"/>
      <c r="K2" s="7"/>
    </row>
    <row r="3" spans="3:11" ht="15" customHeight="1" x14ac:dyDescent="0.25">
      <c r="C3" s="8" t="s">
        <v>0</v>
      </c>
      <c r="D3" s="9"/>
      <c r="E3" s="9"/>
      <c r="F3" s="9"/>
      <c r="G3" s="9"/>
      <c r="H3" s="9"/>
    </row>
    <row r="4" spans="3:11" ht="15" customHeight="1" x14ac:dyDescent="0.25"/>
    <row r="5" spans="3:11" ht="15" customHeight="1" x14ac:dyDescent="0.25">
      <c r="C5" s="10" t="s">
        <v>1</v>
      </c>
      <c r="D5" s="11" t="s">
        <v>2</v>
      </c>
    </row>
    <row r="6" spans="3:11" ht="15" customHeight="1" x14ac:dyDescent="0.25">
      <c r="C6" s="10" t="s">
        <v>3</v>
      </c>
      <c r="D6" s="12"/>
    </row>
    <row r="7" spans="3:11" ht="15" customHeight="1" x14ac:dyDescent="0.25">
      <c r="C7" t="s">
        <v>4</v>
      </c>
      <c r="D7" s="13"/>
    </row>
    <row r="8" spans="3:11" ht="15" customHeight="1" x14ac:dyDescent="0.25">
      <c r="C8" t="s">
        <v>5</v>
      </c>
      <c r="D8" s="14"/>
    </row>
    <row r="9" spans="3:11" ht="15" customHeight="1" x14ac:dyDescent="0.25">
      <c r="C9" s="10" t="s">
        <v>6</v>
      </c>
      <c r="D9" s="14">
        <v>45744</v>
      </c>
    </row>
    <row r="10" spans="3:11" ht="15" customHeight="1" x14ac:dyDescent="0.25">
      <c r="C10" t="s">
        <v>7</v>
      </c>
      <c r="D10" s="15"/>
    </row>
    <row r="11" spans="3:11" ht="15" customHeight="1" x14ac:dyDescent="0.25"/>
    <row r="12" spans="3:11" ht="15" customHeight="1" x14ac:dyDescent="0.25">
      <c r="C12" s="16" t="s">
        <v>8</v>
      </c>
      <c r="D12" s="17"/>
      <c r="E12" s="17"/>
      <c r="F12" s="17"/>
      <c r="G12" s="17"/>
      <c r="H12" s="17"/>
      <c r="I12" s="17"/>
      <c r="J12" s="17"/>
      <c r="K12" s="17"/>
    </row>
    <row r="13" spans="3:11" ht="15" customHeight="1" x14ac:dyDescent="0.25">
      <c r="C13" t="s">
        <v>9</v>
      </c>
      <c r="D13" s="18">
        <f>E13-1</f>
        <v>2023</v>
      </c>
      <c r="E13" s="18">
        <f>F13-1</f>
        <v>2024</v>
      </c>
      <c r="F13" s="18">
        <f>YEAR(D9)</f>
        <v>2025</v>
      </c>
      <c r="G13" s="19">
        <f>F13+1</f>
        <v>2026</v>
      </c>
      <c r="H13" s="19">
        <f>G13+1</f>
        <v>2027</v>
      </c>
      <c r="I13" s="19">
        <f>H13+1</f>
        <v>2028</v>
      </c>
      <c r="J13" s="19">
        <f>I13+1</f>
        <v>2029</v>
      </c>
      <c r="K13" s="19">
        <f>J13+1</f>
        <v>2030</v>
      </c>
    </row>
    <row r="14" spans="3:11" ht="15" customHeight="1" x14ac:dyDescent="0.25">
      <c r="C14" s="20" t="s">
        <v>10</v>
      </c>
      <c r="D14" s="21">
        <f>EOMONTH(E14,-12)</f>
        <v>45016</v>
      </c>
      <c r="E14" s="22">
        <f>EOMONTH(F14,-12)</f>
        <v>45382</v>
      </c>
      <c r="F14" s="22">
        <f>D9</f>
        <v>45744</v>
      </c>
      <c r="G14" s="22">
        <f>EOMONTH(F14,12)</f>
        <v>46112</v>
      </c>
      <c r="H14" s="22">
        <f>EOMONTH(G14,12)</f>
        <v>46477</v>
      </c>
      <c r="I14" s="22">
        <f>EOMONTH(H14,12)</f>
        <v>46843</v>
      </c>
      <c r="J14" s="22">
        <f>EOMONTH(I14,12)</f>
        <v>47208</v>
      </c>
      <c r="K14" s="22">
        <f>EOMONTH(J14,12)</f>
        <v>47573</v>
      </c>
    </row>
    <row r="15" spans="3:11" ht="15" customHeight="1" x14ac:dyDescent="0.25"/>
    <row r="16" spans="3:11" ht="15" customHeight="1" x14ac:dyDescent="0.25">
      <c r="C16" t="s">
        <v>11</v>
      </c>
      <c r="D16" s="23">
        <v>3864.9</v>
      </c>
      <c r="E16" s="23">
        <v>4108.1000000000004</v>
      </c>
      <c r="F16" s="23">
        <v>4117.5</v>
      </c>
      <c r="G16" s="24">
        <f>F16*(1+G36)</f>
        <v>4364.55</v>
      </c>
      <c r="H16" s="24">
        <f>G16*(1+H36)</f>
        <v>4582.7775000000001</v>
      </c>
      <c r="I16" s="24">
        <f>H16*(1+I36)</f>
        <v>4766.0886</v>
      </c>
      <c r="J16" s="24">
        <f>I16*(1+J36)</f>
        <v>4909.0712579999999</v>
      </c>
      <c r="K16" s="24">
        <f>J16*(1+K36)</f>
        <v>5007.2526831599998</v>
      </c>
    </row>
    <row r="17" spans="3:11" ht="15" customHeight="1" x14ac:dyDescent="0.25">
      <c r="C17" t="s">
        <v>12</v>
      </c>
      <c r="D17" s="23">
        <v>-3720.4</v>
      </c>
      <c r="E17" s="23">
        <v>-3901.9</v>
      </c>
      <c r="F17" s="23">
        <v>-3923</v>
      </c>
      <c r="G17" s="24">
        <f>-G16*(1-G37)</f>
        <v>-4176.6377743974272</v>
      </c>
      <c r="H17" s="24">
        <f>-H16*(1-H37)</f>
        <v>-4385.4696631172983</v>
      </c>
      <c r="I17" s="24">
        <f>-I16*(1-I37)</f>
        <v>-4560.8884496419905</v>
      </c>
      <c r="J17" s="24">
        <f>-J16*(1-J37)</f>
        <v>-4697.7151031312496</v>
      </c>
      <c r="K17" s="24">
        <f>-K16*(1-K37)</f>
        <v>-4791.6694051938748</v>
      </c>
    </row>
    <row r="18" spans="3:11" ht="15" customHeight="1" x14ac:dyDescent="0.25">
      <c r="C18" t="s">
        <v>13</v>
      </c>
      <c r="D18" s="23">
        <v>-4.2</v>
      </c>
      <c r="E18" s="23">
        <v>-6.3</v>
      </c>
      <c r="F18" s="23">
        <v>-12.5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</row>
    <row r="19" spans="3:11" s="25" customFormat="1" ht="15" customHeight="1" x14ac:dyDescent="0.25">
      <c r="C19" s="25" t="s">
        <v>14</v>
      </c>
      <c r="D19" s="26">
        <f t="shared" ref="D19:K19" si="0">SUM(D16:D18)</f>
        <v>140.30000000000001</v>
      </c>
      <c r="E19" s="26">
        <f t="shared" si="0"/>
        <v>199.90000000000026</v>
      </c>
      <c r="F19" s="26">
        <f t="shared" si="0"/>
        <v>182</v>
      </c>
      <c r="G19" s="27">
        <f t="shared" si="0"/>
        <v>187.91222560257302</v>
      </c>
      <c r="H19" s="27">
        <f t="shared" si="0"/>
        <v>197.30783688270185</v>
      </c>
      <c r="I19" s="27">
        <f t="shared" si="0"/>
        <v>205.20015035800952</v>
      </c>
      <c r="J19" s="27">
        <f t="shared" si="0"/>
        <v>211.35615486875031</v>
      </c>
      <c r="K19" s="27">
        <f t="shared" si="0"/>
        <v>215.58327796612502</v>
      </c>
    </row>
    <row r="20" spans="3:11" s="28" customFormat="1" ht="15" customHeight="1" x14ac:dyDescent="0.25">
      <c r="C20" s="29" t="s">
        <v>15</v>
      </c>
      <c r="D20" s="23">
        <v>-94.4</v>
      </c>
      <c r="E20" s="23">
        <v>-105.6</v>
      </c>
      <c r="F20" s="23">
        <v>-98.3</v>
      </c>
      <c r="G20" s="24">
        <f>G$16*G38</f>
        <v>-104.19799999999999</v>
      </c>
      <c r="H20" s="24">
        <f>H$16*H38</f>
        <v>-109.4079</v>
      </c>
      <c r="I20" s="24">
        <f>I$16*I38</f>
        <v>-113.784216</v>
      </c>
      <c r="J20" s="24">
        <f>J$16*J38</f>
        <v>-117.19774247999999</v>
      </c>
      <c r="K20" s="24">
        <f>K$16*K38</f>
        <v>-119.54169732959998</v>
      </c>
    </row>
    <row r="21" spans="3:11" s="28" customFormat="1" ht="15" customHeight="1" x14ac:dyDescent="0.25">
      <c r="C21" s="29" t="s">
        <v>16</v>
      </c>
      <c r="D21" s="23">
        <v>-20.100000000000001</v>
      </c>
      <c r="E21" s="23">
        <v>-6.3</v>
      </c>
      <c r="F21" s="23">
        <v>-1.2</v>
      </c>
      <c r="G21" s="24">
        <v>0</v>
      </c>
      <c r="H21" s="24">
        <f>G21</f>
        <v>0</v>
      </c>
      <c r="I21" s="24">
        <f>H21</f>
        <v>0</v>
      </c>
      <c r="J21" s="24">
        <f>I21</f>
        <v>0</v>
      </c>
      <c r="K21" s="24">
        <f>J21</f>
        <v>0</v>
      </c>
    </row>
    <row r="22" spans="3:11" ht="15" customHeight="1" x14ac:dyDescent="0.25">
      <c r="C22" s="30" t="s">
        <v>17</v>
      </c>
      <c r="D22" s="31">
        <f t="shared" ref="D22:K22" si="1">SUM(D19:D21)</f>
        <v>25.800000000000004</v>
      </c>
      <c r="E22" s="31">
        <f t="shared" si="1"/>
        <v>88.00000000000027</v>
      </c>
      <c r="F22" s="31">
        <f t="shared" si="1"/>
        <v>82.5</v>
      </c>
      <c r="G22" s="32">
        <f t="shared" si="1"/>
        <v>83.714225602573023</v>
      </c>
      <c r="H22" s="32">
        <f t="shared" si="1"/>
        <v>87.899936882701851</v>
      </c>
      <c r="I22" s="32">
        <f t="shared" si="1"/>
        <v>91.415934358009522</v>
      </c>
      <c r="J22" s="32">
        <f t="shared" si="1"/>
        <v>94.158412388750321</v>
      </c>
      <c r="K22" s="32">
        <f t="shared" si="1"/>
        <v>96.04158063652504</v>
      </c>
    </row>
    <row r="23" spans="3:11" ht="15" customHeight="1" x14ac:dyDescent="0.25">
      <c r="C23" s="33" t="s">
        <v>18</v>
      </c>
      <c r="D23" s="23">
        <v>-2.2000000000000002</v>
      </c>
      <c r="E23" s="23">
        <v>0</v>
      </c>
      <c r="F23" s="23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</row>
    <row r="24" spans="3:11" ht="15" customHeight="1" x14ac:dyDescent="0.25">
      <c r="C24" s="33" t="s">
        <v>19</v>
      </c>
      <c r="D24" s="23">
        <v>0</v>
      </c>
      <c r="E24" s="23">
        <v>-4.3</v>
      </c>
      <c r="F24" s="23">
        <v>-5.9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</row>
    <row r="25" spans="3:11" ht="15" customHeight="1" x14ac:dyDescent="0.25">
      <c r="C25" s="33" t="s">
        <v>20</v>
      </c>
      <c r="D25" s="23">
        <v>0</v>
      </c>
      <c r="E25" s="23">
        <v>3.4</v>
      </c>
      <c r="F25" s="23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</row>
    <row r="26" spans="3:11" ht="15" customHeight="1" x14ac:dyDescent="0.25">
      <c r="C26" s="30" t="s">
        <v>21</v>
      </c>
      <c r="D26" s="31">
        <f t="shared" ref="D26:K26" si="2">SUM(D22:D25)</f>
        <v>23.600000000000005</v>
      </c>
      <c r="E26" s="31">
        <f t="shared" si="2"/>
        <v>87.100000000000279</v>
      </c>
      <c r="F26" s="31">
        <f t="shared" si="2"/>
        <v>76.599999999999994</v>
      </c>
      <c r="G26" s="32">
        <f t="shared" si="2"/>
        <v>83.714225602573023</v>
      </c>
      <c r="H26" s="32">
        <f t="shared" si="2"/>
        <v>87.899936882701851</v>
      </c>
      <c r="I26" s="32">
        <f t="shared" si="2"/>
        <v>91.415934358009522</v>
      </c>
      <c r="J26" s="32">
        <f t="shared" si="2"/>
        <v>94.158412388750321</v>
      </c>
      <c r="K26" s="32">
        <f t="shared" si="2"/>
        <v>96.04158063652504</v>
      </c>
    </row>
    <row r="27" spans="3:11" ht="15" customHeight="1" x14ac:dyDescent="0.25">
      <c r="C27" s="33" t="s">
        <v>22</v>
      </c>
      <c r="D27" s="23">
        <v>-39.799999999999997</v>
      </c>
      <c r="E27" s="23">
        <v>-71.5</v>
      </c>
      <c r="F27" s="23">
        <v>-77.5</v>
      </c>
      <c r="G27" s="24">
        <f>G162</f>
        <v>-77.5</v>
      </c>
      <c r="H27" s="24">
        <f>H162</f>
        <v>-77.5</v>
      </c>
      <c r="I27" s="24">
        <f>I162</f>
        <v>-77.5</v>
      </c>
      <c r="J27" s="24">
        <f>J162</f>
        <v>-77.5</v>
      </c>
      <c r="K27" s="24">
        <f>K162</f>
        <v>-77.5</v>
      </c>
    </row>
    <row r="28" spans="3:11" s="25" customFormat="1" ht="15" customHeight="1" x14ac:dyDescent="0.25">
      <c r="C28" s="25" t="s">
        <v>23</v>
      </c>
      <c r="D28" s="31">
        <f t="shared" ref="D28:K28" si="3">SUM(D26:D27)</f>
        <v>-16.199999999999992</v>
      </c>
      <c r="E28" s="31">
        <f t="shared" si="3"/>
        <v>15.600000000000279</v>
      </c>
      <c r="F28" s="31">
        <f t="shared" si="3"/>
        <v>-0.90000000000000568</v>
      </c>
      <c r="G28" s="32">
        <f t="shared" si="3"/>
        <v>6.2142256025730234</v>
      </c>
      <c r="H28" s="32">
        <f t="shared" si="3"/>
        <v>10.399936882701851</v>
      </c>
      <c r="I28" s="32">
        <f t="shared" si="3"/>
        <v>13.915934358009522</v>
      </c>
      <c r="J28" s="32">
        <f t="shared" si="3"/>
        <v>16.658412388750321</v>
      </c>
      <c r="K28" s="32">
        <f t="shared" si="3"/>
        <v>18.54158063652504</v>
      </c>
    </row>
    <row r="29" spans="3:11" ht="15" customHeight="1" x14ac:dyDescent="0.25">
      <c r="C29" t="s">
        <v>24</v>
      </c>
      <c r="D29" s="23">
        <v>-0.9</v>
      </c>
      <c r="E29" s="23">
        <v>-4.5999999999999996</v>
      </c>
      <c r="F29" s="23">
        <v>-3.8</v>
      </c>
      <c r="G29" s="24">
        <f>-G28*G39</f>
        <v>-1.5535564006432558</v>
      </c>
      <c r="H29" s="24">
        <f>-H28*H39</f>
        <v>-2.5999842206754629</v>
      </c>
      <c r="I29" s="24">
        <f>-I28*I39</f>
        <v>-3.4789835895023806</v>
      </c>
      <c r="J29" s="24">
        <f>-J28*J39</f>
        <v>-4.1646030971875803</v>
      </c>
      <c r="K29" s="24">
        <f>-K28*K39</f>
        <v>-4.6353951591312601</v>
      </c>
    </row>
    <row r="30" spans="3:11" s="25" customFormat="1" ht="15" customHeight="1" x14ac:dyDescent="0.25">
      <c r="C30" s="25" t="s">
        <v>25</v>
      </c>
      <c r="D30" s="31">
        <f t="shared" ref="D30:K30" si="4">SUM(D28:D29)</f>
        <v>-17.099999999999991</v>
      </c>
      <c r="E30" s="31">
        <f t="shared" si="4"/>
        <v>11.000000000000279</v>
      </c>
      <c r="F30" s="31">
        <f t="shared" si="4"/>
        <v>-4.7000000000000055</v>
      </c>
      <c r="G30" s="32">
        <f t="shared" si="4"/>
        <v>4.6606692019297675</v>
      </c>
      <c r="H30" s="32">
        <f t="shared" si="4"/>
        <v>7.7999526620263886</v>
      </c>
      <c r="I30" s="32">
        <f t="shared" si="4"/>
        <v>10.436950768507142</v>
      </c>
      <c r="J30" s="32">
        <f t="shared" si="4"/>
        <v>12.493809291562741</v>
      </c>
      <c r="K30" s="32">
        <f t="shared" si="4"/>
        <v>13.90618547739378</v>
      </c>
    </row>
    <row r="31" spans="3:11" ht="15" customHeight="1" x14ac:dyDescent="0.25">
      <c r="D31" s="26"/>
      <c r="E31" s="26"/>
      <c r="F31" s="26"/>
      <c r="G31" s="34"/>
      <c r="H31" s="34"/>
      <c r="I31" s="34"/>
      <c r="J31" s="34"/>
      <c r="K31" s="34"/>
    </row>
    <row r="32" spans="3:11" s="25" customFormat="1" ht="15" customHeight="1" x14ac:dyDescent="0.25">
      <c r="C32" s="35" t="s">
        <v>26</v>
      </c>
      <c r="D32" s="36">
        <v>105.8</v>
      </c>
      <c r="E32" s="36">
        <v>150.9</v>
      </c>
      <c r="F32" s="36">
        <v>142.1</v>
      </c>
      <c r="G32" s="27">
        <f>G22+G127</f>
        <v>132.0566903597589</v>
      </c>
      <c r="H32" s="27">
        <f>H22+H127</f>
        <v>138.65952487774703</v>
      </c>
      <c r="I32" s="27">
        <f>I22+I127</f>
        <v>144.2059058728565</v>
      </c>
      <c r="J32" s="27">
        <f>J22+J127</f>
        <v>148.53208304904271</v>
      </c>
      <c r="K32" s="27">
        <f>K22+K127</f>
        <v>151.50272471002327</v>
      </c>
    </row>
    <row r="33" spans="3:11" ht="15" customHeight="1" x14ac:dyDescent="0.25">
      <c r="C33" s="37" t="s">
        <v>27</v>
      </c>
      <c r="D33" s="28">
        <f t="shared" ref="D33:K33" si="5">D32/D16</f>
        <v>2.7374576315040491E-2</v>
      </c>
      <c r="E33" s="28">
        <f t="shared" si="5"/>
        <v>3.6732309340084222E-2</v>
      </c>
      <c r="F33" s="28">
        <f t="shared" si="5"/>
        <v>3.451123254401943E-2</v>
      </c>
      <c r="G33" s="28">
        <f t="shared" si="5"/>
        <v>3.0256656553312233E-2</v>
      </c>
      <c r="H33" s="28">
        <f t="shared" si="5"/>
        <v>3.0256656553312271E-2</v>
      </c>
      <c r="I33" s="28">
        <f t="shared" si="5"/>
        <v>3.0256656553312188E-2</v>
      </c>
      <c r="J33" s="28">
        <f t="shared" si="5"/>
        <v>3.0256656553312292E-2</v>
      </c>
      <c r="K33" s="28">
        <f t="shared" si="5"/>
        <v>3.0256656553312233E-2</v>
      </c>
    </row>
    <row r="34" spans="3:11" ht="15" customHeight="1" x14ac:dyDescent="0.25">
      <c r="C34" s="38"/>
      <c r="D34" s="39"/>
      <c r="E34" s="39"/>
      <c r="F34" s="39"/>
      <c r="G34" s="24"/>
      <c r="H34" s="39"/>
      <c r="I34" s="39"/>
      <c r="J34" s="39"/>
      <c r="K34" s="39"/>
    </row>
    <row r="35" spans="3:11" ht="15" customHeight="1" x14ac:dyDescent="0.25">
      <c r="C35" s="40" t="s">
        <v>28</v>
      </c>
      <c r="D35" s="41"/>
      <c r="E35" s="41"/>
      <c r="F35" s="39"/>
      <c r="H35" s="41"/>
      <c r="I35" s="41"/>
      <c r="J35" s="41"/>
      <c r="K35" s="41"/>
    </row>
    <row r="36" spans="3:11" ht="15" customHeight="1" x14ac:dyDescent="0.25">
      <c r="C36" s="38" t="s">
        <v>29</v>
      </c>
      <c r="D36" s="42">
        <f>D16/3605.2-1</f>
        <v>7.2034838566515047E-2</v>
      </c>
      <c r="E36" s="42">
        <f>E16/D16-1</f>
        <v>6.292530207767344E-2</v>
      </c>
      <c r="F36" s="42">
        <f>F16/E16-1</f>
        <v>2.288162410846839E-3</v>
      </c>
      <c r="G36" s="43">
        <v>0.06</v>
      </c>
      <c r="H36" s="43">
        <v>0.05</v>
      </c>
      <c r="I36" s="43">
        <v>0.04</v>
      </c>
      <c r="J36" s="43">
        <v>0.03</v>
      </c>
      <c r="K36" s="43">
        <v>0.02</v>
      </c>
    </row>
    <row r="37" spans="3:11" ht="15" customHeight="1" x14ac:dyDescent="0.25">
      <c r="C37" s="38" t="s">
        <v>30</v>
      </c>
      <c r="D37" s="44">
        <f>D19/D16</f>
        <v>3.6301068591684131E-2</v>
      </c>
      <c r="E37" s="44">
        <f>E19/E16</f>
        <v>4.8659964460456229E-2</v>
      </c>
      <c r="F37" s="44">
        <f>F19/F16</f>
        <v>4.4201578627808137E-2</v>
      </c>
      <c r="G37" s="45">
        <f>AVERAGE(D37:F37)</f>
        <v>4.3054203893316163E-2</v>
      </c>
      <c r="H37" s="45">
        <f t="shared" ref="H37:K39" si="6">G37</f>
        <v>4.3054203893316163E-2</v>
      </c>
      <c r="I37" s="45">
        <f t="shared" si="6"/>
        <v>4.3054203893316163E-2</v>
      </c>
      <c r="J37" s="45">
        <f t="shared" si="6"/>
        <v>4.3054203893316163E-2</v>
      </c>
      <c r="K37" s="45">
        <f t="shared" si="6"/>
        <v>4.3054203893316163E-2</v>
      </c>
    </row>
    <row r="38" spans="3:11" ht="15" customHeight="1" x14ac:dyDescent="0.25">
      <c r="C38" s="38" t="s">
        <v>15</v>
      </c>
      <c r="D38" s="44">
        <f>D20/D$16</f>
        <v>-2.4424952780149552E-2</v>
      </c>
      <c r="E38" s="44">
        <f>E20/E$16</f>
        <v>-2.570531389206689E-2</v>
      </c>
      <c r="F38" s="44">
        <f>F20/F$16</f>
        <v>-2.3873709775349118E-2</v>
      </c>
      <c r="G38" s="45">
        <f>F38</f>
        <v>-2.3873709775349118E-2</v>
      </c>
      <c r="H38" s="45">
        <f t="shared" si="6"/>
        <v>-2.3873709775349118E-2</v>
      </c>
      <c r="I38" s="45">
        <f t="shared" si="6"/>
        <v>-2.3873709775349118E-2</v>
      </c>
      <c r="J38" s="45">
        <f t="shared" si="6"/>
        <v>-2.3873709775349118E-2</v>
      </c>
      <c r="K38" s="45">
        <f t="shared" si="6"/>
        <v>-2.3873709775349118E-2</v>
      </c>
    </row>
    <row r="39" spans="3:11" ht="15" customHeight="1" x14ac:dyDescent="0.25">
      <c r="C39" s="38" t="s">
        <v>31</v>
      </c>
      <c r="D39" s="46">
        <f>D29/D28</f>
        <v>5.5555555555555587E-2</v>
      </c>
      <c r="E39" s="46">
        <f>E29/E28</f>
        <v>-0.29487179487178961</v>
      </c>
      <c r="F39" s="46">
        <f>F29/F28</f>
        <v>4.2222222222221957</v>
      </c>
      <c r="G39" s="45">
        <v>0.25</v>
      </c>
      <c r="H39" s="45">
        <f t="shared" si="6"/>
        <v>0.25</v>
      </c>
      <c r="I39" s="45">
        <f t="shared" si="6"/>
        <v>0.25</v>
      </c>
      <c r="J39" s="45">
        <f t="shared" si="6"/>
        <v>0.25</v>
      </c>
      <c r="K39" s="45">
        <f t="shared" si="6"/>
        <v>0.25</v>
      </c>
    </row>
    <row r="40" spans="3:11" ht="15" customHeight="1" x14ac:dyDescent="0.25">
      <c r="C40" s="38"/>
      <c r="D40" s="47"/>
      <c r="E40" s="47"/>
      <c r="F40" s="47"/>
      <c r="G40" s="47"/>
      <c r="H40" s="47"/>
      <c r="I40" s="47"/>
      <c r="J40" s="47"/>
      <c r="K40" s="47"/>
    </row>
    <row r="41" spans="3:11" ht="15" customHeight="1" x14ac:dyDescent="0.25">
      <c r="C41" s="16" t="s">
        <v>32</v>
      </c>
      <c r="D41" s="48"/>
      <c r="E41" s="49"/>
      <c r="F41" s="49"/>
      <c r="G41" s="17"/>
      <c r="H41" s="17"/>
      <c r="I41" s="17"/>
      <c r="J41" s="17"/>
      <c r="K41" s="17"/>
    </row>
    <row r="42" spans="3:11" ht="15" customHeight="1" x14ac:dyDescent="0.25">
      <c r="C42" t="s">
        <v>9</v>
      </c>
      <c r="D42" s="18">
        <f t="shared" ref="D42:K42" si="7">D$13</f>
        <v>2023</v>
      </c>
      <c r="E42" s="18">
        <f t="shared" si="7"/>
        <v>2024</v>
      </c>
      <c r="F42" s="18">
        <f t="shared" si="7"/>
        <v>2025</v>
      </c>
      <c r="G42" s="19">
        <f t="shared" si="7"/>
        <v>2026</v>
      </c>
      <c r="H42" s="19">
        <f t="shared" si="7"/>
        <v>2027</v>
      </c>
      <c r="I42" s="19">
        <f t="shared" si="7"/>
        <v>2028</v>
      </c>
      <c r="J42" s="19">
        <f t="shared" si="7"/>
        <v>2029</v>
      </c>
      <c r="K42" s="19">
        <f t="shared" si="7"/>
        <v>2030</v>
      </c>
    </row>
    <row r="43" spans="3:11" ht="15" customHeight="1" x14ac:dyDescent="0.25">
      <c r="C43" s="20" t="s">
        <v>10</v>
      </c>
      <c r="D43" s="21">
        <f t="shared" ref="D43:K43" si="8">D$14</f>
        <v>45016</v>
      </c>
      <c r="E43" s="22">
        <f t="shared" si="8"/>
        <v>45382</v>
      </c>
      <c r="F43" s="22">
        <f t="shared" si="8"/>
        <v>45744</v>
      </c>
      <c r="G43" s="22">
        <f t="shared" si="8"/>
        <v>46112</v>
      </c>
      <c r="H43" s="22">
        <f t="shared" si="8"/>
        <v>46477</v>
      </c>
      <c r="I43" s="22">
        <f t="shared" si="8"/>
        <v>46843</v>
      </c>
      <c r="J43" s="22">
        <f t="shared" si="8"/>
        <v>47208</v>
      </c>
      <c r="K43" s="22">
        <f t="shared" si="8"/>
        <v>47573</v>
      </c>
    </row>
    <row r="44" spans="3:11" s="50" customFormat="1" ht="15" customHeight="1" x14ac:dyDescent="0.25">
      <c r="C44" s="51" t="s">
        <v>33</v>
      </c>
    </row>
    <row r="45" spans="3:11" ht="15" customHeight="1" x14ac:dyDescent="0.25"/>
    <row r="46" spans="3:11" ht="15" customHeight="1" x14ac:dyDescent="0.25">
      <c r="C46" s="25" t="s">
        <v>34</v>
      </c>
    </row>
    <row r="47" spans="3:11" ht="15" customHeight="1" x14ac:dyDescent="0.25">
      <c r="C47" s="38" t="s">
        <v>35</v>
      </c>
      <c r="D47" s="52">
        <v>209.6</v>
      </c>
      <c r="E47" s="52">
        <v>220.1</v>
      </c>
      <c r="F47" s="52">
        <v>245.9</v>
      </c>
      <c r="G47" s="53">
        <f t="shared" ref="G47:K48" si="9">G134</f>
        <v>261.7984268988854</v>
      </c>
      <c r="H47" s="53">
        <f t="shared" si="9"/>
        <v>274.88834824382963</v>
      </c>
      <c r="I47" s="53">
        <f t="shared" si="9"/>
        <v>285.88388217358283</v>
      </c>
      <c r="J47" s="53">
        <f t="shared" si="9"/>
        <v>294.46039863879031</v>
      </c>
      <c r="K47" s="53">
        <f t="shared" si="9"/>
        <v>300.34960661156612</v>
      </c>
    </row>
    <row r="48" spans="3:11" ht="15" customHeight="1" x14ac:dyDescent="0.25">
      <c r="C48" s="38" t="s">
        <v>36</v>
      </c>
      <c r="D48" s="52">
        <v>2188.5</v>
      </c>
      <c r="E48" s="52">
        <v>2219</v>
      </c>
      <c r="F48" s="52">
        <v>2244.9</v>
      </c>
      <c r="G48" s="53">
        <f t="shared" si="9"/>
        <v>2379.5940000000005</v>
      </c>
      <c r="H48" s="53">
        <f t="shared" si="9"/>
        <v>2498.5737000000004</v>
      </c>
      <c r="I48" s="53">
        <f t="shared" si="9"/>
        <v>2598.5166480000003</v>
      </c>
      <c r="J48" s="53">
        <f t="shared" si="9"/>
        <v>2676.4721474400003</v>
      </c>
      <c r="K48" s="53">
        <f t="shared" si="9"/>
        <v>2730.0015903888002</v>
      </c>
    </row>
    <row r="49" spans="3:12" ht="15" customHeight="1" x14ac:dyDescent="0.25">
      <c r="C49" s="38" t="s">
        <v>37</v>
      </c>
      <c r="D49" s="52">
        <v>158</v>
      </c>
      <c r="E49" s="52">
        <v>143.1</v>
      </c>
      <c r="F49" s="52">
        <v>123.8</v>
      </c>
      <c r="G49" s="53">
        <f>G107</f>
        <v>113.03541372707166</v>
      </c>
      <c r="H49" s="53">
        <f>H107</f>
        <v>100.94358652886065</v>
      </c>
      <c r="I49" s="53">
        <f>I107</f>
        <v>95.494533626604294</v>
      </c>
      <c r="J49" s="53">
        <f>J107</f>
        <v>96.667278890359</v>
      </c>
      <c r="K49" s="53">
        <f>K107</f>
        <v>104.26915960258899</v>
      </c>
    </row>
    <row r="50" spans="3:12" ht="15" customHeight="1" x14ac:dyDescent="0.25">
      <c r="C50" s="54" t="s">
        <v>38</v>
      </c>
      <c r="D50" s="55">
        <f t="shared" ref="D50:K50" si="10">SUM(D47:D49)</f>
        <v>2556.1</v>
      </c>
      <c r="E50" s="55">
        <f t="shared" si="10"/>
        <v>2582.1999999999998</v>
      </c>
      <c r="F50" s="55">
        <f t="shared" si="10"/>
        <v>2614.6000000000004</v>
      </c>
      <c r="G50" s="55">
        <f t="shared" si="10"/>
        <v>2754.4278406259573</v>
      </c>
      <c r="H50" s="55">
        <f t="shared" si="10"/>
        <v>2874.4056347726905</v>
      </c>
      <c r="I50" s="55">
        <f t="shared" si="10"/>
        <v>2979.8950638001875</v>
      </c>
      <c r="J50" s="55">
        <f t="shared" si="10"/>
        <v>3067.5998249691493</v>
      </c>
      <c r="K50" s="55">
        <f t="shared" si="10"/>
        <v>3134.6203566029553</v>
      </c>
    </row>
    <row r="51" spans="3:12" ht="15" customHeight="1" x14ac:dyDescent="0.25">
      <c r="D51" s="56"/>
      <c r="E51" s="53"/>
      <c r="F51" s="53"/>
      <c r="G51" s="53"/>
      <c r="H51" s="53"/>
      <c r="I51" s="53"/>
      <c r="J51" s="53"/>
      <c r="K51" s="53"/>
    </row>
    <row r="52" spans="3:12" ht="15" customHeight="1" x14ac:dyDescent="0.25">
      <c r="C52" s="25" t="s">
        <v>39</v>
      </c>
      <c r="D52" s="56"/>
      <c r="E52" s="53"/>
      <c r="F52" s="53"/>
      <c r="G52" s="53"/>
      <c r="H52" s="53"/>
      <c r="I52" s="53"/>
      <c r="J52" s="53"/>
      <c r="K52" s="53"/>
    </row>
    <row r="53" spans="3:12" ht="15" customHeight="1" x14ac:dyDescent="0.25">
      <c r="C53" s="57" t="s">
        <v>40</v>
      </c>
      <c r="D53" s="52">
        <v>16.3</v>
      </c>
      <c r="E53" s="52">
        <v>16.100000000000001</v>
      </c>
      <c r="F53" s="52">
        <v>13.3</v>
      </c>
      <c r="G53" s="53">
        <f>G180</f>
        <v>13.180904048745791</v>
      </c>
      <c r="H53" s="53">
        <f>H180</f>
        <v>13.055853299928874</v>
      </c>
      <c r="I53" s="53">
        <f>I180</f>
        <v>12.925800521159278</v>
      </c>
      <c r="J53" s="53">
        <f>J180</f>
        <v>12.791846159026594</v>
      </c>
      <c r="K53" s="53">
        <f>K180</f>
        <v>12.655212709651259</v>
      </c>
    </row>
    <row r="54" spans="3:12" ht="15" customHeight="1" x14ac:dyDescent="0.25">
      <c r="C54" s="38" t="s">
        <v>41</v>
      </c>
      <c r="D54" s="52">
        <v>161.6</v>
      </c>
      <c r="E54" s="52">
        <v>167.4</v>
      </c>
      <c r="F54" s="52">
        <v>159.30000000000001</v>
      </c>
      <c r="G54" s="53">
        <f>G118</f>
        <v>155.49961303774876</v>
      </c>
      <c r="H54" s="53">
        <f>H118</f>
        <v>151.50920672738494</v>
      </c>
      <c r="I54" s="53">
        <f>I118</f>
        <v>147.35918416460657</v>
      </c>
      <c r="J54" s="53">
        <f>J118</f>
        <v>143.08466092494487</v>
      </c>
      <c r="K54" s="53">
        <f>K118</f>
        <v>138.72464722048994</v>
      </c>
    </row>
    <row r="55" spans="3:12" ht="15" customHeight="1" x14ac:dyDescent="0.25">
      <c r="C55" s="38" t="s">
        <v>42</v>
      </c>
      <c r="D55" s="52">
        <v>14.9</v>
      </c>
      <c r="E55" s="52">
        <v>14.9</v>
      </c>
      <c r="F55" s="52">
        <v>14.9</v>
      </c>
      <c r="G55" s="53">
        <f>F55</f>
        <v>14.9</v>
      </c>
      <c r="H55" s="53">
        <f>G55</f>
        <v>14.9</v>
      </c>
      <c r="I55" s="53">
        <f>H55</f>
        <v>14.9</v>
      </c>
      <c r="J55" s="53">
        <f>I55</f>
        <v>14.9</v>
      </c>
      <c r="K55" s="53">
        <f>J55</f>
        <v>14.9</v>
      </c>
    </row>
    <row r="56" spans="3:12" ht="15" customHeight="1" x14ac:dyDescent="0.25">
      <c r="C56" s="54" t="s">
        <v>43</v>
      </c>
      <c r="D56" s="55">
        <f t="shared" ref="D56:K56" si="11">SUM(D53:D55)</f>
        <v>192.8</v>
      </c>
      <c r="E56" s="55">
        <f t="shared" si="11"/>
        <v>198.4</v>
      </c>
      <c r="F56" s="55">
        <f t="shared" si="11"/>
        <v>187.50000000000003</v>
      </c>
      <c r="G56" s="55">
        <f t="shared" si="11"/>
        <v>183.58051708649455</v>
      </c>
      <c r="H56" s="55">
        <f t="shared" si="11"/>
        <v>179.46506002731383</v>
      </c>
      <c r="I56" s="55">
        <f t="shared" si="11"/>
        <v>175.18498468576587</v>
      </c>
      <c r="J56" s="55">
        <f t="shared" si="11"/>
        <v>170.77650708397147</v>
      </c>
      <c r="K56" s="55">
        <f t="shared" si="11"/>
        <v>166.27985993014121</v>
      </c>
    </row>
    <row r="57" spans="3:12" ht="15" customHeight="1" x14ac:dyDescent="0.25">
      <c r="D57" s="56"/>
      <c r="E57" s="53"/>
      <c r="F57" s="53"/>
      <c r="G57" s="53"/>
      <c r="H57" s="53"/>
      <c r="I57" s="53"/>
      <c r="J57" s="53"/>
      <c r="K57" s="53"/>
    </row>
    <row r="58" spans="3:12" ht="15" customHeight="1" x14ac:dyDescent="0.25">
      <c r="C58" s="25" t="s">
        <v>44</v>
      </c>
      <c r="D58" s="58">
        <f t="shared" ref="D58:K58" si="12">D50+D56</f>
        <v>2748.9</v>
      </c>
      <c r="E58" s="58">
        <f t="shared" si="12"/>
        <v>2780.6</v>
      </c>
      <c r="F58" s="58">
        <f t="shared" si="12"/>
        <v>2802.1000000000004</v>
      </c>
      <c r="G58" s="58">
        <f t="shared" si="12"/>
        <v>2938.0083577124519</v>
      </c>
      <c r="H58" s="58">
        <f t="shared" si="12"/>
        <v>3053.8706948000045</v>
      </c>
      <c r="I58" s="58">
        <f t="shared" si="12"/>
        <v>3155.0800484859533</v>
      </c>
      <c r="J58" s="58">
        <f t="shared" si="12"/>
        <v>3238.3763320531207</v>
      </c>
      <c r="K58" s="58">
        <f t="shared" si="12"/>
        <v>3300.9002165330967</v>
      </c>
    </row>
    <row r="59" spans="3:12" ht="15" customHeight="1" x14ac:dyDescent="0.25">
      <c r="D59" s="56"/>
      <c r="E59" s="53"/>
      <c r="F59" s="53"/>
      <c r="G59" s="53"/>
      <c r="H59" s="53"/>
      <c r="I59" s="53"/>
      <c r="J59" s="53"/>
      <c r="K59" s="53"/>
    </row>
    <row r="60" spans="3:12" s="50" customFormat="1" ht="15" customHeight="1" x14ac:dyDescent="0.25">
      <c r="C60" s="51" t="s">
        <v>45</v>
      </c>
      <c r="D60" s="59"/>
      <c r="E60" s="60"/>
      <c r="F60" s="60"/>
      <c r="G60" s="60"/>
      <c r="H60" s="60"/>
      <c r="I60" s="60"/>
      <c r="J60" s="60"/>
      <c r="K60" s="60"/>
    </row>
    <row r="61" spans="3:12" ht="15" customHeight="1" x14ac:dyDescent="0.25">
      <c r="D61" s="56"/>
      <c r="E61" s="53"/>
      <c r="F61" s="53"/>
      <c r="G61" s="53"/>
      <c r="H61" s="53"/>
      <c r="I61" s="53"/>
      <c r="J61" s="53"/>
      <c r="K61" s="53"/>
    </row>
    <row r="62" spans="3:12" ht="15" customHeight="1" x14ac:dyDescent="0.25">
      <c r="C62" s="25" t="s">
        <v>46</v>
      </c>
      <c r="D62" s="56"/>
      <c r="E62" s="53"/>
      <c r="F62" s="53"/>
      <c r="G62" s="53"/>
      <c r="H62" s="53"/>
      <c r="I62" s="53"/>
      <c r="J62" s="53"/>
      <c r="K62" s="53"/>
    </row>
    <row r="63" spans="3:12" ht="15" customHeight="1" x14ac:dyDescent="0.25">
      <c r="C63" s="38" t="s">
        <v>47</v>
      </c>
      <c r="D63" s="52">
        <v>2000.9</v>
      </c>
      <c r="E63" s="52">
        <v>2014.4</v>
      </c>
      <c r="F63" s="52">
        <v>2030</v>
      </c>
      <c r="G63" s="53">
        <f>G139</f>
        <v>2161.247688510522</v>
      </c>
      <c r="H63" s="53">
        <f>H139</f>
        <v>2269.3100729360481</v>
      </c>
      <c r="I63" s="53">
        <f>I139</f>
        <v>2360.08247585349</v>
      </c>
      <c r="J63" s="53">
        <f>J139</f>
        <v>2430.8849501290947</v>
      </c>
      <c r="K63" s="53">
        <f>K139</f>
        <v>2479.5026491316767</v>
      </c>
    </row>
    <row r="64" spans="3:12" ht="15" customHeight="1" x14ac:dyDescent="0.25">
      <c r="C64" s="54" t="s">
        <v>48</v>
      </c>
      <c r="D64" s="55">
        <f t="shared" ref="D64:K64" si="13">SUM(D63:D63)</f>
        <v>2000.9</v>
      </c>
      <c r="E64" s="55">
        <f t="shared" si="13"/>
        <v>2014.4</v>
      </c>
      <c r="F64" s="55">
        <f t="shared" si="13"/>
        <v>2030</v>
      </c>
      <c r="G64" s="55">
        <f t="shared" si="13"/>
        <v>2161.247688510522</v>
      </c>
      <c r="H64" s="55">
        <f t="shared" si="13"/>
        <v>2269.3100729360481</v>
      </c>
      <c r="I64" s="55">
        <f t="shared" si="13"/>
        <v>2360.08247585349</v>
      </c>
      <c r="J64" s="55">
        <f t="shared" si="13"/>
        <v>2430.8849501290947</v>
      </c>
      <c r="K64" s="55">
        <f t="shared" si="13"/>
        <v>2479.5026491316767</v>
      </c>
      <c r="L64" s="34"/>
    </row>
    <row r="65" spans="3:11" ht="15" customHeight="1" x14ac:dyDescent="0.25">
      <c r="D65" s="53"/>
      <c r="E65" s="53"/>
      <c r="F65" s="53"/>
      <c r="G65" s="52"/>
      <c r="H65" s="52"/>
      <c r="I65" s="52"/>
      <c r="J65" s="52"/>
      <c r="K65" s="52"/>
    </row>
    <row r="66" spans="3:11" ht="15" customHeight="1" x14ac:dyDescent="0.25">
      <c r="C66" s="25" t="s">
        <v>49</v>
      </c>
      <c r="D66" s="56"/>
      <c r="E66" s="53"/>
      <c r="F66" s="53"/>
      <c r="G66" s="53"/>
      <c r="H66" s="53"/>
      <c r="I66" s="53"/>
      <c r="J66" s="53"/>
      <c r="K66" s="53"/>
    </row>
    <row r="67" spans="3:11" ht="15" customHeight="1" x14ac:dyDescent="0.25">
      <c r="C67" s="38" t="s">
        <v>50</v>
      </c>
      <c r="D67" s="52">
        <v>20</v>
      </c>
      <c r="E67" s="52">
        <v>28.4</v>
      </c>
      <c r="F67" s="52">
        <v>45.3</v>
      </c>
      <c r="G67" s="53">
        <f t="shared" ref="G67:K68" si="14">F67</f>
        <v>45.3</v>
      </c>
      <c r="H67" s="53">
        <f t="shared" si="14"/>
        <v>45.3</v>
      </c>
      <c r="I67" s="53">
        <f t="shared" si="14"/>
        <v>45.3</v>
      </c>
      <c r="J67" s="53">
        <f t="shared" si="14"/>
        <v>45.3</v>
      </c>
      <c r="K67" s="53">
        <f t="shared" si="14"/>
        <v>45.3</v>
      </c>
    </row>
    <row r="68" spans="3:11" ht="15" customHeight="1" x14ac:dyDescent="0.25">
      <c r="C68" s="38" t="s">
        <v>51</v>
      </c>
      <c r="D68" s="52">
        <v>27</v>
      </c>
      <c r="E68" s="52">
        <v>25.8</v>
      </c>
      <c r="F68" s="52">
        <v>19.5</v>
      </c>
      <c r="G68" s="53">
        <f t="shared" si="14"/>
        <v>19.5</v>
      </c>
      <c r="H68" s="53">
        <f t="shared" si="14"/>
        <v>19.5</v>
      </c>
      <c r="I68" s="53">
        <f t="shared" si="14"/>
        <v>19.5</v>
      </c>
      <c r="J68" s="53">
        <f t="shared" si="14"/>
        <v>19.5</v>
      </c>
      <c r="K68" s="53">
        <f t="shared" si="14"/>
        <v>19.5</v>
      </c>
    </row>
    <row r="69" spans="3:11" ht="15" customHeight="1" x14ac:dyDescent="0.25">
      <c r="C69" s="54" t="s">
        <v>52</v>
      </c>
      <c r="D69" s="55">
        <f t="shared" ref="D69:K69" si="15">SUM(D67:D68)</f>
        <v>47</v>
      </c>
      <c r="E69" s="55">
        <f t="shared" si="15"/>
        <v>54.2</v>
      </c>
      <c r="F69" s="55">
        <f t="shared" si="15"/>
        <v>64.8</v>
      </c>
      <c r="G69" s="55">
        <f t="shared" si="15"/>
        <v>64.8</v>
      </c>
      <c r="H69" s="55">
        <f t="shared" si="15"/>
        <v>64.8</v>
      </c>
      <c r="I69" s="55">
        <f t="shared" si="15"/>
        <v>64.8</v>
      </c>
      <c r="J69" s="55">
        <f t="shared" si="15"/>
        <v>64.8</v>
      </c>
      <c r="K69" s="55">
        <f t="shared" si="15"/>
        <v>64.8</v>
      </c>
    </row>
    <row r="70" spans="3:11" ht="15" customHeight="1" x14ac:dyDescent="0.25">
      <c r="D70" s="53"/>
      <c r="E70" s="53"/>
      <c r="F70" s="53"/>
      <c r="G70" s="52"/>
      <c r="H70" s="52"/>
      <c r="I70" s="52"/>
      <c r="J70" s="52"/>
      <c r="K70" s="52"/>
    </row>
    <row r="71" spans="3:11" ht="15" customHeight="1" x14ac:dyDescent="0.25">
      <c r="C71" s="25" t="s">
        <v>53</v>
      </c>
      <c r="D71" s="58">
        <f t="shared" ref="D71:K71" si="16">D64+D69</f>
        <v>2047.9</v>
      </c>
      <c r="E71" s="58">
        <f t="shared" si="16"/>
        <v>2068.6</v>
      </c>
      <c r="F71" s="58">
        <f t="shared" si="16"/>
        <v>2094.8000000000002</v>
      </c>
      <c r="G71" s="58">
        <f t="shared" si="16"/>
        <v>2226.0476885105222</v>
      </c>
      <c r="H71" s="58">
        <f t="shared" si="16"/>
        <v>2334.1100729360483</v>
      </c>
      <c r="I71" s="58">
        <f t="shared" si="16"/>
        <v>2424.8824758534902</v>
      </c>
      <c r="J71" s="58">
        <f t="shared" si="16"/>
        <v>2495.6849501290949</v>
      </c>
      <c r="K71" s="58">
        <f t="shared" si="16"/>
        <v>2544.3026491316768</v>
      </c>
    </row>
    <row r="72" spans="3:11" ht="15" customHeight="1" x14ac:dyDescent="0.25">
      <c r="D72" s="56"/>
      <c r="E72" s="53"/>
      <c r="F72" s="53"/>
      <c r="G72" s="53"/>
      <c r="H72" s="53"/>
      <c r="I72" s="53"/>
      <c r="J72" s="53"/>
      <c r="K72" s="53"/>
    </row>
    <row r="73" spans="3:11" ht="15" customHeight="1" x14ac:dyDescent="0.25">
      <c r="C73" s="25" t="s">
        <v>54</v>
      </c>
      <c r="D73" s="56"/>
      <c r="E73" s="53"/>
      <c r="F73" s="53"/>
      <c r="G73" s="53"/>
      <c r="H73" s="53"/>
      <c r="I73" s="53"/>
      <c r="J73" s="53"/>
      <c r="K73" s="53"/>
    </row>
    <row r="74" spans="3:11" ht="15" customHeight="1" x14ac:dyDescent="0.25">
      <c r="C74" s="38" t="s">
        <v>55</v>
      </c>
      <c r="D74" s="52">
        <v>35</v>
      </c>
      <c r="E74" s="52">
        <v>35</v>
      </c>
      <c r="F74" s="52">
        <v>35</v>
      </c>
      <c r="G74" s="53">
        <f>F74</f>
        <v>35</v>
      </c>
      <c r="H74" s="53">
        <f>G74</f>
        <v>35</v>
      </c>
      <c r="I74" s="53">
        <f>H74</f>
        <v>35</v>
      </c>
      <c r="J74" s="53">
        <f>I74</f>
        <v>35</v>
      </c>
      <c r="K74" s="53">
        <f>J74</f>
        <v>35</v>
      </c>
    </row>
    <row r="75" spans="3:11" ht="15" customHeight="1" x14ac:dyDescent="0.25">
      <c r="C75" s="38" t="s">
        <v>56</v>
      </c>
      <c r="D75" s="52">
        <v>666</v>
      </c>
      <c r="E75" s="52">
        <v>677</v>
      </c>
      <c r="F75" s="52">
        <v>672.3</v>
      </c>
      <c r="G75" s="53">
        <f>G171</f>
        <v>676.9606692019297</v>
      </c>
      <c r="H75" s="53">
        <f>H171</f>
        <v>684.76062186395609</v>
      </c>
      <c r="I75" s="53">
        <f>I171</f>
        <v>695.19757263246322</v>
      </c>
      <c r="J75" s="53">
        <f>J171</f>
        <v>707.69138192402602</v>
      </c>
      <c r="K75" s="53">
        <f>K171</f>
        <v>721.59756740141984</v>
      </c>
    </row>
    <row r="76" spans="3:11" ht="15" customHeight="1" x14ac:dyDescent="0.25">
      <c r="C76" s="61" t="s">
        <v>57</v>
      </c>
      <c r="D76" s="55">
        <f t="shared" ref="D76:K76" si="17">SUM(D74:D75)</f>
        <v>701</v>
      </c>
      <c r="E76" s="55">
        <f t="shared" si="17"/>
        <v>712</v>
      </c>
      <c r="F76" s="55">
        <f t="shared" si="17"/>
        <v>707.3</v>
      </c>
      <c r="G76" s="55">
        <f t="shared" si="17"/>
        <v>711.9606692019297</v>
      </c>
      <c r="H76" s="55">
        <f t="shared" si="17"/>
        <v>719.76062186395609</v>
      </c>
      <c r="I76" s="55">
        <f t="shared" si="17"/>
        <v>730.19757263246322</v>
      </c>
      <c r="J76" s="55">
        <f t="shared" si="17"/>
        <v>742.69138192402602</v>
      </c>
      <c r="K76" s="55">
        <f t="shared" si="17"/>
        <v>756.59756740141984</v>
      </c>
    </row>
    <row r="77" spans="3:11" ht="15" customHeight="1" x14ac:dyDescent="0.25">
      <c r="D77" s="56"/>
      <c r="E77" s="53"/>
      <c r="F77" s="53"/>
      <c r="G77" s="53"/>
      <c r="H77" s="53"/>
      <c r="I77" s="53"/>
      <c r="J77" s="53"/>
      <c r="K77" s="53"/>
    </row>
    <row r="78" spans="3:11" ht="15" customHeight="1" x14ac:dyDescent="0.25">
      <c r="C78" s="25" t="s">
        <v>58</v>
      </c>
      <c r="D78" s="58">
        <f t="shared" ref="D78:K78" si="18">D71+D76</f>
        <v>2748.9</v>
      </c>
      <c r="E78" s="58">
        <f t="shared" si="18"/>
        <v>2780.6</v>
      </c>
      <c r="F78" s="58">
        <f t="shared" si="18"/>
        <v>2802.1000000000004</v>
      </c>
      <c r="G78" s="58">
        <f t="shared" si="18"/>
        <v>2938.0083577124519</v>
      </c>
      <c r="H78" s="58">
        <f t="shared" si="18"/>
        <v>3053.8706948000045</v>
      </c>
      <c r="I78" s="58">
        <f t="shared" si="18"/>
        <v>3155.0800484859533</v>
      </c>
      <c r="J78" s="58">
        <f t="shared" si="18"/>
        <v>3238.3763320531207</v>
      </c>
      <c r="K78" s="58">
        <f t="shared" si="18"/>
        <v>3300.9002165330967</v>
      </c>
    </row>
    <row r="79" spans="3:11" ht="15" customHeight="1" x14ac:dyDescent="0.25">
      <c r="D79" s="56"/>
      <c r="E79" s="53"/>
      <c r="F79" s="53"/>
      <c r="G79" s="53"/>
      <c r="H79" s="53"/>
      <c r="I79" s="53"/>
      <c r="J79" s="53"/>
      <c r="K79" s="53"/>
    </row>
    <row r="80" spans="3:11" ht="15" customHeight="1" x14ac:dyDescent="0.25">
      <c r="C80" t="s">
        <v>59</v>
      </c>
      <c r="D80" s="56">
        <f t="shared" ref="D80:K80" si="19">D58-D78</f>
        <v>0</v>
      </c>
      <c r="E80" s="56">
        <f t="shared" si="19"/>
        <v>0</v>
      </c>
      <c r="F80" s="56">
        <f t="shared" si="19"/>
        <v>0</v>
      </c>
      <c r="G80" s="56">
        <f t="shared" si="19"/>
        <v>0</v>
      </c>
      <c r="H80" s="56">
        <f t="shared" si="19"/>
        <v>0</v>
      </c>
      <c r="I80" s="56">
        <f t="shared" si="19"/>
        <v>0</v>
      </c>
      <c r="J80" s="56">
        <f t="shared" si="19"/>
        <v>0</v>
      </c>
      <c r="K80" s="56">
        <f t="shared" si="19"/>
        <v>0</v>
      </c>
    </row>
    <row r="81" spans="3:11" ht="15" customHeight="1" x14ac:dyDescent="0.25"/>
    <row r="82" spans="3:11" ht="15" customHeight="1" x14ac:dyDescent="0.25">
      <c r="C82" s="16" t="s">
        <v>60</v>
      </c>
      <c r="D82" s="48"/>
      <c r="E82" s="49"/>
      <c r="F82" s="49"/>
      <c r="G82" s="49"/>
      <c r="H82" s="49"/>
      <c r="I82" s="49"/>
      <c r="J82" s="49"/>
      <c r="K82" s="49"/>
    </row>
    <row r="83" spans="3:11" ht="15" customHeight="1" x14ac:dyDescent="0.25">
      <c r="C83" t="s">
        <v>9</v>
      </c>
      <c r="D83" s="18"/>
      <c r="E83" s="18"/>
      <c r="F83" s="19"/>
      <c r="G83" s="19">
        <f>G$13</f>
        <v>2026</v>
      </c>
      <c r="H83" s="19">
        <f>H$13</f>
        <v>2027</v>
      </c>
      <c r="I83" s="19">
        <f>I$13</f>
        <v>2028</v>
      </c>
      <c r="J83" s="19">
        <f>J$13</f>
        <v>2029</v>
      </c>
      <c r="K83" s="19">
        <f>K$13</f>
        <v>2030</v>
      </c>
    </row>
    <row r="84" spans="3:11" ht="15" customHeight="1" x14ac:dyDescent="0.25">
      <c r="C84" s="20" t="s">
        <v>10</v>
      </c>
      <c r="D84" s="48"/>
      <c r="E84" s="49"/>
      <c r="F84" s="22"/>
      <c r="G84" s="22">
        <f>G$14</f>
        <v>46112</v>
      </c>
      <c r="H84" s="22">
        <f>H$14</f>
        <v>46477</v>
      </c>
      <c r="I84" s="22">
        <f>I$14</f>
        <v>46843</v>
      </c>
      <c r="J84" s="22">
        <f>J$14</f>
        <v>47208</v>
      </c>
      <c r="K84" s="22">
        <f>K$14</f>
        <v>47573</v>
      </c>
    </row>
    <row r="85" spans="3:11" ht="15" customHeight="1" x14ac:dyDescent="0.25"/>
    <row r="86" spans="3:11" s="25" customFormat="1" ht="15" customHeight="1" x14ac:dyDescent="0.25">
      <c r="C86" s="38" t="s">
        <v>61</v>
      </c>
      <c r="D86" s="62"/>
      <c r="E86" s="62"/>
      <c r="F86" s="63"/>
      <c r="G86" s="56">
        <f>G30</f>
        <v>4.6606692019297675</v>
      </c>
      <c r="H86" s="56">
        <f>H30</f>
        <v>7.7999526620263886</v>
      </c>
      <c r="I86" s="56">
        <f>I30</f>
        <v>10.436950768507142</v>
      </c>
      <c r="J86" s="56">
        <f>J30</f>
        <v>12.493809291562741</v>
      </c>
      <c r="K86" s="56">
        <f>K30</f>
        <v>13.90618547739378</v>
      </c>
    </row>
    <row r="87" spans="3:11" ht="15" customHeight="1" x14ac:dyDescent="0.25">
      <c r="C87" s="38" t="s">
        <v>62</v>
      </c>
      <c r="D87" s="63"/>
      <c r="E87" s="64"/>
      <c r="F87" s="64"/>
      <c r="G87" s="65">
        <f>G117</f>
        <v>44.202000000000005</v>
      </c>
      <c r="H87" s="65">
        <f>H117</f>
        <v>46.412100000000002</v>
      </c>
      <c r="I87" s="65">
        <f>I117</f>
        <v>48.268584000000004</v>
      </c>
      <c r="J87" s="65">
        <f>J117</f>
        <v>49.716641520000003</v>
      </c>
      <c r="K87" s="65">
        <f>K117</f>
        <v>50.710974350400001</v>
      </c>
    </row>
    <row r="88" spans="3:11" ht="15" customHeight="1" x14ac:dyDescent="0.25">
      <c r="C88" s="38" t="s">
        <v>63</v>
      </c>
      <c r="D88" s="63"/>
      <c r="E88" s="64"/>
      <c r="F88" s="64"/>
      <c r="G88" s="65">
        <f>G125</f>
        <v>4.1404647571858817</v>
      </c>
      <c r="H88" s="65">
        <f>H125</f>
        <v>4.3474879950451752</v>
      </c>
      <c r="I88" s="65">
        <f>I125</f>
        <v>4.5213875148469826</v>
      </c>
      <c r="J88" s="65">
        <f>J125</f>
        <v>4.6570291402923916</v>
      </c>
      <c r="K88" s="65">
        <f>K125</f>
        <v>4.7501697230982396</v>
      </c>
    </row>
    <row r="89" spans="3:11" s="25" customFormat="1" ht="15" customHeight="1" x14ac:dyDescent="0.25">
      <c r="C89" s="25" t="s">
        <v>64</v>
      </c>
      <c r="D89" s="62"/>
      <c r="E89" s="62"/>
      <c r="F89" s="62"/>
      <c r="G89" s="66">
        <f>SUM(G86:G88)</f>
        <v>53.003133959115658</v>
      </c>
      <c r="H89" s="66">
        <f>SUM(H86:H88)</f>
        <v>58.559540657071572</v>
      </c>
      <c r="I89" s="66">
        <f>SUM(I86:I88)</f>
        <v>63.226922283354135</v>
      </c>
      <c r="J89" s="66">
        <f>SUM(J86:J88)</f>
        <v>66.867479951855131</v>
      </c>
      <c r="K89" s="66">
        <f>SUM(K86:K88)</f>
        <v>69.367329550892023</v>
      </c>
    </row>
    <row r="90" spans="3:11" s="25" customFormat="1" ht="15" customHeight="1" x14ac:dyDescent="0.25">
      <c r="D90" s="62"/>
      <c r="E90" s="67"/>
      <c r="F90" s="67"/>
      <c r="G90" s="58"/>
      <c r="H90" s="58"/>
      <c r="I90" s="58"/>
      <c r="J90" s="58"/>
      <c r="K90" s="58"/>
    </row>
    <row r="91" spans="3:11" ht="15" customHeight="1" x14ac:dyDescent="0.25">
      <c r="C91" s="30" t="s">
        <v>65</v>
      </c>
      <c r="D91" s="64"/>
      <c r="E91" s="64"/>
      <c r="F91" s="64"/>
      <c r="G91" s="65"/>
      <c r="H91" s="65"/>
      <c r="I91" s="65"/>
      <c r="J91" s="65"/>
      <c r="K91" s="65"/>
    </row>
    <row r="92" spans="3:11" ht="15" customHeight="1" x14ac:dyDescent="0.25">
      <c r="C92" s="38" t="s">
        <v>66</v>
      </c>
      <c r="D92" s="64"/>
      <c r="E92" s="64"/>
      <c r="F92" s="64"/>
      <c r="G92" s="65">
        <f>G144</f>
        <v>-19.344738388363567</v>
      </c>
      <c r="H92" s="65">
        <f>H144</f>
        <v>-24.007236919418119</v>
      </c>
      <c r="I92" s="65">
        <f>I144</f>
        <v>-20.166079012311457</v>
      </c>
      <c r="J92" s="65">
        <f>J144</f>
        <v>-15.729541629602409</v>
      </c>
      <c r="K92" s="65">
        <f>K144</f>
        <v>-10.800951918994087</v>
      </c>
    </row>
    <row r="93" spans="3:11" s="25" customFormat="1" ht="15" customHeight="1" x14ac:dyDescent="0.25">
      <c r="C93" s="25" t="s">
        <v>67</v>
      </c>
      <c r="D93" s="67"/>
      <c r="E93" s="67"/>
      <c r="F93" s="67"/>
      <c r="G93" s="68">
        <f>SUM(G92)</f>
        <v>-19.344738388363567</v>
      </c>
      <c r="H93" s="68">
        <f>SUM(H92)</f>
        <v>-24.007236919418119</v>
      </c>
      <c r="I93" s="68">
        <f>SUM(I92)</f>
        <v>-20.166079012311457</v>
      </c>
      <c r="J93" s="68">
        <f>SUM(J92)</f>
        <v>-15.729541629602409</v>
      </c>
      <c r="K93" s="68">
        <f>SUM(K92)</f>
        <v>-10.800951918994087</v>
      </c>
    </row>
    <row r="94" spans="3:11" s="25" customFormat="1" ht="15" customHeight="1" x14ac:dyDescent="0.25">
      <c r="C94" s="25" t="s">
        <v>68</v>
      </c>
      <c r="D94" s="62"/>
      <c r="E94" s="62"/>
      <c r="F94" s="62"/>
      <c r="G94" s="66">
        <f>G89+G93</f>
        <v>33.658395570752091</v>
      </c>
      <c r="H94" s="66">
        <f>H89+H93</f>
        <v>34.552303737653453</v>
      </c>
      <c r="I94" s="66">
        <f>I89+I93</f>
        <v>43.060843271042678</v>
      </c>
      <c r="J94" s="66">
        <f>J89+J93</f>
        <v>51.137938322252722</v>
      </c>
      <c r="K94" s="66">
        <f>K89+K93</f>
        <v>58.566377631897936</v>
      </c>
    </row>
    <row r="95" spans="3:11" ht="15" customHeight="1" x14ac:dyDescent="0.25">
      <c r="D95" s="63"/>
      <c r="E95" s="69"/>
      <c r="F95" s="69"/>
      <c r="G95" s="53"/>
      <c r="H95" s="53"/>
      <c r="I95" s="53"/>
      <c r="J95" s="53"/>
      <c r="K95" s="53"/>
    </row>
    <row r="96" spans="3:11" ht="15" customHeight="1" x14ac:dyDescent="0.25">
      <c r="C96" s="25" t="s">
        <v>69</v>
      </c>
      <c r="D96" s="69"/>
      <c r="E96" s="70"/>
      <c r="F96" s="70"/>
      <c r="G96" s="71"/>
      <c r="H96" s="71"/>
      <c r="I96" s="71"/>
      <c r="J96" s="71"/>
      <c r="K96" s="71"/>
    </row>
    <row r="97" spans="3:11" ht="15" customHeight="1" x14ac:dyDescent="0.25">
      <c r="C97" s="38" t="s">
        <v>70</v>
      </c>
      <c r="D97" s="63"/>
      <c r="E97" s="64"/>
      <c r="F97" s="64"/>
      <c r="G97" s="65">
        <f>-G116</f>
        <v>-40.40161303774876</v>
      </c>
      <c r="H97" s="65">
        <f>-H116</f>
        <v>-42.4216936896362</v>
      </c>
      <c r="I97" s="65">
        <f>-I116</f>
        <v>-44.118561437221651</v>
      </c>
      <c r="J97" s="65">
        <f>-J116</f>
        <v>-45.442118280338299</v>
      </c>
      <c r="K97" s="65">
        <f>-K116</f>
        <v>-46.350960645945058</v>
      </c>
    </row>
    <row r="98" spans="3:11" ht="15" customHeight="1" x14ac:dyDescent="0.25">
      <c r="C98" s="38" t="s">
        <v>71</v>
      </c>
      <c r="D98" s="63"/>
      <c r="E98" s="64"/>
      <c r="F98" s="64"/>
      <c r="G98" s="65">
        <f>-G178</f>
        <v>-4.0213688059316732</v>
      </c>
      <c r="H98" s="65">
        <f>-H178</f>
        <v>-4.2224372462282576</v>
      </c>
      <c r="I98" s="65">
        <f>-I178</f>
        <v>-4.3913347360773871</v>
      </c>
      <c r="J98" s="65">
        <f>-J178</f>
        <v>-4.5230747781597085</v>
      </c>
      <c r="K98" s="65">
        <f>-K178</f>
        <v>-4.6135362737229029</v>
      </c>
    </row>
    <row r="99" spans="3:11" ht="15" customHeight="1" x14ac:dyDescent="0.25">
      <c r="C99" s="25" t="s">
        <v>72</v>
      </c>
      <c r="D99" s="63"/>
      <c r="E99" s="67"/>
      <c r="F99" s="67"/>
      <c r="G99" s="68">
        <f>SUM(G97:G98)</f>
        <v>-44.422981843680432</v>
      </c>
      <c r="H99" s="68">
        <f>SUM(H97:H98)</f>
        <v>-46.64413093586446</v>
      </c>
      <c r="I99" s="68">
        <f>SUM(I97:I98)</f>
        <v>-48.50989617329904</v>
      </c>
      <c r="J99" s="68">
        <f>SUM(J97:J98)</f>
        <v>-49.965193058498009</v>
      </c>
      <c r="K99" s="68">
        <f>SUM(K97:K98)</f>
        <v>-50.964496919667958</v>
      </c>
    </row>
    <row r="100" spans="3:11" ht="15" customHeight="1" x14ac:dyDescent="0.25">
      <c r="D100" s="63"/>
      <c r="E100" s="64"/>
      <c r="F100" s="64"/>
      <c r="G100" s="53"/>
      <c r="H100" s="53"/>
      <c r="I100" s="53"/>
      <c r="J100" s="53"/>
      <c r="K100" s="53"/>
    </row>
    <row r="101" spans="3:11" s="50" customFormat="1" ht="15" customHeight="1" x14ac:dyDescent="0.25">
      <c r="C101" s="51" t="s">
        <v>73</v>
      </c>
      <c r="D101" s="72"/>
      <c r="E101" s="73"/>
      <c r="F101" s="73"/>
      <c r="G101" s="60"/>
      <c r="H101" s="60"/>
      <c r="I101" s="60"/>
      <c r="J101" s="60"/>
      <c r="K101" s="60"/>
    </row>
    <row r="102" spans="3:11" ht="15" customHeight="1" x14ac:dyDescent="0.25">
      <c r="C102" s="38" t="s">
        <v>74</v>
      </c>
      <c r="D102" s="63"/>
      <c r="E102" s="64"/>
      <c r="F102" s="64"/>
      <c r="G102" s="65">
        <v>0</v>
      </c>
      <c r="H102" s="65">
        <v>0</v>
      </c>
      <c r="I102" s="65">
        <v>0</v>
      </c>
      <c r="J102" s="65">
        <v>0</v>
      </c>
      <c r="K102" s="65">
        <v>0</v>
      </c>
    </row>
    <row r="103" spans="3:11" ht="15" customHeight="1" x14ac:dyDescent="0.25">
      <c r="C103" s="25" t="s">
        <v>75</v>
      </c>
      <c r="D103" s="62"/>
      <c r="E103" s="67"/>
      <c r="F103" s="67"/>
      <c r="G103" s="68">
        <f>SUM(G102)</f>
        <v>0</v>
      </c>
      <c r="H103" s="68">
        <f>SUM(H102)</f>
        <v>0</v>
      </c>
      <c r="I103" s="68">
        <f>SUM(I102)</f>
        <v>0</v>
      </c>
      <c r="J103" s="68">
        <f>SUM(J102)</f>
        <v>0</v>
      </c>
      <c r="K103" s="68">
        <f>SUM(K102)</f>
        <v>0</v>
      </c>
    </row>
    <row r="104" spans="3:11" ht="15" customHeight="1" x14ac:dyDescent="0.25">
      <c r="C104" s="25"/>
      <c r="D104" s="62"/>
      <c r="E104" s="67"/>
      <c r="F104" s="67"/>
      <c r="G104" s="68"/>
      <c r="H104" s="68"/>
      <c r="I104" s="68"/>
      <c r="J104" s="68"/>
      <c r="K104" s="68"/>
    </row>
    <row r="105" spans="3:11" ht="15" customHeight="1" x14ac:dyDescent="0.25">
      <c r="C105" s="25" t="s">
        <v>76</v>
      </c>
      <c r="D105" s="62"/>
      <c r="E105" s="67"/>
      <c r="F105" s="67"/>
      <c r="G105" s="68">
        <f>G94+G99+G103</f>
        <v>-10.764586272928341</v>
      </c>
      <c r="H105" s="68">
        <f>H94+H99+H103</f>
        <v>-12.091827198211007</v>
      </c>
      <c r="I105" s="68">
        <f>I94+I99+I103</f>
        <v>-5.4490529022563621</v>
      </c>
      <c r="J105" s="68">
        <f>J94+J99+J103</f>
        <v>1.1727452637547131</v>
      </c>
      <c r="K105" s="68">
        <f>K94+K99+K103</f>
        <v>7.6018807122299776</v>
      </c>
    </row>
    <row r="106" spans="3:11" ht="15" customHeight="1" x14ac:dyDescent="0.25">
      <c r="C106" t="s">
        <v>77</v>
      </c>
      <c r="D106" s="62"/>
      <c r="E106" s="67"/>
      <c r="F106" s="67"/>
      <c r="G106" s="68">
        <f>F49</f>
        <v>123.8</v>
      </c>
      <c r="H106" s="68">
        <f>G49</f>
        <v>113.03541372707166</v>
      </c>
      <c r="I106" s="68">
        <f>H49</f>
        <v>100.94358652886065</v>
      </c>
      <c r="J106" s="68">
        <f>I49</f>
        <v>95.494533626604294</v>
      </c>
      <c r="K106" s="68">
        <f>J49</f>
        <v>96.667278890359</v>
      </c>
    </row>
    <row r="107" spans="3:11" ht="15" customHeight="1" x14ac:dyDescent="0.25">
      <c r="C107" s="25" t="s">
        <v>78</v>
      </c>
      <c r="D107" s="63"/>
      <c r="E107" s="67"/>
      <c r="F107" s="67"/>
      <c r="G107" s="68">
        <f>SUM(G105:G106)</f>
        <v>113.03541372707166</v>
      </c>
      <c r="H107" s="68">
        <f>SUM(H105:H106)</f>
        <v>100.94358652886065</v>
      </c>
      <c r="I107" s="68">
        <f>SUM(I105:I106)</f>
        <v>95.494533626604294</v>
      </c>
      <c r="J107" s="68">
        <f>SUM(J105:J106)</f>
        <v>96.667278890359</v>
      </c>
      <c r="K107" s="68">
        <f>SUM(K105:K106)</f>
        <v>104.26915960258899</v>
      </c>
    </row>
    <row r="108" spans="3:11" ht="15" customHeight="1" x14ac:dyDescent="0.25">
      <c r="C108" s="25"/>
      <c r="D108" s="63"/>
      <c r="E108" s="74"/>
      <c r="F108" s="67"/>
      <c r="G108" s="58"/>
      <c r="H108" s="58"/>
      <c r="I108" s="58"/>
      <c r="J108" s="58"/>
      <c r="K108" s="58"/>
    </row>
    <row r="109" spans="3:11" ht="15" customHeight="1" x14ac:dyDescent="0.25">
      <c r="C109" s="25" t="s">
        <v>79</v>
      </c>
      <c r="D109" s="75"/>
      <c r="E109" s="75"/>
      <c r="F109" s="64"/>
      <c r="G109" s="65"/>
      <c r="H109" s="65"/>
      <c r="I109" s="65"/>
      <c r="J109" s="65"/>
      <c r="K109" s="65"/>
    </row>
    <row r="110" spans="3:11" ht="15" customHeight="1" x14ac:dyDescent="0.25"/>
    <row r="111" spans="3:11" ht="15" customHeight="1" x14ac:dyDescent="0.25">
      <c r="C111" s="16" t="s">
        <v>80</v>
      </c>
      <c r="D111" s="17"/>
      <c r="E111" s="17"/>
      <c r="F111" s="17"/>
      <c r="G111" s="17"/>
      <c r="H111" s="17"/>
      <c r="I111" s="17"/>
      <c r="J111" s="17"/>
      <c r="K111" s="17"/>
    </row>
    <row r="112" spans="3:11" ht="15" customHeight="1" x14ac:dyDescent="0.25">
      <c r="C112" t="s">
        <v>9</v>
      </c>
      <c r="D112" s="18">
        <f t="shared" ref="D112:K112" si="20">D$13</f>
        <v>2023</v>
      </c>
      <c r="E112" s="18">
        <f t="shared" si="20"/>
        <v>2024</v>
      </c>
      <c r="F112" s="18">
        <f t="shared" si="20"/>
        <v>2025</v>
      </c>
      <c r="G112" s="19">
        <f t="shared" si="20"/>
        <v>2026</v>
      </c>
      <c r="H112" s="19">
        <f t="shared" si="20"/>
        <v>2027</v>
      </c>
      <c r="I112" s="19">
        <f t="shared" si="20"/>
        <v>2028</v>
      </c>
      <c r="J112" s="19">
        <f t="shared" si="20"/>
        <v>2029</v>
      </c>
      <c r="K112" s="19">
        <f t="shared" si="20"/>
        <v>2030</v>
      </c>
    </row>
    <row r="113" spans="1:11" ht="15" customHeight="1" x14ac:dyDescent="0.25">
      <c r="C113" s="20" t="s">
        <v>10</v>
      </c>
      <c r="D113" s="21">
        <f t="shared" ref="D113:K113" si="21">D$14</f>
        <v>45016</v>
      </c>
      <c r="E113" s="22">
        <f t="shared" si="21"/>
        <v>45382</v>
      </c>
      <c r="F113" s="22">
        <f t="shared" si="21"/>
        <v>45744</v>
      </c>
      <c r="G113" s="22">
        <f t="shared" si="21"/>
        <v>46112</v>
      </c>
      <c r="H113" s="22">
        <f t="shared" si="21"/>
        <v>46477</v>
      </c>
      <c r="I113" s="22">
        <f t="shared" si="21"/>
        <v>46843</v>
      </c>
      <c r="J113" s="22">
        <f t="shared" si="21"/>
        <v>47208</v>
      </c>
      <c r="K113" s="22">
        <f t="shared" si="21"/>
        <v>47573</v>
      </c>
    </row>
    <row r="114" spans="1:11" ht="15" customHeight="1" x14ac:dyDescent="0.25"/>
    <row r="115" spans="1:11" ht="15" customHeight="1" x14ac:dyDescent="0.25">
      <c r="C115" s="38" t="s">
        <v>81</v>
      </c>
      <c r="D115" s="56"/>
      <c r="E115" s="53">
        <f t="shared" ref="E115:K115" si="22">D118</f>
        <v>161.6</v>
      </c>
      <c r="F115" s="53">
        <f t="shared" si="22"/>
        <v>167.4</v>
      </c>
      <c r="G115" s="53">
        <f t="shared" si="22"/>
        <v>159.30000000000001</v>
      </c>
      <c r="H115" s="53">
        <f t="shared" si="22"/>
        <v>155.49961303774876</v>
      </c>
      <c r="I115" s="53">
        <f t="shared" si="22"/>
        <v>151.50920672738494</v>
      </c>
      <c r="J115" s="53">
        <f t="shared" si="22"/>
        <v>147.35918416460657</v>
      </c>
      <c r="K115" s="53">
        <f t="shared" si="22"/>
        <v>143.08466092494487</v>
      </c>
    </row>
    <row r="116" spans="1:11" ht="15" customHeight="1" x14ac:dyDescent="0.25">
      <c r="C116" s="76" t="s">
        <v>82</v>
      </c>
      <c r="D116" s="52">
        <v>28</v>
      </c>
      <c r="E116" s="52">
        <v>49.9</v>
      </c>
      <c r="F116" s="52">
        <v>34.5</v>
      </c>
      <c r="G116" s="53">
        <f t="shared" ref="G116:K117" si="23">G120*G$16</f>
        <v>40.40161303774876</v>
      </c>
      <c r="H116" s="53">
        <f t="shared" si="23"/>
        <v>42.4216936896362</v>
      </c>
      <c r="I116" s="53">
        <f t="shared" si="23"/>
        <v>44.118561437221651</v>
      </c>
      <c r="J116" s="53">
        <f t="shared" si="23"/>
        <v>45.442118280338299</v>
      </c>
      <c r="K116" s="53">
        <f t="shared" si="23"/>
        <v>46.350960645945058</v>
      </c>
    </row>
    <row r="117" spans="1:11" ht="15" customHeight="1" x14ac:dyDescent="0.25">
      <c r="C117" s="76" t="s">
        <v>83</v>
      </c>
      <c r="D117" s="52">
        <v>46.3</v>
      </c>
      <c r="E117" s="52">
        <v>43.4</v>
      </c>
      <c r="F117" s="52">
        <v>41.7</v>
      </c>
      <c r="G117" s="53">
        <f t="shared" si="23"/>
        <v>44.202000000000005</v>
      </c>
      <c r="H117" s="53">
        <f t="shared" si="23"/>
        <v>46.412100000000002</v>
      </c>
      <c r="I117" s="53">
        <f t="shared" si="23"/>
        <v>48.268584000000004</v>
      </c>
      <c r="J117" s="53">
        <f t="shared" si="23"/>
        <v>49.716641520000003</v>
      </c>
      <c r="K117" s="53">
        <f t="shared" si="23"/>
        <v>50.710974350400001</v>
      </c>
    </row>
    <row r="118" spans="1:11" ht="15" customHeight="1" x14ac:dyDescent="0.25">
      <c r="C118" s="54" t="s">
        <v>84</v>
      </c>
      <c r="D118" s="77">
        <f>D54</f>
        <v>161.6</v>
      </c>
      <c r="E118" s="77">
        <f>E54</f>
        <v>167.4</v>
      </c>
      <c r="F118" s="77">
        <f>F54</f>
        <v>159.30000000000001</v>
      </c>
      <c r="G118" s="77">
        <f>G115+G116-G117</f>
        <v>155.49961303774876</v>
      </c>
      <c r="H118" s="77">
        <f>H115+H116-H117</f>
        <v>151.50920672738494</v>
      </c>
      <c r="I118" s="77">
        <f>I115+I116-I117</f>
        <v>147.35918416460657</v>
      </c>
      <c r="J118" s="77">
        <f>J115+J116-J117</f>
        <v>143.08466092494487</v>
      </c>
      <c r="K118" s="77">
        <f>K115+K116-K117</f>
        <v>138.72464722048994</v>
      </c>
    </row>
    <row r="119" spans="1:11" ht="15" customHeight="1" x14ac:dyDescent="0.25">
      <c r="C119" s="25"/>
      <c r="D119" s="75"/>
      <c r="E119" s="67"/>
      <c r="F119" s="74"/>
      <c r="G119" s="74"/>
      <c r="H119" s="74"/>
      <c r="I119" s="74"/>
      <c r="J119" s="74"/>
    </row>
    <row r="120" spans="1:11" ht="15" customHeight="1" x14ac:dyDescent="0.25">
      <c r="C120" t="s">
        <v>85</v>
      </c>
      <c r="D120" s="44">
        <f t="shared" ref="D120:F121" si="24">D116/D$16</f>
        <v>7.2446893839426636E-3</v>
      </c>
      <c r="E120" s="44">
        <f t="shared" si="24"/>
        <v>1.214673450013388E-2</v>
      </c>
      <c r="F120" s="44">
        <f t="shared" si="24"/>
        <v>8.378870673952642E-3</v>
      </c>
      <c r="G120" s="45">
        <f>AVERAGE(D120:F120)</f>
        <v>9.2567648526763954E-3</v>
      </c>
      <c r="H120" s="45">
        <f t="shared" ref="H120:K121" si="25">G120</f>
        <v>9.2567648526763954E-3</v>
      </c>
      <c r="I120" s="45">
        <f t="shared" si="25"/>
        <v>9.2567648526763954E-3</v>
      </c>
      <c r="J120" s="45">
        <f t="shared" si="25"/>
        <v>9.2567648526763954E-3</v>
      </c>
      <c r="K120" s="45">
        <f t="shared" si="25"/>
        <v>9.2567648526763954E-3</v>
      </c>
    </row>
    <row r="121" spans="1:11" ht="15" customHeight="1" x14ac:dyDescent="0.25">
      <c r="C121" t="s">
        <v>86</v>
      </c>
      <c r="D121" s="44">
        <f t="shared" si="24"/>
        <v>1.1979611374162332E-2</v>
      </c>
      <c r="E121" s="44">
        <f t="shared" si="24"/>
        <v>1.0564494535186581E-2</v>
      </c>
      <c r="F121" s="44">
        <f t="shared" si="24"/>
        <v>1.0127504553734063E-2</v>
      </c>
      <c r="G121" s="45">
        <f>F121</f>
        <v>1.0127504553734063E-2</v>
      </c>
      <c r="H121" s="45">
        <f t="shared" si="25"/>
        <v>1.0127504553734063E-2</v>
      </c>
      <c r="I121" s="45">
        <f t="shared" si="25"/>
        <v>1.0127504553734063E-2</v>
      </c>
      <c r="J121" s="45">
        <f t="shared" si="25"/>
        <v>1.0127504553734063E-2</v>
      </c>
      <c r="K121" s="45">
        <f t="shared" si="25"/>
        <v>1.0127504553734063E-2</v>
      </c>
    </row>
    <row r="122" spans="1:11" ht="15" customHeight="1" x14ac:dyDescent="0.25">
      <c r="E122" s="44"/>
      <c r="F122" s="44"/>
      <c r="G122" s="44"/>
      <c r="H122" s="44"/>
      <c r="I122" s="44"/>
      <c r="J122" s="44"/>
      <c r="K122" s="44"/>
    </row>
    <row r="123" spans="1:11" s="50" customFormat="1" ht="15" customHeight="1" x14ac:dyDescent="0.25">
      <c r="C123" s="51" t="s">
        <v>87</v>
      </c>
      <c r="D123" s="78"/>
      <c r="E123" s="78"/>
      <c r="F123" s="78"/>
      <c r="G123" s="78"/>
      <c r="H123" s="78"/>
      <c r="I123" s="78"/>
      <c r="J123" s="78"/>
      <c r="K123" s="78"/>
    </row>
    <row r="124" spans="1:11" s="79" customFormat="1" ht="15" customHeight="1" x14ac:dyDescent="0.25">
      <c r="C124" s="80"/>
      <c r="D124" s="81"/>
      <c r="E124" s="82"/>
      <c r="F124" s="82"/>
      <c r="G124" s="82"/>
      <c r="H124" s="82"/>
      <c r="I124" s="82"/>
      <c r="J124" s="82"/>
      <c r="K124" s="82"/>
    </row>
    <row r="125" spans="1:11" s="79" customFormat="1" ht="15" customHeight="1" x14ac:dyDescent="0.25">
      <c r="C125" s="50" t="s">
        <v>88</v>
      </c>
      <c r="D125" s="52">
        <f t="shared" ref="D125:K125" si="26">D179</f>
        <v>3.2</v>
      </c>
      <c r="E125" s="52">
        <f t="shared" si="26"/>
        <v>4</v>
      </c>
      <c r="F125" s="52">
        <f t="shared" si="26"/>
        <v>4.3</v>
      </c>
      <c r="G125" s="52">
        <f t="shared" si="26"/>
        <v>4.1404647571858817</v>
      </c>
      <c r="H125" s="52">
        <f t="shared" si="26"/>
        <v>4.3474879950451752</v>
      </c>
      <c r="I125" s="52">
        <f t="shared" si="26"/>
        <v>4.5213875148469826</v>
      </c>
      <c r="J125" s="52">
        <f t="shared" si="26"/>
        <v>4.6570291402923916</v>
      </c>
      <c r="K125" s="52">
        <f t="shared" si="26"/>
        <v>4.7501697230982396</v>
      </c>
    </row>
    <row r="126" spans="1:11" s="79" customFormat="1" ht="15" customHeight="1" x14ac:dyDescent="0.25">
      <c r="A126" s="80"/>
      <c r="B126" s="80"/>
      <c r="C126" s="57" t="s">
        <v>89</v>
      </c>
      <c r="D126" s="83">
        <f t="shared" ref="D126:K126" si="27">D125/D$16</f>
        <v>8.2796450102201873E-4</v>
      </c>
      <c r="E126" s="83">
        <f t="shared" si="27"/>
        <v>9.7368613227526103E-4</v>
      </c>
      <c r="F126" s="83">
        <f t="shared" si="27"/>
        <v>1.0443230115361262E-3</v>
      </c>
      <c r="G126" s="83">
        <f t="shared" si="27"/>
        <v>9.4865788161113554E-4</v>
      </c>
      <c r="H126" s="83">
        <f t="shared" si="27"/>
        <v>9.4865788161113543E-4</v>
      </c>
      <c r="I126" s="83">
        <f t="shared" si="27"/>
        <v>9.4865788161113554E-4</v>
      </c>
      <c r="J126" s="83">
        <f t="shared" si="27"/>
        <v>9.4865788161113543E-4</v>
      </c>
      <c r="K126" s="83">
        <f t="shared" si="27"/>
        <v>9.4865788161113543E-4</v>
      </c>
    </row>
    <row r="127" spans="1:11" ht="15" customHeight="1" x14ac:dyDescent="0.25">
      <c r="C127" s="61" t="s">
        <v>90</v>
      </c>
      <c r="D127" s="84">
        <f t="shared" ref="D127:K127" si="28">D125+D117</f>
        <v>49.5</v>
      </c>
      <c r="E127" s="84">
        <f t="shared" si="28"/>
        <v>47.4</v>
      </c>
      <c r="F127" s="84">
        <f t="shared" si="28"/>
        <v>46</v>
      </c>
      <c r="G127" s="84">
        <f t="shared" si="28"/>
        <v>48.342464757185887</v>
      </c>
      <c r="H127" s="84">
        <f t="shared" si="28"/>
        <v>50.75958799504518</v>
      </c>
      <c r="I127" s="84">
        <f t="shared" si="28"/>
        <v>52.789971514846989</v>
      </c>
      <c r="J127" s="84">
        <f t="shared" si="28"/>
        <v>54.373670660292397</v>
      </c>
      <c r="K127" s="84">
        <f t="shared" si="28"/>
        <v>55.461144073498239</v>
      </c>
    </row>
    <row r="129" spans="3:11" ht="15" customHeight="1" x14ac:dyDescent="0.25">
      <c r="C129" s="25" t="s">
        <v>91</v>
      </c>
    </row>
    <row r="130" spans="3:11" ht="15" customHeight="1" x14ac:dyDescent="0.25">
      <c r="C130" s="85" t="s">
        <v>9</v>
      </c>
      <c r="D130" s="86">
        <f t="shared" ref="D130:K130" si="29">D$13</f>
        <v>2023</v>
      </c>
      <c r="E130" s="86">
        <f t="shared" si="29"/>
        <v>2024</v>
      </c>
      <c r="F130" s="86">
        <f t="shared" si="29"/>
        <v>2025</v>
      </c>
      <c r="G130" s="87">
        <f t="shared" si="29"/>
        <v>2026</v>
      </c>
      <c r="H130" s="87">
        <f t="shared" si="29"/>
        <v>2027</v>
      </c>
      <c r="I130" s="87">
        <f t="shared" si="29"/>
        <v>2028</v>
      </c>
      <c r="J130" s="87">
        <f t="shared" si="29"/>
        <v>2029</v>
      </c>
      <c r="K130" s="87">
        <f t="shared" si="29"/>
        <v>2030</v>
      </c>
    </row>
    <row r="131" spans="3:11" ht="15" customHeight="1" x14ac:dyDescent="0.25">
      <c r="C131" s="20" t="s">
        <v>10</v>
      </c>
      <c r="D131" s="21">
        <f t="shared" ref="D131:K131" si="30">D$14</f>
        <v>45016</v>
      </c>
      <c r="E131" s="22">
        <f t="shared" si="30"/>
        <v>45382</v>
      </c>
      <c r="F131" s="22">
        <f t="shared" si="30"/>
        <v>45744</v>
      </c>
      <c r="G131" s="22">
        <f t="shared" si="30"/>
        <v>46112</v>
      </c>
      <c r="H131" s="22">
        <f t="shared" si="30"/>
        <v>46477</v>
      </c>
      <c r="I131" s="22">
        <f t="shared" si="30"/>
        <v>46843</v>
      </c>
      <c r="J131" s="22">
        <f t="shared" si="30"/>
        <v>47208</v>
      </c>
      <c r="K131" s="22">
        <f t="shared" si="30"/>
        <v>47573</v>
      </c>
    </row>
    <row r="132" spans="3:11" ht="15" customHeight="1" x14ac:dyDescent="0.25">
      <c r="D132"/>
    </row>
    <row r="133" spans="3:11" ht="15" customHeight="1" x14ac:dyDescent="0.25">
      <c r="C133" s="25" t="s">
        <v>92</v>
      </c>
      <c r="D133"/>
    </row>
    <row r="134" spans="3:11" ht="15" customHeight="1" x14ac:dyDescent="0.25">
      <c r="C134" s="38" t="s">
        <v>35</v>
      </c>
      <c r="D134" s="69">
        <f t="shared" ref="D134:F135" si="31">D47</f>
        <v>209.6</v>
      </c>
      <c r="E134" s="69">
        <f t="shared" si="31"/>
        <v>220.1</v>
      </c>
      <c r="F134" s="69">
        <f t="shared" si="31"/>
        <v>245.9</v>
      </c>
      <c r="G134" s="69">
        <f>G147/365*-G17</f>
        <v>261.7984268988854</v>
      </c>
      <c r="H134" s="69">
        <f>H147/365*-H17</f>
        <v>274.88834824382963</v>
      </c>
      <c r="I134" s="69">
        <f>I147/365*-I17</f>
        <v>285.88388217358283</v>
      </c>
      <c r="J134" s="69">
        <f>J147/365*-J17</f>
        <v>294.46039863879031</v>
      </c>
      <c r="K134" s="69">
        <f>K147/365*-K17</f>
        <v>300.34960661156612</v>
      </c>
    </row>
    <row r="135" spans="3:11" ht="15" customHeight="1" x14ac:dyDescent="0.25">
      <c r="C135" s="38" t="s">
        <v>36</v>
      </c>
      <c r="D135" s="69">
        <f t="shared" si="31"/>
        <v>2188.5</v>
      </c>
      <c r="E135" s="69">
        <f t="shared" si="31"/>
        <v>2219</v>
      </c>
      <c r="F135" s="69">
        <f t="shared" si="31"/>
        <v>2244.9</v>
      </c>
      <c r="G135" s="69">
        <f>G148/365*G16</f>
        <v>2379.5940000000005</v>
      </c>
      <c r="H135" s="69">
        <f>H148/365*H16</f>
        <v>2498.5737000000004</v>
      </c>
      <c r="I135" s="69">
        <f>I148/365*I16</f>
        <v>2598.5166480000003</v>
      </c>
      <c r="J135" s="69">
        <f>J148/365*J16</f>
        <v>2676.4721474400003</v>
      </c>
      <c r="K135" s="69">
        <f>K148/365*K16</f>
        <v>2730.0015903888002</v>
      </c>
    </row>
    <row r="136" spans="3:11" ht="15" customHeight="1" x14ac:dyDescent="0.25">
      <c r="C136" s="25" t="s">
        <v>93</v>
      </c>
      <c r="D136" s="62">
        <f t="shared" ref="D136:K136" si="32">SUM(D134:D135)</f>
        <v>2398.1</v>
      </c>
      <c r="E136" s="62">
        <f t="shared" si="32"/>
        <v>2439.1</v>
      </c>
      <c r="F136" s="62">
        <f t="shared" si="32"/>
        <v>2490.8000000000002</v>
      </c>
      <c r="G136" s="62">
        <f t="shared" si="32"/>
        <v>2641.3924268988858</v>
      </c>
      <c r="H136" s="62">
        <f t="shared" si="32"/>
        <v>2773.4620482438299</v>
      </c>
      <c r="I136" s="62">
        <f t="shared" si="32"/>
        <v>2884.4005301735833</v>
      </c>
      <c r="J136" s="62">
        <f t="shared" si="32"/>
        <v>2970.9325460787904</v>
      </c>
      <c r="K136" s="62">
        <f t="shared" si="32"/>
        <v>3030.3511970003665</v>
      </c>
    </row>
    <row r="137" spans="3:11" ht="15" customHeight="1" x14ac:dyDescent="0.25">
      <c r="C137" s="25"/>
      <c r="E137" s="5"/>
      <c r="F137" s="5"/>
      <c r="G137" s="88"/>
      <c r="H137" s="88"/>
      <c r="I137" s="88"/>
      <c r="J137" s="88"/>
      <c r="K137" s="88"/>
    </row>
    <row r="138" spans="3:11" ht="15" customHeight="1" x14ac:dyDescent="0.25">
      <c r="C138" s="25" t="s">
        <v>94</v>
      </c>
      <c r="E138" s="5"/>
      <c r="F138" s="5"/>
      <c r="G138" s="88"/>
      <c r="H138" s="88"/>
      <c r="I138" s="88"/>
      <c r="J138" s="88"/>
      <c r="K138" s="88"/>
    </row>
    <row r="139" spans="3:11" ht="15" customHeight="1" x14ac:dyDescent="0.25">
      <c r="C139" s="38" t="s">
        <v>47</v>
      </c>
      <c r="D139" s="34">
        <f>D63</f>
        <v>2000.9</v>
      </c>
      <c r="E139" s="34">
        <f>E63</f>
        <v>2014.4</v>
      </c>
      <c r="F139" s="34">
        <f>F63</f>
        <v>2030</v>
      </c>
      <c r="G139" s="69">
        <f>G149/365*-G17</f>
        <v>2161.247688510522</v>
      </c>
      <c r="H139" s="69">
        <f>H149/365*-H17</f>
        <v>2269.3100729360481</v>
      </c>
      <c r="I139" s="69">
        <f>I149/365*-I17</f>
        <v>2360.08247585349</v>
      </c>
      <c r="J139" s="69">
        <f>J149/365*-J17</f>
        <v>2430.8849501290947</v>
      </c>
      <c r="K139" s="69">
        <f>K149/365*-K17</f>
        <v>2479.5026491316767</v>
      </c>
    </row>
    <row r="140" spans="3:11" ht="15" customHeight="1" x14ac:dyDescent="0.25">
      <c r="C140" s="25" t="s">
        <v>95</v>
      </c>
      <c r="D140" s="89">
        <f t="shared" ref="D140:K140" si="33">SUM(D139)</f>
        <v>2000.9</v>
      </c>
      <c r="E140" s="89">
        <f t="shared" si="33"/>
        <v>2014.4</v>
      </c>
      <c r="F140" s="89">
        <f t="shared" si="33"/>
        <v>2030</v>
      </c>
      <c r="G140" s="89">
        <f t="shared" si="33"/>
        <v>2161.247688510522</v>
      </c>
      <c r="H140" s="89">
        <f t="shared" si="33"/>
        <v>2269.3100729360481</v>
      </c>
      <c r="I140" s="89">
        <f t="shared" si="33"/>
        <v>2360.08247585349</v>
      </c>
      <c r="J140" s="89">
        <f t="shared" si="33"/>
        <v>2430.8849501290947</v>
      </c>
      <c r="K140" s="89">
        <f t="shared" si="33"/>
        <v>2479.5026491316767</v>
      </c>
    </row>
    <row r="141" spans="3:11" ht="15" customHeight="1" x14ac:dyDescent="0.25">
      <c r="E141" s="5"/>
      <c r="F141" s="5"/>
      <c r="G141" s="88"/>
      <c r="H141" s="88"/>
      <c r="I141" s="88"/>
      <c r="J141" s="88"/>
      <c r="K141" s="88"/>
    </row>
    <row r="142" spans="3:11" ht="15" customHeight="1" x14ac:dyDescent="0.25">
      <c r="C142" t="s">
        <v>96</v>
      </c>
      <c r="D142" s="34">
        <f t="shared" ref="D142:K142" si="34">D136-D140</f>
        <v>397.19999999999982</v>
      </c>
      <c r="E142" s="34">
        <f t="shared" si="34"/>
        <v>424.69999999999982</v>
      </c>
      <c r="F142" s="34">
        <f t="shared" si="34"/>
        <v>460.80000000000018</v>
      </c>
      <c r="G142" s="34">
        <f t="shared" si="34"/>
        <v>480.14473838836375</v>
      </c>
      <c r="H142" s="34">
        <f t="shared" si="34"/>
        <v>504.15197530778187</v>
      </c>
      <c r="I142" s="34">
        <f t="shared" si="34"/>
        <v>524.31805432009332</v>
      </c>
      <c r="J142" s="34">
        <f t="shared" si="34"/>
        <v>540.04759594969573</v>
      </c>
      <c r="K142" s="34">
        <f t="shared" si="34"/>
        <v>550.84854786868982</v>
      </c>
    </row>
    <row r="143" spans="3:11" ht="15" customHeight="1" x14ac:dyDescent="0.25">
      <c r="C143" t="s">
        <v>97</v>
      </c>
      <c r="D143" s="44">
        <f t="shared" ref="D143:K143" si="35">D142/D16</f>
        <v>0.10277109368935802</v>
      </c>
      <c r="E143" s="44">
        <f t="shared" si="35"/>
        <v>0.10338112509432579</v>
      </c>
      <c r="F143" s="44">
        <f t="shared" si="35"/>
        <v>0.11191256830601097</v>
      </c>
      <c r="G143" s="44">
        <f t="shared" si="35"/>
        <v>0.11001013584180815</v>
      </c>
      <c r="H143" s="44">
        <f t="shared" si="35"/>
        <v>0.11001013584180813</v>
      </c>
      <c r="I143" s="44">
        <f t="shared" si="35"/>
        <v>0.11001013584180817</v>
      </c>
      <c r="J143" s="44">
        <f t="shared" si="35"/>
        <v>0.11001013584180809</v>
      </c>
      <c r="K143" s="44">
        <f t="shared" si="35"/>
        <v>0.11001013584180813</v>
      </c>
    </row>
    <row r="144" spans="3:11" ht="15" customHeight="1" x14ac:dyDescent="0.25">
      <c r="C144" t="s">
        <v>98</v>
      </c>
      <c r="D144" s="34"/>
      <c r="E144" s="34">
        <f t="shared" ref="E144:K144" si="36">D142-E142</f>
        <v>-27.5</v>
      </c>
      <c r="F144" s="34">
        <f t="shared" si="36"/>
        <v>-36.100000000000364</v>
      </c>
      <c r="G144" s="34">
        <f t="shared" si="36"/>
        <v>-19.344738388363567</v>
      </c>
      <c r="H144" s="34">
        <f t="shared" si="36"/>
        <v>-24.007236919418119</v>
      </c>
      <c r="I144" s="34">
        <f t="shared" si="36"/>
        <v>-20.166079012311457</v>
      </c>
      <c r="J144" s="34">
        <f t="shared" si="36"/>
        <v>-15.729541629602409</v>
      </c>
      <c r="K144" s="34">
        <f t="shared" si="36"/>
        <v>-10.800951918994087</v>
      </c>
    </row>
    <row r="145" spans="3:11" ht="15" customHeight="1" x14ac:dyDescent="0.25">
      <c r="D145" s="34"/>
      <c r="E145" s="34"/>
      <c r="F145" s="34"/>
      <c r="G145" s="34"/>
      <c r="H145" s="34"/>
      <c r="I145" s="34"/>
      <c r="J145" s="34"/>
      <c r="K145" s="34"/>
    </row>
    <row r="146" spans="3:11" ht="15" customHeight="1" x14ac:dyDescent="0.25">
      <c r="C146" s="25" t="s">
        <v>99</v>
      </c>
      <c r="E146" s="5"/>
      <c r="F146" s="5"/>
      <c r="G146" s="47"/>
      <c r="H146" s="47"/>
      <c r="I146" s="47"/>
      <c r="J146" s="47"/>
      <c r="K146" s="47"/>
    </row>
    <row r="147" spans="3:11" ht="15" customHeight="1" x14ac:dyDescent="0.25">
      <c r="C147" s="38" t="s">
        <v>100</v>
      </c>
      <c r="D147" s="90">
        <f>D134/-D17*365</f>
        <v>20.56338028169014</v>
      </c>
      <c r="E147" s="90">
        <f>E134/-E17*365</f>
        <v>20.589071990568694</v>
      </c>
      <c r="F147" s="90">
        <f>F134/-F17*365</f>
        <v>22.878791741014531</v>
      </c>
      <c r="G147" s="91">
        <f t="shared" ref="G147:K149" si="37">F147</f>
        <v>22.878791741014531</v>
      </c>
      <c r="H147" s="91">
        <f t="shared" si="37"/>
        <v>22.878791741014531</v>
      </c>
      <c r="I147" s="91">
        <f t="shared" si="37"/>
        <v>22.878791741014531</v>
      </c>
      <c r="J147" s="91">
        <f t="shared" si="37"/>
        <v>22.878791741014531</v>
      </c>
      <c r="K147" s="91">
        <f t="shared" si="37"/>
        <v>22.878791741014531</v>
      </c>
    </row>
    <row r="148" spans="3:11" ht="15" customHeight="1" x14ac:dyDescent="0.25">
      <c r="C148" s="38" t="s">
        <v>101</v>
      </c>
      <c r="D148" s="90">
        <f>D135/D16*365</f>
        <v>206.68128541488784</v>
      </c>
      <c r="E148" s="90">
        <f>E135/E16*365</f>
        <v>197.15561938609088</v>
      </c>
      <c r="F148" s="90">
        <f>F135/F16*365</f>
        <v>199.00145719489984</v>
      </c>
      <c r="G148" s="91">
        <f t="shared" si="37"/>
        <v>199.00145719489984</v>
      </c>
      <c r="H148" s="91">
        <f t="shared" si="37"/>
        <v>199.00145719489984</v>
      </c>
      <c r="I148" s="91">
        <f t="shared" si="37"/>
        <v>199.00145719489984</v>
      </c>
      <c r="J148" s="91">
        <f t="shared" si="37"/>
        <v>199.00145719489984</v>
      </c>
      <c r="K148" s="91">
        <f t="shared" si="37"/>
        <v>199.00145719489984</v>
      </c>
    </row>
    <row r="149" spans="3:11" ht="15" customHeight="1" x14ac:dyDescent="0.25">
      <c r="C149" s="38" t="s">
        <v>102</v>
      </c>
      <c r="D149" s="90">
        <f>D139/-D17*365</f>
        <v>196.30375766046663</v>
      </c>
      <c r="E149" s="90">
        <f>E139/-E17*365</f>
        <v>188.43537763653606</v>
      </c>
      <c r="F149" s="90">
        <f>F139/-F17*365</f>
        <v>188.87331124139692</v>
      </c>
      <c r="G149" s="91">
        <f t="shared" si="37"/>
        <v>188.87331124139692</v>
      </c>
      <c r="H149" s="91">
        <f t="shared" si="37"/>
        <v>188.87331124139692</v>
      </c>
      <c r="I149" s="91">
        <f t="shared" si="37"/>
        <v>188.87331124139692</v>
      </c>
      <c r="J149" s="91">
        <f t="shared" si="37"/>
        <v>188.87331124139692</v>
      </c>
      <c r="K149" s="91">
        <f t="shared" si="37"/>
        <v>188.87331124139692</v>
      </c>
    </row>
    <row r="150" spans="3:11" ht="15" customHeight="1" x14ac:dyDescent="0.25">
      <c r="D150" s="92"/>
      <c r="E150" s="92"/>
      <c r="F150" s="92"/>
      <c r="G150" s="47"/>
      <c r="H150" s="47"/>
      <c r="I150" s="47"/>
      <c r="J150" s="47"/>
      <c r="K150" s="47"/>
    </row>
    <row r="151" spans="3:11" ht="15" customHeight="1" x14ac:dyDescent="0.25">
      <c r="C151" s="25" t="s">
        <v>103</v>
      </c>
    </row>
    <row r="152" spans="3:11" ht="15" customHeight="1" x14ac:dyDescent="0.25">
      <c r="C152" s="85" t="s">
        <v>9</v>
      </c>
      <c r="D152" s="86">
        <f t="shared" ref="D152:K152" si="38">D$13</f>
        <v>2023</v>
      </c>
      <c r="E152" s="86">
        <f t="shared" si="38"/>
        <v>2024</v>
      </c>
      <c r="F152" s="86">
        <f t="shared" si="38"/>
        <v>2025</v>
      </c>
      <c r="G152" s="87">
        <f t="shared" si="38"/>
        <v>2026</v>
      </c>
      <c r="H152" s="87">
        <f t="shared" si="38"/>
        <v>2027</v>
      </c>
      <c r="I152" s="87">
        <f t="shared" si="38"/>
        <v>2028</v>
      </c>
      <c r="J152" s="87">
        <f t="shared" si="38"/>
        <v>2029</v>
      </c>
      <c r="K152" s="87">
        <f t="shared" si="38"/>
        <v>2030</v>
      </c>
    </row>
    <row r="153" spans="3:11" ht="15" customHeight="1" x14ac:dyDescent="0.25">
      <c r="C153" s="20" t="s">
        <v>10</v>
      </c>
      <c r="D153" s="21">
        <f t="shared" ref="D153:K153" si="39">D$14</f>
        <v>45016</v>
      </c>
      <c r="E153" s="22">
        <f t="shared" si="39"/>
        <v>45382</v>
      </c>
      <c r="F153" s="22">
        <f t="shared" si="39"/>
        <v>45744</v>
      </c>
      <c r="G153" s="22">
        <f t="shared" si="39"/>
        <v>46112</v>
      </c>
      <c r="H153" s="22">
        <f t="shared" si="39"/>
        <v>46477</v>
      </c>
      <c r="I153" s="22">
        <f t="shared" si="39"/>
        <v>46843</v>
      </c>
      <c r="J153" s="22">
        <f t="shared" si="39"/>
        <v>47208</v>
      </c>
      <c r="K153" s="22">
        <f t="shared" si="39"/>
        <v>47573</v>
      </c>
    </row>
    <row r="155" spans="3:11" ht="15" customHeight="1" x14ac:dyDescent="0.25">
      <c r="C155" s="25" t="s">
        <v>104</v>
      </c>
      <c r="D155" s="34"/>
      <c r="E155" s="34"/>
      <c r="F155" s="34"/>
      <c r="G155" s="34"/>
      <c r="H155" s="34"/>
      <c r="I155" s="34"/>
      <c r="J155" s="34"/>
      <c r="K155" s="34"/>
    </row>
    <row r="156" spans="3:11" ht="15" customHeight="1" x14ac:dyDescent="0.25">
      <c r="C156" s="76" t="s">
        <v>81</v>
      </c>
      <c r="D156" s="93"/>
      <c r="E156" s="93">
        <f t="shared" ref="E156:K156" si="40">D157</f>
        <v>30</v>
      </c>
      <c r="F156" s="93">
        <f t="shared" si="40"/>
        <v>33.299999999999997</v>
      </c>
      <c r="G156" s="34">
        <f t="shared" si="40"/>
        <v>38.700000000000003</v>
      </c>
      <c r="H156" s="34">
        <f t="shared" si="40"/>
        <v>38.700000000000003</v>
      </c>
      <c r="I156" s="34">
        <f t="shared" si="40"/>
        <v>38.700000000000003</v>
      </c>
      <c r="J156" s="34">
        <f t="shared" si="40"/>
        <v>38.700000000000003</v>
      </c>
      <c r="K156" s="34">
        <f t="shared" si="40"/>
        <v>38.700000000000003</v>
      </c>
    </row>
    <row r="157" spans="3:11" ht="15" customHeight="1" x14ac:dyDescent="0.25">
      <c r="C157" s="76" t="s">
        <v>84</v>
      </c>
      <c r="D157" s="93">
        <f>10+20</f>
        <v>30</v>
      </c>
      <c r="E157" s="93">
        <f>19.8+13.5</f>
        <v>33.299999999999997</v>
      </c>
      <c r="F157" s="93">
        <f>26.2+12.5</f>
        <v>38.700000000000003</v>
      </c>
      <c r="G157" s="34">
        <f t="shared" ref="G157:K158" si="41">F157</f>
        <v>38.700000000000003</v>
      </c>
      <c r="H157" s="34">
        <f t="shared" si="41"/>
        <v>38.700000000000003</v>
      </c>
      <c r="I157" s="34">
        <f t="shared" si="41"/>
        <v>38.700000000000003</v>
      </c>
      <c r="J157" s="34">
        <f t="shared" si="41"/>
        <v>38.700000000000003</v>
      </c>
      <c r="K157" s="34">
        <f t="shared" si="41"/>
        <v>38.700000000000003</v>
      </c>
    </row>
    <row r="158" spans="3:11" ht="15" customHeight="1" x14ac:dyDescent="0.25">
      <c r="C158" s="76" t="s">
        <v>105</v>
      </c>
      <c r="D158" s="93">
        <v>800</v>
      </c>
      <c r="E158" s="93">
        <v>759</v>
      </c>
      <c r="F158" s="93">
        <v>724</v>
      </c>
      <c r="G158" s="34">
        <f t="shared" si="41"/>
        <v>724</v>
      </c>
      <c r="H158" s="34">
        <f t="shared" si="41"/>
        <v>724</v>
      </c>
      <c r="I158" s="34">
        <f t="shared" si="41"/>
        <v>724</v>
      </c>
      <c r="J158" s="34">
        <f t="shared" si="41"/>
        <v>724</v>
      </c>
      <c r="K158" s="34">
        <f t="shared" si="41"/>
        <v>724</v>
      </c>
    </row>
    <row r="159" spans="3:11" ht="15" customHeight="1" x14ac:dyDescent="0.25">
      <c r="C159" s="76" t="s">
        <v>104</v>
      </c>
      <c r="D159" s="34">
        <f t="shared" ref="D159:K159" si="42">D157+D158</f>
        <v>830</v>
      </c>
      <c r="E159" s="34">
        <f t="shared" si="42"/>
        <v>792.3</v>
      </c>
      <c r="F159" s="34">
        <f t="shared" si="42"/>
        <v>762.7</v>
      </c>
      <c r="G159" s="34">
        <f t="shared" si="42"/>
        <v>762.7</v>
      </c>
      <c r="H159" s="34">
        <f t="shared" si="42"/>
        <v>762.7</v>
      </c>
      <c r="I159" s="34">
        <f t="shared" si="42"/>
        <v>762.7</v>
      </c>
      <c r="J159" s="34">
        <f t="shared" si="42"/>
        <v>762.7</v>
      </c>
      <c r="K159" s="34">
        <f t="shared" si="42"/>
        <v>762.7</v>
      </c>
    </row>
    <row r="160" spans="3:11" ht="15" customHeight="1" x14ac:dyDescent="0.25">
      <c r="C160" s="76" t="s">
        <v>106</v>
      </c>
      <c r="D160" s="44"/>
      <c r="E160" s="44">
        <f>-E162/E159</f>
        <v>9.0243594598005808E-2</v>
      </c>
      <c r="F160" s="44">
        <f>-F162/F159</f>
        <v>0.10161269175298282</v>
      </c>
      <c r="G160" s="45">
        <f>F160</f>
        <v>0.10161269175298282</v>
      </c>
      <c r="H160" s="45">
        <f>G160</f>
        <v>0.10161269175298282</v>
      </c>
      <c r="I160" s="45">
        <f>H160</f>
        <v>0.10161269175298282</v>
      </c>
      <c r="J160" s="45">
        <f>I160</f>
        <v>0.10161269175298282</v>
      </c>
      <c r="K160" s="45">
        <f>J160</f>
        <v>0.10161269175298282</v>
      </c>
    </row>
    <row r="161" spans="3:11" ht="15" customHeight="1" x14ac:dyDescent="0.25">
      <c r="C161" s="38"/>
      <c r="D161" s="94"/>
      <c r="E161" s="94"/>
      <c r="F161" s="94"/>
      <c r="G161" s="95"/>
      <c r="H161" s="95"/>
      <c r="I161" s="95"/>
      <c r="J161" s="95"/>
      <c r="K161" s="95"/>
    </row>
    <row r="162" spans="3:11" ht="15" customHeight="1" x14ac:dyDescent="0.25">
      <c r="C162" t="s">
        <v>107</v>
      </c>
      <c r="D162" s="24">
        <f>D27</f>
        <v>-39.799999999999997</v>
      </c>
      <c r="E162" s="24">
        <f>E27</f>
        <v>-71.5</v>
      </c>
      <c r="F162" s="24">
        <f>F27</f>
        <v>-77.5</v>
      </c>
      <c r="G162" s="24">
        <f>-G160*F159</f>
        <v>-77.5</v>
      </c>
      <c r="H162" s="24">
        <f>-H160*G159</f>
        <v>-77.5</v>
      </c>
      <c r="I162" s="24">
        <f>-I160*H159</f>
        <v>-77.5</v>
      </c>
      <c r="J162" s="24">
        <f>-J160*I159</f>
        <v>-77.5</v>
      </c>
      <c r="K162" s="24">
        <f>-K160*J159</f>
        <v>-77.5</v>
      </c>
    </row>
    <row r="164" spans="3:11" ht="15" customHeight="1" x14ac:dyDescent="0.25">
      <c r="C164" s="25" t="s">
        <v>108</v>
      </c>
    </row>
    <row r="165" spans="3:11" ht="15" customHeight="1" x14ac:dyDescent="0.25">
      <c r="C165" s="85" t="s">
        <v>9</v>
      </c>
      <c r="D165" s="86">
        <f t="shared" ref="D165:K165" si="43">D$13</f>
        <v>2023</v>
      </c>
      <c r="E165" s="86">
        <f t="shared" si="43"/>
        <v>2024</v>
      </c>
      <c r="F165" s="86">
        <f t="shared" si="43"/>
        <v>2025</v>
      </c>
      <c r="G165" s="87">
        <f t="shared" si="43"/>
        <v>2026</v>
      </c>
      <c r="H165" s="87">
        <f t="shared" si="43"/>
        <v>2027</v>
      </c>
      <c r="I165" s="87">
        <f t="shared" si="43"/>
        <v>2028</v>
      </c>
      <c r="J165" s="87">
        <f t="shared" si="43"/>
        <v>2029</v>
      </c>
      <c r="K165" s="87">
        <f t="shared" si="43"/>
        <v>2030</v>
      </c>
    </row>
    <row r="166" spans="3:11" ht="15" customHeight="1" x14ac:dyDescent="0.25">
      <c r="C166" s="20" t="s">
        <v>10</v>
      </c>
      <c r="D166" s="21">
        <f t="shared" ref="D166:K166" si="44">D$14</f>
        <v>45016</v>
      </c>
      <c r="E166" s="22">
        <f t="shared" si="44"/>
        <v>45382</v>
      </c>
      <c r="F166" s="22">
        <f t="shared" si="44"/>
        <v>45744</v>
      </c>
      <c r="G166" s="22">
        <f t="shared" si="44"/>
        <v>46112</v>
      </c>
      <c r="H166" s="22">
        <f t="shared" si="44"/>
        <v>46477</v>
      </c>
      <c r="I166" s="22">
        <f t="shared" si="44"/>
        <v>46843</v>
      </c>
      <c r="J166" s="22">
        <f t="shared" si="44"/>
        <v>47208</v>
      </c>
      <c r="K166" s="22">
        <f t="shared" si="44"/>
        <v>47573</v>
      </c>
    </row>
    <row r="168" spans="3:11" ht="15" customHeight="1" x14ac:dyDescent="0.25">
      <c r="C168" s="25" t="s">
        <v>109</v>
      </c>
    </row>
    <row r="169" spans="3:11" ht="15" customHeight="1" x14ac:dyDescent="0.25">
      <c r="C169" s="38" t="s">
        <v>81</v>
      </c>
      <c r="D169" s="34"/>
      <c r="E169" s="34">
        <f t="shared" ref="E169:K169" si="45">D171</f>
        <v>666</v>
      </c>
      <c r="F169" s="34">
        <f t="shared" si="45"/>
        <v>677</v>
      </c>
      <c r="G169" s="34">
        <f t="shared" si="45"/>
        <v>672.3</v>
      </c>
      <c r="H169" s="34">
        <f t="shared" si="45"/>
        <v>676.9606692019297</v>
      </c>
      <c r="I169" s="34">
        <f t="shared" si="45"/>
        <v>684.76062186395609</v>
      </c>
      <c r="J169" s="34">
        <f t="shared" si="45"/>
        <v>695.19757263246322</v>
      </c>
      <c r="K169" s="34">
        <f t="shared" si="45"/>
        <v>707.69138192402602</v>
      </c>
    </row>
    <row r="170" spans="3:11" ht="15" customHeight="1" x14ac:dyDescent="0.25">
      <c r="C170" s="38" t="s">
        <v>110</v>
      </c>
      <c r="D170" s="34">
        <f t="shared" ref="D170:K170" si="46">D30</f>
        <v>-17.099999999999991</v>
      </c>
      <c r="E170" s="34">
        <f t="shared" si="46"/>
        <v>11.000000000000279</v>
      </c>
      <c r="F170" s="34">
        <f t="shared" si="46"/>
        <v>-4.7000000000000055</v>
      </c>
      <c r="G170" s="34">
        <f t="shared" si="46"/>
        <v>4.6606692019297675</v>
      </c>
      <c r="H170" s="34">
        <f t="shared" si="46"/>
        <v>7.7999526620263886</v>
      </c>
      <c r="I170" s="34">
        <f t="shared" si="46"/>
        <v>10.436950768507142</v>
      </c>
      <c r="J170" s="34">
        <f t="shared" si="46"/>
        <v>12.493809291562741</v>
      </c>
      <c r="K170" s="34">
        <f t="shared" si="46"/>
        <v>13.90618547739378</v>
      </c>
    </row>
    <row r="171" spans="3:11" ht="15" customHeight="1" x14ac:dyDescent="0.25">
      <c r="C171" s="38" t="s">
        <v>111</v>
      </c>
      <c r="D171" s="34">
        <f>D75</f>
        <v>666</v>
      </c>
      <c r="E171" s="34">
        <f>E75</f>
        <v>677</v>
      </c>
      <c r="F171" s="34">
        <f>F75</f>
        <v>672.3</v>
      </c>
      <c r="G171" s="34">
        <f>G169+G170</f>
        <v>676.9606692019297</v>
      </c>
      <c r="H171" s="34">
        <f>H169+H170</f>
        <v>684.76062186395609</v>
      </c>
      <c r="I171" s="34">
        <f>I169+I170</f>
        <v>695.19757263246322</v>
      </c>
      <c r="J171" s="34">
        <f>J169+J170</f>
        <v>707.69138192402602</v>
      </c>
      <c r="K171" s="34">
        <f>K169+K170</f>
        <v>721.59756740141984</v>
      </c>
    </row>
    <row r="173" spans="3:11" ht="15" customHeight="1" x14ac:dyDescent="0.25">
      <c r="C173" s="25" t="s">
        <v>40</v>
      </c>
    </row>
    <row r="174" spans="3:11" ht="15" customHeight="1" x14ac:dyDescent="0.25">
      <c r="C174" s="85" t="s">
        <v>9</v>
      </c>
      <c r="D174" s="86">
        <f t="shared" ref="D174:K174" si="47">D$13</f>
        <v>2023</v>
      </c>
      <c r="E174" s="86">
        <f t="shared" si="47"/>
        <v>2024</v>
      </c>
      <c r="F174" s="86">
        <f t="shared" si="47"/>
        <v>2025</v>
      </c>
      <c r="G174" s="87">
        <f t="shared" si="47"/>
        <v>2026</v>
      </c>
      <c r="H174" s="87">
        <f t="shared" si="47"/>
        <v>2027</v>
      </c>
      <c r="I174" s="87">
        <f t="shared" si="47"/>
        <v>2028</v>
      </c>
      <c r="J174" s="87">
        <f t="shared" si="47"/>
        <v>2029</v>
      </c>
      <c r="K174" s="87">
        <f t="shared" si="47"/>
        <v>2030</v>
      </c>
    </row>
    <row r="175" spans="3:11" ht="15" customHeight="1" x14ac:dyDescent="0.25">
      <c r="C175" s="20" t="s">
        <v>10</v>
      </c>
      <c r="D175" s="21">
        <f t="shared" ref="D175:K175" si="48">D$14</f>
        <v>45016</v>
      </c>
      <c r="E175" s="22">
        <f t="shared" si="48"/>
        <v>45382</v>
      </c>
      <c r="F175" s="22">
        <f t="shared" si="48"/>
        <v>45744</v>
      </c>
      <c r="G175" s="22">
        <f t="shared" si="48"/>
        <v>46112</v>
      </c>
      <c r="H175" s="22">
        <f t="shared" si="48"/>
        <v>46477</v>
      </c>
      <c r="I175" s="22">
        <f t="shared" si="48"/>
        <v>46843</v>
      </c>
      <c r="J175" s="22">
        <f t="shared" si="48"/>
        <v>47208</v>
      </c>
      <c r="K175" s="22">
        <f t="shared" si="48"/>
        <v>47573</v>
      </c>
    </row>
    <row r="177" spans="3:11" ht="15" customHeight="1" x14ac:dyDescent="0.25">
      <c r="C177" t="s">
        <v>81</v>
      </c>
      <c r="D177" s="24"/>
      <c r="E177" s="24">
        <f t="shared" ref="E177:K177" si="49">D180</f>
        <v>16.3</v>
      </c>
      <c r="F177" s="24">
        <f t="shared" si="49"/>
        <v>16.100000000000001</v>
      </c>
      <c r="G177" s="24">
        <f t="shared" si="49"/>
        <v>13.3</v>
      </c>
      <c r="H177" s="24">
        <f t="shared" si="49"/>
        <v>13.180904048745791</v>
      </c>
      <c r="I177" s="24">
        <f t="shared" si="49"/>
        <v>13.055853299928874</v>
      </c>
      <c r="J177" s="24">
        <f t="shared" si="49"/>
        <v>12.925800521159278</v>
      </c>
      <c r="K177" s="24">
        <f t="shared" si="49"/>
        <v>12.791846159026594</v>
      </c>
    </row>
    <row r="178" spans="3:11" ht="15" customHeight="1" x14ac:dyDescent="0.25">
      <c r="C178" t="s">
        <v>112</v>
      </c>
      <c r="D178" s="96">
        <v>5.7</v>
      </c>
      <c r="E178" s="96">
        <v>3.8</v>
      </c>
      <c r="F178" s="96">
        <v>1.5</v>
      </c>
      <c r="G178" s="24">
        <f t="shared" ref="G178:K179" si="50">G181*G$16</f>
        <v>4.0213688059316732</v>
      </c>
      <c r="H178" s="24">
        <f t="shared" si="50"/>
        <v>4.2224372462282576</v>
      </c>
      <c r="I178" s="24">
        <f t="shared" si="50"/>
        <v>4.3913347360773871</v>
      </c>
      <c r="J178" s="24">
        <f t="shared" si="50"/>
        <v>4.5230747781597085</v>
      </c>
      <c r="K178" s="24">
        <f t="shared" si="50"/>
        <v>4.6135362737229029</v>
      </c>
    </row>
    <row r="179" spans="3:11" ht="15" customHeight="1" x14ac:dyDescent="0.25">
      <c r="C179" t="s">
        <v>63</v>
      </c>
      <c r="D179" s="96">
        <v>3.2</v>
      </c>
      <c r="E179" s="96">
        <v>4</v>
      </c>
      <c r="F179" s="96">
        <v>4.3</v>
      </c>
      <c r="G179" s="24">
        <f t="shared" si="50"/>
        <v>4.1404647571858817</v>
      </c>
      <c r="H179" s="24">
        <f t="shared" si="50"/>
        <v>4.3474879950451752</v>
      </c>
      <c r="I179" s="24">
        <f t="shared" si="50"/>
        <v>4.5213875148469826</v>
      </c>
      <c r="J179" s="24">
        <f t="shared" si="50"/>
        <v>4.6570291402923916</v>
      </c>
      <c r="K179" s="24">
        <f t="shared" si="50"/>
        <v>4.7501697230982396</v>
      </c>
    </row>
    <row r="180" spans="3:11" ht="15" customHeight="1" x14ac:dyDescent="0.25">
      <c r="C180" t="s">
        <v>84</v>
      </c>
      <c r="D180" s="24">
        <f>D53</f>
        <v>16.3</v>
      </c>
      <c r="E180" s="24">
        <f>E53</f>
        <v>16.100000000000001</v>
      </c>
      <c r="F180" s="24">
        <f>F53</f>
        <v>13.3</v>
      </c>
      <c r="G180" s="24">
        <f>G177+G178-G179</f>
        <v>13.180904048745791</v>
      </c>
      <c r="H180" s="24">
        <f>H177+H178-H179</f>
        <v>13.055853299928874</v>
      </c>
      <c r="I180" s="24">
        <f>I177+I178-I179</f>
        <v>12.925800521159278</v>
      </c>
      <c r="J180" s="24">
        <f>J177+J178-J179</f>
        <v>12.791846159026594</v>
      </c>
      <c r="K180" s="24">
        <f>K177+K178-K179</f>
        <v>12.655212709651259</v>
      </c>
    </row>
    <row r="181" spans="3:11" ht="15" customHeight="1" x14ac:dyDescent="0.25">
      <c r="C181" t="s">
        <v>113</v>
      </c>
      <c r="D181" s="24">
        <f t="shared" ref="D181:F182" si="51">D178/D$16</f>
        <v>1.4748117674454708E-3</v>
      </c>
      <c r="E181" s="24">
        <f t="shared" si="51"/>
        <v>9.2500182566149789E-4</v>
      </c>
      <c r="F181" s="24">
        <f t="shared" si="51"/>
        <v>3.6429872495446266E-4</v>
      </c>
      <c r="G181" s="96">
        <f>AVERAGE(D181:F181)</f>
        <v>9.2137077268714378E-4</v>
      </c>
      <c r="H181" s="96">
        <f t="shared" ref="H181:K182" si="52">G181</f>
        <v>9.2137077268714378E-4</v>
      </c>
      <c r="I181" s="96">
        <f t="shared" si="52"/>
        <v>9.2137077268714378E-4</v>
      </c>
      <c r="J181" s="96">
        <f t="shared" si="52"/>
        <v>9.2137077268714378E-4</v>
      </c>
      <c r="K181" s="96">
        <f t="shared" si="52"/>
        <v>9.2137077268714378E-4</v>
      </c>
    </row>
    <row r="182" spans="3:11" ht="15" customHeight="1" x14ac:dyDescent="0.25">
      <c r="C182" t="s">
        <v>114</v>
      </c>
      <c r="D182" s="24">
        <f t="shared" si="51"/>
        <v>8.2796450102201873E-4</v>
      </c>
      <c r="E182" s="24">
        <f t="shared" si="51"/>
        <v>9.7368613227526103E-4</v>
      </c>
      <c r="F182" s="24">
        <f t="shared" si="51"/>
        <v>1.0443230115361262E-3</v>
      </c>
      <c r="G182" s="96">
        <f>AVERAGE(D182:F182)</f>
        <v>9.4865788161113543E-4</v>
      </c>
      <c r="H182" s="96">
        <f t="shared" si="52"/>
        <v>9.4865788161113543E-4</v>
      </c>
      <c r="I182" s="96">
        <f t="shared" si="52"/>
        <v>9.4865788161113543E-4</v>
      </c>
      <c r="J182" s="96">
        <f t="shared" si="52"/>
        <v>9.4865788161113543E-4</v>
      </c>
      <c r="K182" s="96">
        <f t="shared" si="52"/>
        <v>9.4865788161113543E-4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5"/>
  <sheetViews>
    <sheetView showGridLines="0" zoomScaleNormal="100" workbookViewId="0">
      <selection activeCell="B14" sqref="B14"/>
    </sheetView>
  </sheetViews>
  <sheetFormatPr defaultColWidth="8.7109375" defaultRowHeight="15" x14ac:dyDescent="0.25"/>
  <cols>
    <col min="1" max="1" width="2" customWidth="1"/>
    <col min="2" max="2" width="52" customWidth="1"/>
    <col min="3" max="4" width="12" customWidth="1"/>
    <col min="5" max="5" width="3" customWidth="1"/>
    <col min="6" max="6" width="2" customWidth="1"/>
  </cols>
  <sheetData>
    <row r="2" spans="2:4" ht="17.25" customHeight="1" x14ac:dyDescent="0.3">
      <c r="B2" s="97" t="s">
        <v>115</v>
      </c>
    </row>
    <row r="3" spans="2:4" ht="15" customHeight="1" x14ac:dyDescent="0.25">
      <c r="B3" s="98" t="s">
        <v>116</v>
      </c>
    </row>
    <row r="5" spans="2:4" ht="15" customHeight="1" x14ac:dyDescent="0.25">
      <c r="C5" s="99" t="s">
        <v>117</v>
      </c>
      <c r="D5" s="99" t="s">
        <v>118</v>
      </c>
    </row>
    <row r="6" spans="2:4" ht="15" customHeight="1" x14ac:dyDescent="0.25">
      <c r="B6" s="101" t="s">
        <v>119</v>
      </c>
      <c r="C6" s="102">
        <f>FSM!E26</f>
        <v>87.100000000000279</v>
      </c>
      <c r="D6" s="102">
        <f>FSM!F26</f>
        <v>76.599999999999994</v>
      </c>
    </row>
    <row r="7" spans="2:4" ht="15" customHeight="1" x14ac:dyDescent="0.25">
      <c r="B7" s="101" t="s">
        <v>120</v>
      </c>
      <c r="C7" s="102">
        <f>FSM!E127</f>
        <v>47.4</v>
      </c>
      <c r="D7" s="102">
        <f>FSM!F127</f>
        <v>46</v>
      </c>
    </row>
    <row r="8" spans="2:4" ht="15" customHeight="1" x14ac:dyDescent="0.25">
      <c r="B8" s="101" t="s">
        <v>121</v>
      </c>
      <c r="C8" s="103">
        <v>12.6</v>
      </c>
      <c r="D8" s="103">
        <v>13.7</v>
      </c>
    </row>
    <row r="9" spans="2:4" ht="15" customHeight="1" x14ac:dyDescent="0.25">
      <c r="B9" s="101" t="s">
        <v>122</v>
      </c>
      <c r="C9" s="103">
        <v>4.3</v>
      </c>
      <c r="D9" s="103">
        <v>5.9</v>
      </c>
    </row>
    <row r="10" spans="2:4" ht="15" customHeight="1" x14ac:dyDescent="0.25">
      <c r="B10" s="101" t="s">
        <v>123</v>
      </c>
      <c r="C10" s="103">
        <v>-3.4</v>
      </c>
      <c r="D10" s="103">
        <v>0</v>
      </c>
    </row>
    <row r="11" spans="2:4" ht="15" customHeight="1" x14ac:dyDescent="0.25">
      <c r="B11" s="101" t="s">
        <v>124</v>
      </c>
      <c r="C11" s="103">
        <v>1.1000000000000001</v>
      </c>
      <c r="D11" s="103">
        <v>-1.6</v>
      </c>
    </row>
    <row r="12" spans="2:4" ht="15" customHeight="1" x14ac:dyDescent="0.25">
      <c r="B12" s="101" t="s">
        <v>125</v>
      </c>
      <c r="C12" s="103">
        <v>1.8</v>
      </c>
      <c r="D12" s="103">
        <v>1.5</v>
      </c>
    </row>
    <row r="13" spans="2:4" ht="15" customHeight="1" x14ac:dyDescent="0.25">
      <c r="B13" s="104" t="s">
        <v>126</v>
      </c>
      <c r="C13" s="105">
        <f>SUM(C6:C12)</f>
        <v>150.90000000000029</v>
      </c>
      <c r="D13" s="105">
        <f>SUM(D6:D12)</f>
        <v>142.1</v>
      </c>
    </row>
    <row r="14" spans="2:4" ht="15" customHeight="1" x14ac:dyDescent="0.25">
      <c r="B14" s="101" t="s">
        <v>127</v>
      </c>
      <c r="C14" s="103">
        <v>150.9</v>
      </c>
      <c r="D14" s="103">
        <v>142.1</v>
      </c>
    </row>
    <row r="15" spans="2:4" ht="15" customHeight="1" x14ac:dyDescent="0.25">
      <c r="B15" s="101" t="s">
        <v>128</v>
      </c>
      <c r="C15" s="106">
        <f>C13-C14</f>
        <v>2.8421709430404007E-13</v>
      </c>
      <c r="D15" s="106">
        <f>D13-D14</f>
        <v>0</v>
      </c>
    </row>
  </sheetData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132"/>
  <sheetViews>
    <sheetView showGridLines="0" topLeftCell="A57" zoomScaleNormal="100" workbookViewId="0">
      <selection activeCell="C71" sqref="C71"/>
    </sheetView>
  </sheetViews>
  <sheetFormatPr defaultColWidth="9.140625" defaultRowHeight="15" x14ac:dyDescent="0.25"/>
  <cols>
    <col min="1" max="1" width="1.42578125" customWidth="1"/>
    <col min="2" max="2" width="54.42578125" customWidth="1"/>
    <col min="3" max="3" width="16.7109375" customWidth="1"/>
    <col min="4" max="4" width="15.5703125" customWidth="1"/>
    <col min="5" max="9" width="16.42578125" customWidth="1"/>
    <col min="10" max="10" width="1.7109375" customWidth="1"/>
    <col min="11" max="11" width="12.140625" customWidth="1"/>
    <col min="12" max="16" width="9.42578125" customWidth="1"/>
  </cols>
  <sheetData>
    <row r="1" spans="2:10" ht="15.75" customHeight="1" x14ac:dyDescent="0.25"/>
    <row r="2" spans="2:10" ht="15.75" customHeight="1" x14ac:dyDescent="0.25">
      <c r="B2" s="6" t="s">
        <v>129</v>
      </c>
      <c r="C2" s="7"/>
      <c r="D2" s="7"/>
      <c r="E2" s="7"/>
      <c r="F2" s="7"/>
      <c r="G2" s="7"/>
      <c r="H2" s="7"/>
      <c r="I2" s="7"/>
    </row>
    <row r="3" spans="2:10" ht="15" customHeight="1" x14ac:dyDescent="0.25">
      <c r="B3" s="107" t="str">
        <f>FSM!C3</f>
        <v>All amounts are shown in Millions of Pounds (£'m), except per-share data, ratios, and shares outstanding</v>
      </c>
    </row>
    <row r="4" spans="2:10" ht="15" customHeight="1" x14ac:dyDescent="0.25">
      <c r="B4" t="s">
        <v>130</v>
      </c>
      <c r="C4" s="108"/>
      <c r="D4" s="108">
        <v>45744</v>
      </c>
      <c r="F4" t="s">
        <v>131</v>
      </c>
      <c r="H4" s="109">
        <f>+WACC!E21</f>
        <v>8.8222472333855981E-2</v>
      </c>
      <c r="I4" t="s">
        <v>132</v>
      </c>
    </row>
    <row r="5" spans="2:10" ht="15" customHeight="1" x14ac:dyDescent="0.25">
      <c r="B5" t="s">
        <v>133</v>
      </c>
      <c r="C5" s="110"/>
      <c r="D5" s="110">
        <f>EOMONTH(D4,12)</f>
        <v>46112</v>
      </c>
      <c r="H5" s="111"/>
    </row>
    <row r="6" spans="2:10" ht="15" customHeight="1" x14ac:dyDescent="0.25">
      <c r="B6" t="s">
        <v>134</v>
      </c>
      <c r="C6" s="108"/>
      <c r="D6" s="108">
        <v>45744</v>
      </c>
      <c r="H6" s="108"/>
      <c r="J6" s="112"/>
    </row>
    <row r="7" spans="2:10" ht="15" customHeight="1" x14ac:dyDescent="0.25">
      <c r="B7" t="s">
        <v>135</v>
      </c>
      <c r="C7" s="108"/>
      <c r="D7" s="108">
        <f>D4</f>
        <v>45744</v>
      </c>
      <c r="E7" s="112"/>
      <c r="F7" t="s">
        <v>136</v>
      </c>
      <c r="G7" s="112"/>
      <c r="H7" s="113">
        <f>C73</f>
        <v>7.5559957492221193</v>
      </c>
    </row>
    <row r="8" spans="2:10" ht="15" customHeight="1" x14ac:dyDescent="0.25">
      <c r="B8" t="s">
        <v>137</v>
      </c>
      <c r="C8" s="114"/>
      <c r="D8" s="115">
        <v>1</v>
      </c>
      <c r="H8" s="94"/>
    </row>
    <row r="9" spans="2:10" ht="15" customHeight="1" x14ac:dyDescent="0.25">
      <c r="D9" s="116"/>
      <c r="F9" t="s">
        <v>138</v>
      </c>
      <c r="H9" s="117">
        <v>1</v>
      </c>
    </row>
    <row r="10" spans="2:10" ht="15" customHeight="1" x14ac:dyDescent="0.25">
      <c r="B10" s="118" t="s">
        <v>139</v>
      </c>
      <c r="C10" s="119"/>
      <c r="D10" s="120"/>
      <c r="F10" s="119"/>
      <c r="G10" s="119"/>
      <c r="H10" s="119"/>
      <c r="I10" s="119"/>
    </row>
    <row r="11" spans="2:10" ht="17.25" customHeight="1" x14ac:dyDescent="0.25">
      <c r="C11" s="121" t="s">
        <v>140</v>
      </c>
      <c r="D11" s="121" t="s">
        <v>141</v>
      </c>
      <c r="E11" s="4" t="s">
        <v>142</v>
      </c>
      <c r="F11" s="4"/>
      <c r="G11" s="4"/>
      <c r="H11" s="4"/>
      <c r="I11" s="4"/>
    </row>
    <row r="12" spans="2:10" ht="15" customHeight="1" x14ac:dyDescent="0.25">
      <c r="B12" s="122" t="s">
        <v>143</v>
      </c>
      <c r="C12" s="123">
        <f>D7</f>
        <v>45744</v>
      </c>
      <c r="D12" s="124">
        <f>D4</f>
        <v>45744</v>
      </c>
      <c r="E12" s="124">
        <f>EOMONTH(D12,12)</f>
        <v>46112</v>
      </c>
      <c r="F12" s="124">
        <f>EOMONTH(E12,12)</f>
        <v>46477</v>
      </c>
      <c r="G12" s="124">
        <f>EOMONTH(F12,12)</f>
        <v>46843</v>
      </c>
      <c r="H12" s="124">
        <f>EOMONTH(G12,12)</f>
        <v>47208</v>
      </c>
      <c r="I12" s="124">
        <f>EOMONTH(H12,12)</f>
        <v>47573</v>
      </c>
    </row>
    <row r="13" spans="2:10" ht="15" customHeight="1" x14ac:dyDescent="0.25">
      <c r="B13" s="122"/>
      <c r="D13" s="125"/>
      <c r="E13" s="126"/>
      <c r="F13" s="126"/>
      <c r="G13" s="126"/>
      <c r="H13" s="126"/>
      <c r="I13" s="127"/>
    </row>
    <row r="14" spans="2:10" ht="15" customHeight="1" x14ac:dyDescent="0.25">
      <c r="B14" t="s">
        <v>144</v>
      </c>
      <c r="C14" s="128">
        <f>E14*(1-$D$8)+D14*$D$8</f>
        <v>4117.5</v>
      </c>
      <c r="D14" s="129">
        <f>FSM!F16</f>
        <v>4117.5</v>
      </c>
      <c r="E14" s="129">
        <f>FSM!G16</f>
        <v>4364.55</v>
      </c>
      <c r="F14" s="129">
        <f>FSM!H16</f>
        <v>4582.7775000000001</v>
      </c>
      <c r="G14" s="129">
        <f>FSM!I16</f>
        <v>4766.0886</v>
      </c>
      <c r="H14" s="129">
        <f>FSM!J16</f>
        <v>4909.0712579999999</v>
      </c>
      <c r="I14" s="129">
        <f>FSM!K16</f>
        <v>5007.2526831599998</v>
      </c>
    </row>
    <row r="15" spans="2:10" ht="15" customHeight="1" x14ac:dyDescent="0.25">
      <c r="B15" s="38" t="s">
        <v>145</v>
      </c>
      <c r="D15" s="130"/>
      <c r="E15" s="130">
        <f>E14/D14-1</f>
        <v>6.0000000000000053E-2</v>
      </c>
      <c r="F15" s="130">
        <f>F14/E14-1</f>
        <v>5.0000000000000044E-2</v>
      </c>
      <c r="G15" s="130">
        <f>G14/F14-1</f>
        <v>4.0000000000000036E-2</v>
      </c>
      <c r="H15" s="130">
        <f>H14/G14-1</f>
        <v>3.0000000000000027E-2</v>
      </c>
      <c r="I15" s="130">
        <f>I14/H14-1</f>
        <v>2.0000000000000018E-2</v>
      </c>
    </row>
    <row r="16" spans="2:10" ht="15" customHeight="1" x14ac:dyDescent="0.25">
      <c r="B16" t="s">
        <v>26</v>
      </c>
      <c r="C16" s="128">
        <f>E16*(1-$D$8)+D16*$D$8</f>
        <v>142.1</v>
      </c>
      <c r="D16" s="129">
        <f>FSM!F32</f>
        <v>142.1</v>
      </c>
      <c r="E16" s="129">
        <f>FSM!G32</f>
        <v>132.0566903597589</v>
      </c>
      <c r="F16" s="129">
        <f>FSM!H32</f>
        <v>138.65952487774703</v>
      </c>
      <c r="G16" s="129">
        <f>FSM!I32</f>
        <v>144.2059058728565</v>
      </c>
      <c r="H16" s="129">
        <f>FSM!J32</f>
        <v>148.53208304904271</v>
      </c>
      <c r="I16" s="129">
        <f>FSM!K32</f>
        <v>151.50272471002327</v>
      </c>
    </row>
    <row r="17" spans="2:13" ht="15" customHeight="1" x14ac:dyDescent="0.25">
      <c r="B17" s="38" t="s">
        <v>146</v>
      </c>
      <c r="D17" s="130">
        <f t="shared" ref="D17:I17" si="0">D16/D14</f>
        <v>3.451123254401943E-2</v>
      </c>
      <c r="E17" s="130">
        <f t="shared" si="0"/>
        <v>3.0256656553312233E-2</v>
      </c>
      <c r="F17" s="130">
        <f t="shared" si="0"/>
        <v>3.0256656553312271E-2</v>
      </c>
      <c r="G17" s="130">
        <f t="shared" si="0"/>
        <v>3.0256656553312188E-2</v>
      </c>
      <c r="H17" s="130">
        <f t="shared" si="0"/>
        <v>3.0256656553312292E-2</v>
      </c>
      <c r="I17" s="130">
        <f t="shared" si="0"/>
        <v>3.0256656553312233E-2</v>
      </c>
    </row>
    <row r="18" spans="2:13" ht="15" customHeight="1" x14ac:dyDescent="0.25">
      <c r="B18" t="s">
        <v>147</v>
      </c>
      <c r="C18" s="128">
        <f>E18*(1-$D$8)+D18*$D$8</f>
        <v>82.5</v>
      </c>
      <c r="D18" s="129">
        <f>FSM!F22</f>
        <v>82.5</v>
      </c>
      <c r="E18" s="129">
        <f>FSM!G22</f>
        <v>83.714225602573023</v>
      </c>
      <c r="F18" s="129">
        <f>FSM!H22</f>
        <v>87.899936882701851</v>
      </c>
      <c r="G18" s="129">
        <f>FSM!I22</f>
        <v>91.415934358009522</v>
      </c>
      <c r="H18" s="129">
        <f>FSM!J22</f>
        <v>94.158412388750321</v>
      </c>
      <c r="I18" s="129">
        <f>FSM!K22</f>
        <v>96.04158063652504</v>
      </c>
    </row>
    <row r="19" spans="2:13" ht="15" customHeight="1" x14ac:dyDescent="0.25">
      <c r="B19" s="38" t="s">
        <v>146</v>
      </c>
      <c r="D19" s="130">
        <f t="shared" ref="D19:I19" si="1">D18/D14</f>
        <v>2.0036429872495445E-2</v>
      </c>
      <c r="E19" s="130">
        <f t="shared" si="1"/>
        <v>1.9180494117967035E-2</v>
      </c>
      <c r="F19" s="130">
        <f t="shared" si="1"/>
        <v>1.9180494117967073E-2</v>
      </c>
      <c r="G19" s="130">
        <f t="shared" si="1"/>
        <v>1.918049411796699E-2</v>
      </c>
      <c r="H19" s="130">
        <f t="shared" si="1"/>
        <v>1.9180494117967094E-2</v>
      </c>
      <c r="I19" s="130">
        <f t="shared" si="1"/>
        <v>1.9180494117967038E-2</v>
      </c>
    </row>
    <row r="20" spans="2:13" ht="15" customHeight="1" x14ac:dyDescent="0.25">
      <c r="B20" s="38"/>
      <c r="D20" s="129"/>
      <c r="E20" s="129"/>
      <c r="F20" s="129"/>
      <c r="G20" s="129"/>
      <c r="H20" s="129"/>
      <c r="I20" s="129"/>
    </row>
    <row r="21" spans="2:13" ht="15" customHeight="1" x14ac:dyDescent="0.25">
      <c r="B21" t="s">
        <v>148</v>
      </c>
      <c r="D21" s="131">
        <f t="shared" ref="D21:I21" si="2">D18*D22</f>
        <v>20.625</v>
      </c>
      <c r="E21" s="131">
        <f t="shared" si="2"/>
        <v>20.928556400643256</v>
      </c>
      <c r="F21" s="131">
        <f t="shared" si="2"/>
        <v>21.974984220675463</v>
      </c>
      <c r="G21" s="131">
        <f t="shared" si="2"/>
        <v>22.853983589502381</v>
      </c>
      <c r="H21" s="131">
        <f t="shared" si="2"/>
        <v>23.53960309718758</v>
      </c>
      <c r="I21" s="131">
        <f t="shared" si="2"/>
        <v>24.01039515913126</v>
      </c>
    </row>
    <row r="22" spans="2:13" ht="15" customHeight="1" x14ac:dyDescent="0.25">
      <c r="B22" s="38" t="s">
        <v>31</v>
      </c>
      <c r="D22" s="132">
        <v>0.25</v>
      </c>
      <c r="E22" s="132">
        <f>FSM!G39</f>
        <v>0.25</v>
      </c>
      <c r="F22" s="132">
        <f>FSM!H39</f>
        <v>0.25</v>
      </c>
      <c r="G22" s="132">
        <f>FSM!I39</f>
        <v>0.25</v>
      </c>
      <c r="H22" s="132">
        <f>FSM!J39</f>
        <v>0.25</v>
      </c>
      <c r="I22" s="132">
        <f>FSM!K39</f>
        <v>0.25</v>
      </c>
    </row>
    <row r="23" spans="2:13" ht="15" customHeight="1" x14ac:dyDescent="0.25">
      <c r="B23" s="25" t="s">
        <v>149</v>
      </c>
      <c r="C23" s="25"/>
      <c r="D23" s="133">
        <f t="shared" ref="D23:I23" si="3">D18*(1-D22)</f>
        <v>61.875</v>
      </c>
      <c r="E23" s="133">
        <f t="shared" si="3"/>
        <v>62.785669201929764</v>
      </c>
      <c r="F23" s="133">
        <f t="shared" si="3"/>
        <v>65.924952662026385</v>
      </c>
      <c r="G23" s="133">
        <f t="shared" si="3"/>
        <v>68.561950768507145</v>
      </c>
      <c r="H23" s="133">
        <f t="shared" si="3"/>
        <v>70.618809291562741</v>
      </c>
      <c r="I23" s="133">
        <f t="shared" si="3"/>
        <v>72.031185477393777</v>
      </c>
    </row>
    <row r="24" spans="2:13" ht="15" customHeight="1" x14ac:dyDescent="0.25">
      <c r="D24" s="128"/>
      <c r="E24" s="128"/>
      <c r="F24" s="128"/>
      <c r="G24" s="128"/>
      <c r="H24" s="128"/>
      <c r="I24" s="128"/>
    </row>
    <row r="25" spans="2:13" ht="15" customHeight="1" x14ac:dyDescent="0.25">
      <c r="B25" t="s">
        <v>150</v>
      </c>
      <c r="D25" s="134"/>
      <c r="E25" s="134">
        <f>FSM!G127</f>
        <v>48.342464757185887</v>
      </c>
      <c r="F25" s="134">
        <f>FSM!H127</f>
        <v>50.75958799504518</v>
      </c>
      <c r="G25" s="134">
        <f>FSM!I127</f>
        <v>52.789971514846989</v>
      </c>
      <c r="H25" s="134">
        <f>FSM!J127</f>
        <v>54.373670660292397</v>
      </c>
      <c r="I25" s="134">
        <f>FSM!K127</f>
        <v>55.461144073498239</v>
      </c>
      <c r="M25" s="135"/>
    </row>
    <row r="26" spans="2:13" ht="15" customHeight="1" x14ac:dyDescent="0.25">
      <c r="B26" t="s">
        <v>151</v>
      </c>
      <c r="D26" s="128"/>
      <c r="E26" s="128">
        <f>D32-E32</f>
        <v>-19.344738388363567</v>
      </c>
      <c r="F26" s="128">
        <f>E32-F32</f>
        <v>-24.007236919418119</v>
      </c>
      <c r="G26" s="128">
        <f>F32-G32</f>
        <v>-20.166079012311457</v>
      </c>
      <c r="H26" s="128">
        <f>G32-H32</f>
        <v>-15.729541629602409</v>
      </c>
      <c r="I26" s="128">
        <f>H32-I32</f>
        <v>-10.800951918994087</v>
      </c>
      <c r="M26" s="135"/>
    </row>
    <row r="27" spans="2:13" ht="15" customHeight="1" x14ac:dyDescent="0.25">
      <c r="B27" t="s">
        <v>152</v>
      </c>
      <c r="D27" s="134"/>
      <c r="E27" s="134">
        <f>-(FSM!G116+FSM!G178)</f>
        <v>-44.422981843680432</v>
      </c>
      <c r="F27" s="134">
        <f>-(FSM!H116+FSM!H178)</f>
        <v>-46.64413093586446</v>
      </c>
      <c r="G27" s="134">
        <f>-(FSM!I116+FSM!I178)</f>
        <v>-48.50989617329904</v>
      </c>
      <c r="H27" s="134">
        <f>-(FSM!J116+FSM!J178)</f>
        <v>-49.965193058498009</v>
      </c>
      <c r="I27" s="134">
        <f>-(FSM!K116+FSM!K178)</f>
        <v>-50.964496919667958</v>
      </c>
      <c r="M27" s="135"/>
    </row>
    <row r="28" spans="2:13" ht="15" customHeight="1" x14ac:dyDescent="0.25">
      <c r="B28" s="38" t="s">
        <v>89</v>
      </c>
      <c r="D28" s="44"/>
      <c r="E28" s="44">
        <f>E27/E14</f>
        <v>-1.0178135625363538E-2</v>
      </c>
      <c r="F28" s="44">
        <f>F27/F14</f>
        <v>-1.017813562536354E-2</v>
      </c>
      <c r="G28" s="44">
        <f>G27/G14</f>
        <v>-1.017813562536354E-2</v>
      </c>
      <c r="H28" s="44">
        <f>H27/H14</f>
        <v>-1.017813562536354E-2</v>
      </c>
      <c r="I28" s="44">
        <f>I27/I14</f>
        <v>-1.0178135625363538E-2</v>
      </c>
      <c r="M28" s="135"/>
    </row>
    <row r="29" spans="2:13" ht="15" customHeight="1" x14ac:dyDescent="0.25">
      <c r="D29" s="134"/>
      <c r="E29" s="134"/>
      <c r="F29" s="134"/>
      <c r="G29" s="134"/>
      <c r="H29" s="134"/>
      <c r="I29" s="134"/>
      <c r="M29" s="135"/>
    </row>
    <row r="30" spans="2:13" ht="15" customHeight="1" x14ac:dyDescent="0.25">
      <c r="B30" s="25" t="s">
        <v>153</v>
      </c>
      <c r="C30" s="25"/>
      <c r="D30" s="136"/>
      <c r="E30" s="136">
        <f>E23+E25+E26+E27</f>
        <v>47.360413727071645</v>
      </c>
      <c r="F30" s="136">
        <f>F23+F25+F26+F27</f>
        <v>46.033172801788986</v>
      </c>
      <c r="G30" s="136">
        <f>G23+G25+G26+G27</f>
        <v>52.675947097743631</v>
      </c>
      <c r="H30" s="136">
        <f>H23+H25+H26+H27</f>
        <v>59.297745263754713</v>
      </c>
      <c r="I30" s="136">
        <f>I23+I25+I26+I27</f>
        <v>65.726880712229956</v>
      </c>
      <c r="M30" s="136"/>
    </row>
    <row r="31" spans="2:13" ht="15" customHeight="1" x14ac:dyDescent="0.25">
      <c r="D31" s="134"/>
      <c r="E31" s="134"/>
      <c r="F31" s="134"/>
      <c r="G31" s="134"/>
      <c r="H31" s="134"/>
      <c r="I31" s="134"/>
      <c r="M31" s="135"/>
    </row>
    <row r="32" spans="2:13" ht="15" customHeight="1" x14ac:dyDescent="0.25">
      <c r="B32" t="s">
        <v>154</v>
      </c>
      <c r="C32" s="134"/>
      <c r="D32" s="134">
        <f>FSM!F142</f>
        <v>460.80000000000018</v>
      </c>
      <c r="E32" s="134">
        <f>FSM!G142</f>
        <v>480.14473838836375</v>
      </c>
      <c r="F32" s="134">
        <f>FSM!H142</f>
        <v>504.15197530778187</v>
      </c>
      <c r="G32" s="134">
        <f>FSM!I142</f>
        <v>524.31805432009332</v>
      </c>
      <c r="H32" s="134">
        <f>FSM!J142</f>
        <v>540.04759594969573</v>
      </c>
      <c r="I32" s="134">
        <f>FSM!K142</f>
        <v>550.84854786868982</v>
      </c>
    </row>
    <row r="33" spans="2:13" ht="15" customHeight="1" x14ac:dyDescent="0.25">
      <c r="B33" s="38" t="s">
        <v>89</v>
      </c>
      <c r="D33" s="114">
        <f t="shared" ref="D33:I33" si="4">D32/D14</f>
        <v>0.11191256830601097</v>
      </c>
      <c r="E33" s="114">
        <f t="shared" si="4"/>
        <v>0.11001013584180815</v>
      </c>
      <c r="F33" s="114">
        <f t="shared" si="4"/>
        <v>0.11001013584180813</v>
      </c>
      <c r="G33" s="114">
        <f t="shared" si="4"/>
        <v>0.11001013584180817</v>
      </c>
      <c r="H33" s="114">
        <f t="shared" si="4"/>
        <v>0.11001013584180809</v>
      </c>
      <c r="I33" s="114">
        <f t="shared" si="4"/>
        <v>0.11001013584180813</v>
      </c>
      <c r="J33" s="134"/>
    </row>
    <row r="34" spans="2:13" ht="15" customHeight="1" x14ac:dyDescent="0.25">
      <c r="E34" s="114"/>
      <c r="F34" s="114"/>
      <c r="G34" s="114"/>
      <c r="H34" s="114"/>
      <c r="I34" s="114"/>
      <c r="J34" s="134"/>
      <c r="K34" s="137"/>
      <c r="M34" s="114"/>
    </row>
    <row r="35" spans="2:13" ht="15" customHeight="1" x14ac:dyDescent="0.25">
      <c r="B35" s="118" t="str">
        <f>"Present value of UFCF on "&amp;TEXT(D7,"mmm dd, yyyy")&amp;" valuation date"</f>
        <v>Present value of UFCF on Mar 28, 2025 valuation date</v>
      </c>
      <c r="C35" s="119"/>
      <c r="D35" s="138"/>
      <c r="E35" s="119"/>
      <c r="F35" s="138"/>
      <c r="G35" s="138"/>
      <c r="H35" s="138"/>
      <c r="I35" s="138"/>
      <c r="J35" s="134"/>
    </row>
    <row r="36" spans="2:13" ht="17.25" customHeight="1" x14ac:dyDescent="0.25">
      <c r="B36" s="25"/>
      <c r="D36" s="139" t="s">
        <v>155</v>
      </c>
      <c r="E36" s="139" t="s">
        <v>156</v>
      </c>
      <c r="F36" s="140" t="s">
        <v>157</v>
      </c>
      <c r="G36" s="140" t="s">
        <v>158</v>
      </c>
      <c r="H36" s="140" t="s">
        <v>159</v>
      </c>
      <c r="I36" s="140" t="s">
        <v>160</v>
      </c>
      <c r="J36" s="134"/>
    </row>
    <row r="37" spans="2:13" ht="15" customHeight="1" x14ac:dyDescent="0.25">
      <c r="B37" t="s">
        <v>161</v>
      </c>
      <c r="D37" s="141">
        <f>D7</f>
        <v>45744</v>
      </c>
      <c r="E37" s="141">
        <f>IF($H$9=1,AVERAGE(E12,D37),E12)</f>
        <v>45928</v>
      </c>
      <c r="F37" s="141">
        <f>IF($H$9=1,AVERAGE(F12,E12),F12)</f>
        <v>46294.5</v>
      </c>
      <c r="G37" s="141">
        <f>IF($H$9=1,AVERAGE(G12,F12),G12)</f>
        <v>46660</v>
      </c>
      <c r="H37" s="141">
        <f>IF($H$9=1,AVERAGE(H12,G12),H12)</f>
        <v>47025.5</v>
      </c>
      <c r="I37" s="141">
        <f>IF($H$9=1,AVERAGE(I12,H12),I12)</f>
        <v>47390.5</v>
      </c>
      <c r="J37" s="134"/>
    </row>
    <row r="38" spans="2:13" ht="15" customHeight="1" x14ac:dyDescent="0.25">
      <c r="B38" t="s">
        <v>162</v>
      </c>
      <c r="C38" s="142">
        <f>D8</f>
        <v>1</v>
      </c>
      <c r="D38" s="135"/>
      <c r="E38" s="143">
        <f>E30*C38</f>
        <v>47.360413727071645</v>
      </c>
      <c r="F38" s="143">
        <f>F30</f>
        <v>46.033172801788986</v>
      </c>
      <c r="G38" s="143">
        <f>G30</f>
        <v>52.675947097743631</v>
      </c>
      <c r="H38" s="143">
        <f>H30</f>
        <v>59.297745263754713</v>
      </c>
      <c r="I38" s="143">
        <f>I30</f>
        <v>65.726880712229956</v>
      </c>
      <c r="J38" s="128"/>
    </row>
    <row r="39" spans="2:13" ht="15" customHeight="1" x14ac:dyDescent="0.25">
      <c r="B39" s="25" t="s">
        <v>163</v>
      </c>
      <c r="C39" s="144"/>
      <c r="D39" s="136"/>
      <c r="E39" s="136">
        <f>E38/(1+$H$4)^((E37-$D$37)/365)</f>
        <v>45.384311141066554</v>
      </c>
      <c r="F39" s="136">
        <f>F38/(1+$H$4)^((F37-$D$37)/365)</f>
        <v>40.522159814607214</v>
      </c>
      <c r="G39" s="136">
        <f>G38/(1+$H$4)^((G37-$D$37)/365)</f>
        <v>42.605536678823306</v>
      </c>
      <c r="H39" s="136">
        <f>H38/(1+$H$4)^((H37-$D$37)/365)</f>
        <v>44.068054638025075</v>
      </c>
      <c r="I39" s="136">
        <f>I38/(1+$H$4)^((I37-$D$37)/365)</f>
        <v>44.886013006384012</v>
      </c>
      <c r="J39" s="128"/>
    </row>
    <row r="41" spans="2:13" ht="15" customHeight="1" x14ac:dyDescent="0.25">
      <c r="B41" s="118" t="s">
        <v>164</v>
      </c>
      <c r="C41" s="118"/>
      <c r="E41" s="118" t="s">
        <v>165</v>
      </c>
      <c r="F41" s="119"/>
      <c r="G41" s="119"/>
      <c r="H41" s="119"/>
      <c r="I41" s="119"/>
    </row>
    <row r="42" spans="2:13" ht="15" customHeight="1" x14ac:dyDescent="0.25">
      <c r="B42" t="s">
        <v>166</v>
      </c>
      <c r="C42" s="145">
        <v>0.02</v>
      </c>
      <c r="E42" t="s">
        <v>167</v>
      </c>
      <c r="I42" s="135">
        <f>I16</f>
        <v>151.50272471002327</v>
      </c>
      <c r="J42" s="135"/>
    </row>
    <row r="43" spans="2:13" ht="15" customHeight="1" x14ac:dyDescent="0.25">
      <c r="B43" s="146" t="str">
        <f>YEAR(I12)&amp;" FCF x (1+g)"</f>
        <v>2030 FCF x (1+g)</v>
      </c>
      <c r="C43" s="135">
        <f>I38*(1+C42)</f>
        <v>67.041418326474556</v>
      </c>
      <c r="E43" t="s">
        <v>168</v>
      </c>
      <c r="I43" s="147">
        <v>6.9</v>
      </c>
      <c r="J43" s="148"/>
    </row>
    <row r="44" spans="2:13" ht="15" customHeight="1" x14ac:dyDescent="0.25">
      <c r="B44" t="str">
        <f>"Terminal value in "&amp;YEAR(I12)</f>
        <v>Terminal value in 2030</v>
      </c>
      <c r="C44" s="135">
        <f>C43/(H4-C42)</f>
        <v>982.68819690963744</v>
      </c>
      <c r="E44" t="str">
        <f>"Terminal value in "&amp;YEAR(I12)</f>
        <v>Terminal value in 2030</v>
      </c>
      <c r="I44" s="135">
        <f>I42*I43</f>
        <v>1045.3688004991607</v>
      </c>
      <c r="J44" s="135"/>
    </row>
    <row r="45" spans="2:13" ht="15" customHeight="1" x14ac:dyDescent="0.25">
      <c r="B45" t="s">
        <v>169</v>
      </c>
      <c r="C45" s="135">
        <f>C44/(1+H4)^((I37-D37)/365)</f>
        <v>671.09460710340056</v>
      </c>
      <c r="E45" t="s">
        <v>169</v>
      </c>
      <c r="I45" s="135">
        <f>I44/(1+H4)^((I37-D37)/365)</f>
        <v>713.90026526760778</v>
      </c>
      <c r="J45" s="135"/>
    </row>
    <row r="46" spans="2:13" ht="15" customHeight="1" x14ac:dyDescent="0.25">
      <c r="B46" t="s">
        <v>170</v>
      </c>
      <c r="C46" s="128">
        <f>SUM(E39:I39)</f>
        <v>217.46607527890617</v>
      </c>
      <c r="E46" t="s">
        <v>170</v>
      </c>
      <c r="I46" s="135">
        <f>C46</f>
        <v>217.46607527890617</v>
      </c>
      <c r="J46" s="135"/>
    </row>
    <row r="47" spans="2:13" ht="15" customHeight="1" x14ac:dyDescent="0.25">
      <c r="B47" s="25" t="s">
        <v>171</v>
      </c>
      <c r="C47" s="149">
        <f>C45+C46</f>
        <v>888.56068238230671</v>
      </c>
      <c r="E47" s="25" t="s">
        <v>172</v>
      </c>
      <c r="I47" s="149">
        <f>I45+I46</f>
        <v>931.36634054651392</v>
      </c>
      <c r="J47" s="149"/>
    </row>
    <row r="49" spans="2:10" ht="15" customHeight="1" x14ac:dyDescent="0.25">
      <c r="B49" s="150" t="s">
        <v>173</v>
      </c>
      <c r="C49" s="151">
        <f>C45/C47</f>
        <v>0.75526029950384355</v>
      </c>
      <c r="E49" s="150" t="s">
        <v>173</v>
      </c>
      <c r="I49" s="151">
        <f>I45/I47</f>
        <v>0.76650855220803893</v>
      </c>
      <c r="J49" s="151"/>
    </row>
    <row r="50" spans="2:10" ht="15" customHeight="1" x14ac:dyDescent="0.25">
      <c r="B50" s="150" t="s">
        <v>174</v>
      </c>
      <c r="C50" s="151">
        <f>1-C49</f>
        <v>0.24473970049615645</v>
      </c>
      <c r="E50" s="150" t="s">
        <v>175</v>
      </c>
      <c r="G50" s="152"/>
      <c r="I50" s="153">
        <f>1-I49</f>
        <v>0.23349144779196107</v>
      </c>
      <c r="J50" s="153"/>
    </row>
    <row r="51" spans="2:10" ht="15" customHeight="1" x14ac:dyDescent="0.25">
      <c r="B51" s="150" t="s">
        <v>176</v>
      </c>
      <c r="C51" s="154">
        <f>C44/I16</f>
        <v>6.4862740837863209</v>
      </c>
      <c r="E51" t="s">
        <v>177</v>
      </c>
      <c r="I51" s="155">
        <f>(H4-I38/I44)/(1+I38/I44)</f>
        <v>2.3848656615777158E-2</v>
      </c>
      <c r="J51" s="155"/>
    </row>
    <row r="52" spans="2:10" ht="15" customHeight="1" x14ac:dyDescent="0.25">
      <c r="B52" s="150"/>
      <c r="C52" s="122"/>
      <c r="D52" s="154"/>
      <c r="I52" s="155"/>
      <c r="J52" s="155"/>
    </row>
    <row r="53" spans="2:10" ht="15" customHeight="1" x14ac:dyDescent="0.25">
      <c r="B53" s="118" t="s">
        <v>178</v>
      </c>
      <c r="C53" s="119"/>
      <c r="E53" s="118" t="s">
        <v>7</v>
      </c>
      <c r="F53" s="119"/>
      <c r="G53" s="118"/>
      <c r="H53" s="119"/>
      <c r="I53" s="119"/>
    </row>
    <row r="54" spans="2:10" ht="15" customHeight="1" x14ac:dyDescent="0.25">
      <c r="B54" t="s">
        <v>179</v>
      </c>
      <c r="C54" s="156"/>
    </row>
    <row r="55" spans="2:10" ht="15" customHeight="1" x14ac:dyDescent="0.25">
      <c r="B55" s="33" t="s">
        <v>180</v>
      </c>
      <c r="C55" s="108"/>
      <c r="G55" s="157" t="s">
        <v>179</v>
      </c>
      <c r="H55" s="158" t="s">
        <v>181</v>
      </c>
      <c r="I55" s="158" t="s">
        <v>182</v>
      </c>
    </row>
    <row r="56" spans="2:10" ht="15" customHeight="1" x14ac:dyDescent="0.25">
      <c r="B56" s="159" t="s">
        <v>183</v>
      </c>
      <c r="C56" s="160"/>
      <c r="E56" t="s">
        <v>184</v>
      </c>
      <c r="G56" s="11"/>
      <c r="H56" s="108"/>
      <c r="I56" s="161">
        <v>35000110</v>
      </c>
      <c r="J56" s="162"/>
    </row>
    <row r="57" spans="2:10" ht="15" customHeight="1" x14ac:dyDescent="0.25">
      <c r="B57" s="38" t="s">
        <v>185</v>
      </c>
      <c r="C57" s="163">
        <f>FSM!F159</f>
        <v>762.7</v>
      </c>
      <c r="E57" s="33" t="s">
        <v>186</v>
      </c>
      <c r="G57" s="11"/>
      <c r="H57" s="108"/>
      <c r="I57" s="34"/>
      <c r="J57" s="164"/>
    </row>
    <row r="58" spans="2:10" ht="15" customHeight="1" x14ac:dyDescent="0.25">
      <c r="B58" s="38" t="s">
        <v>187</v>
      </c>
      <c r="C58" s="165"/>
      <c r="E58" s="33" t="s">
        <v>188</v>
      </c>
      <c r="G58" s="108"/>
      <c r="H58" s="108"/>
      <c r="I58" s="34"/>
    </row>
    <row r="59" spans="2:10" ht="15" customHeight="1" x14ac:dyDescent="0.25">
      <c r="B59" s="38" t="s">
        <v>189</v>
      </c>
      <c r="C59" s="166">
        <v>0.1</v>
      </c>
      <c r="E59" t="s">
        <v>187</v>
      </c>
      <c r="G59" s="108"/>
      <c r="H59" s="108"/>
      <c r="I59" s="34"/>
    </row>
    <row r="60" spans="2:10" ht="15" customHeight="1" x14ac:dyDescent="0.25">
      <c r="B60" s="167" t="s">
        <v>190</v>
      </c>
      <c r="C60" s="163"/>
      <c r="E60" t="s">
        <v>191</v>
      </c>
      <c r="G60" s="108"/>
      <c r="H60" s="108"/>
      <c r="I60" s="34"/>
    </row>
    <row r="61" spans="2:10" ht="15" customHeight="1" x14ac:dyDescent="0.25">
      <c r="B61" s="159" t="s">
        <v>192</v>
      </c>
      <c r="C61" s="163"/>
      <c r="E61" s="30" t="s">
        <v>193</v>
      </c>
      <c r="I61" s="168">
        <f>SUM(I56:I60)</f>
        <v>35000110</v>
      </c>
      <c r="J61" s="169"/>
    </row>
    <row r="62" spans="2:10" ht="15" customHeight="1" x14ac:dyDescent="0.25">
      <c r="B62" s="170" t="s">
        <v>194</v>
      </c>
      <c r="C62" s="163">
        <f>FSM!F49</f>
        <v>123.8</v>
      </c>
      <c r="J62" s="171"/>
    </row>
    <row r="63" spans="2:10" ht="15" customHeight="1" x14ac:dyDescent="0.25">
      <c r="B63" s="170" t="s">
        <v>195</v>
      </c>
      <c r="C63" s="163">
        <f>FSM!F55</f>
        <v>14.9</v>
      </c>
      <c r="J63" s="171"/>
    </row>
    <row r="64" spans="2:10" ht="15" customHeight="1" x14ac:dyDescent="0.25">
      <c r="B64" s="170" t="s">
        <v>196</v>
      </c>
      <c r="C64" s="163"/>
      <c r="J64" s="172"/>
    </row>
    <row r="65" spans="2:6" ht="15" customHeight="1" x14ac:dyDescent="0.25">
      <c r="B65" s="173" t="s">
        <v>178</v>
      </c>
      <c r="C65" s="174">
        <f>SUM(C57:C60)-SUM(C62:C64)</f>
        <v>624.10000000000014</v>
      </c>
    </row>
    <row r="67" spans="2:6" ht="15" customHeight="1" x14ac:dyDescent="0.25">
      <c r="B67" s="118" t="s">
        <v>197</v>
      </c>
      <c r="C67" s="119"/>
      <c r="D67" s="119"/>
    </row>
    <row r="68" spans="2:6" ht="17.25" customHeight="1" x14ac:dyDescent="0.25">
      <c r="C68" s="158" t="s">
        <v>198</v>
      </c>
      <c r="D68" s="158" t="s">
        <v>26</v>
      </c>
    </row>
    <row r="69" spans="2:6" ht="15" customHeight="1" x14ac:dyDescent="0.25">
      <c r="B69" t="s">
        <v>199</v>
      </c>
      <c r="C69" s="175">
        <f>C47</f>
        <v>888.56068238230671</v>
      </c>
      <c r="D69" s="175">
        <f>I47</f>
        <v>931.36634054651392</v>
      </c>
    </row>
    <row r="70" spans="2:6" ht="15" customHeight="1" x14ac:dyDescent="0.25">
      <c r="B70" t="s">
        <v>178</v>
      </c>
      <c r="C70" s="176">
        <f>$C$65</f>
        <v>624.10000000000014</v>
      </c>
      <c r="D70" s="176">
        <f>$C$65</f>
        <v>624.10000000000014</v>
      </c>
    </row>
    <row r="71" spans="2:6" ht="15" customHeight="1" x14ac:dyDescent="0.25">
      <c r="B71" t="s">
        <v>200</v>
      </c>
      <c r="C71" s="175">
        <f>C69-C70</f>
        <v>264.46068238230657</v>
      </c>
      <c r="D71" s="175">
        <f>D69-D70</f>
        <v>307.26634054651379</v>
      </c>
    </row>
    <row r="72" spans="2:6" ht="15" customHeight="1" x14ac:dyDescent="0.25">
      <c r="B72" t="s">
        <v>7</v>
      </c>
      <c r="C72" s="175">
        <f>$I$61/1000000</f>
        <v>35.000109999999999</v>
      </c>
      <c r="D72" s="175">
        <f>$I$61/1000000</f>
        <v>35.000109999999999</v>
      </c>
    </row>
    <row r="73" spans="2:6" ht="15" customHeight="1" x14ac:dyDescent="0.25">
      <c r="B73" s="25" t="s">
        <v>201</v>
      </c>
      <c r="C73" s="177">
        <f>C71/C72</f>
        <v>7.5559957492221193</v>
      </c>
      <c r="D73" s="177">
        <f>D71/D72</f>
        <v>8.7790107101524484</v>
      </c>
    </row>
    <row r="75" spans="2:6" ht="17.25" customHeight="1" x14ac:dyDescent="0.25">
      <c r="C75" s="3" t="s">
        <v>202</v>
      </c>
      <c r="D75" s="3"/>
    </row>
    <row r="76" spans="2:6" ht="15" customHeight="1" x14ac:dyDescent="0.25">
      <c r="B76" s="157"/>
      <c r="C76" s="158" t="s">
        <v>198</v>
      </c>
      <c r="D76" s="158" t="s">
        <v>26</v>
      </c>
    </row>
    <row r="77" spans="2:6" ht="15" customHeight="1" x14ac:dyDescent="0.25">
      <c r="B77" t="s">
        <v>203</v>
      </c>
      <c r="C77" s="178">
        <f>C69/$C$14</f>
        <v>0.21580101575769439</v>
      </c>
      <c r="D77" s="178">
        <f>D69/$C$14</f>
        <v>0.22619704688439926</v>
      </c>
    </row>
    <row r="78" spans="2:6" ht="15" customHeight="1" x14ac:dyDescent="0.25">
      <c r="B78" t="s">
        <v>204</v>
      </c>
      <c r="C78" s="179">
        <f>C69/$C$16</f>
        <v>6.2530660266172182</v>
      </c>
      <c r="D78" s="179">
        <f>D69/$C$16</f>
        <v>6.5543021854082619</v>
      </c>
    </row>
    <row r="79" spans="2:6" ht="15" customHeight="1" x14ac:dyDescent="0.25">
      <c r="B79" s="128" t="s">
        <v>205</v>
      </c>
      <c r="C79" s="179">
        <f>C69/$C$18</f>
        <v>10.770432513724931</v>
      </c>
      <c r="D79" s="179">
        <f>D69/$C$18</f>
        <v>11.28928897632138</v>
      </c>
    </row>
    <row r="80" spans="2:6" ht="17.25" customHeight="1" x14ac:dyDescent="0.25">
      <c r="B80" s="128"/>
      <c r="C80" s="3" t="s">
        <v>206</v>
      </c>
      <c r="D80" s="3"/>
      <c r="E80" s="179"/>
      <c r="F80" s="179"/>
    </row>
    <row r="81" spans="2:17" ht="15" customHeight="1" x14ac:dyDescent="0.25">
      <c r="B81" s="157"/>
      <c r="C81" s="158" t="s">
        <v>198</v>
      </c>
      <c r="D81" s="158" t="s">
        <v>26</v>
      </c>
      <c r="E81" s="179"/>
      <c r="F81" s="179"/>
    </row>
    <row r="82" spans="2:17" ht="15" customHeight="1" x14ac:dyDescent="0.25">
      <c r="B82" t="s">
        <v>203</v>
      </c>
      <c r="C82" s="178">
        <f>C69/$E$14</f>
        <v>0.2035858639223532</v>
      </c>
      <c r="D82" s="178">
        <f>D69/$E$14</f>
        <v>0.21339344045698042</v>
      </c>
      <c r="E82" s="179"/>
      <c r="F82" s="179"/>
    </row>
    <row r="83" spans="2:17" ht="15" customHeight="1" x14ac:dyDescent="0.25">
      <c r="B83" t="s">
        <v>204</v>
      </c>
      <c r="C83" s="179">
        <f>C69/$E$16</f>
        <v>6.7286305598120171</v>
      </c>
      <c r="D83" s="179">
        <f>D69/$E$16</f>
        <v>7.0527766371337544</v>
      </c>
      <c r="E83" s="179"/>
      <c r="F83" s="179"/>
    </row>
    <row r="84" spans="2:17" ht="15" customHeight="1" x14ac:dyDescent="0.25">
      <c r="B84" s="128" t="s">
        <v>205</v>
      </c>
      <c r="C84" s="179">
        <f>C69/$E$18</f>
        <v>10.614213725164007</v>
      </c>
      <c r="D84" s="179">
        <f>D69/$E$18</f>
        <v>11.125544479956195</v>
      </c>
      <c r="E84" s="179"/>
      <c r="F84" s="179"/>
    </row>
    <row r="86" spans="2:17" ht="15" customHeight="1" x14ac:dyDescent="0.25">
      <c r="B86" s="118" t="s">
        <v>207</v>
      </c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</row>
    <row r="87" spans="2:17" ht="15" customHeight="1" x14ac:dyDescent="0.25">
      <c r="B87" s="25"/>
    </row>
    <row r="88" spans="2:17" ht="17.25" customHeight="1" x14ac:dyDescent="0.25">
      <c r="B88" s="180"/>
      <c r="C88" s="25"/>
      <c r="D88" s="2" t="s">
        <v>201</v>
      </c>
      <c r="E88" s="2"/>
      <c r="F88" s="2"/>
      <c r="G88" s="2"/>
      <c r="H88" s="2"/>
      <c r="I88" s="2"/>
      <c r="J88" s="2"/>
      <c r="L88" s="2" t="s">
        <v>208</v>
      </c>
      <c r="M88" s="2"/>
      <c r="N88" s="2"/>
      <c r="O88" s="2"/>
      <c r="P88" s="2"/>
      <c r="Q88" s="2"/>
    </row>
    <row r="89" spans="2:17" ht="15" customHeight="1" x14ac:dyDescent="0.25">
      <c r="B89" s="180"/>
      <c r="D89" s="33"/>
      <c r="E89" s="1" t="s">
        <v>209</v>
      </c>
      <c r="F89" s="1"/>
      <c r="G89" s="1"/>
      <c r="H89" s="1"/>
      <c r="I89" s="1"/>
      <c r="J89" s="1"/>
      <c r="L89" s="1" t="s">
        <v>209</v>
      </c>
      <c r="M89" s="1"/>
      <c r="N89" s="1"/>
      <c r="O89" s="1"/>
      <c r="P89" s="1"/>
      <c r="Q89" s="1"/>
    </row>
    <row r="90" spans="2:17" ht="15" customHeight="1" x14ac:dyDescent="0.25">
      <c r="B90" s="180"/>
      <c r="C90" s="181"/>
      <c r="D90" s="182">
        <f>C73</f>
        <v>7.5559957492221193</v>
      </c>
      <c r="E90" s="183">
        <f>F90-0.005</f>
        <v>9.9999999999999985E-3</v>
      </c>
      <c r="F90" s="184">
        <f>G90-0.005</f>
        <v>1.4999999999999999E-2</v>
      </c>
      <c r="G90" s="185">
        <f>$C$42</f>
        <v>0.02</v>
      </c>
      <c r="H90" s="184">
        <f>G90+0.005</f>
        <v>2.5000000000000001E-2</v>
      </c>
      <c r="I90" s="186">
        <f>H90+0.005</f>
        <v>3.0000000000000002E-2</v>
      </c>
      <c r="K90" s="187"/>
      <c r="L90" s="188">
        <f>C78</f>
        <v>6.2530660266172182</v>
      </c>
      <c r="M90" s="183">
        <f>N90-0.005</f>
        <v>9.9999999999999985E-3</v>
      </c>
      <c r="N90" s="184">
        <f>O90-0.005</f>
        <v>1.4999999999999999E-2</v>
      </c>
      <c r="O90" s="185">
        <f>$C$42</f>
        <v>0.02</v>
      </c>
      <c r="P90" s="184">
        <f>O90+0.005</f>
        <v>2.5000000000000001E-2</v>
      </c>
      <c r="Q90" s="186">
        <f>P90+0.005</f>
        <v>3.0000000000000002E-2</v>
      </c>
    </row>
    <row r="91" spans="2:17" ht="15" customHeight="1" x14ac:dyDescent="0.25">
      <c r="B91" s="180"/>
      <c r="D91" s="189">
        <f>D92+0.01</f>
        <v>0.10822247233385597</v>
      </c>
      <c r="E91" s="190">
        <f t="shared" ref="E91:I95" si="5">(SUMPRODUCT($E$38:$I$38/(1+$D91)^(($E$37:$I$37-$D$37)/365))+($I$38*(1+E$90)/($D91-E$90))/(1+$D91)^(($I$37-$D$37)/365)-$C$65)/($I$61/1000000)</f>
        <v>0.25232376905523168</v>
      </c>
      <c r="F91" s="190">
        <f t="shared" si="5"/>
        <v>0.96719651931590367</v>
      </c>
      <c r="G91" s="190">
        <f t="shared" si="5"/>
        <v>1.763099956129478</v>
      </c>
      <c r="H91" s="190">
        <f t="shared" si="5"/>
        <v>2.6546390325117377</v>
      </c>
      <c r="I91" s="190">
        <f t="shared" si="5"/>
        <v>3.660152910480067</v>
      </c>
      <c r="J91" s="191"/>
      <c r="L91" s="189">
        <f>L92+0.01</f>
        <v>0.10822247233385597</v>
      </c>
      <c r="M91" s="192">
        <f t="shared" ref="M91:Q95" si="6">(SUMPRODUCT($E$38:$I$38/(1+$L91)^(($E$37:$I$37-$D$37)/365))+($I$38*(1+M$90)/($L91-M$90))/(1+$L91)^(($I$37-$D$37)/365))/$C$16</f>
        <v>4.4541263875619128</v>
      </c>
      <c r="N91" s="192">
        <f t="shared" si="6"/>
        <v>4.6302039730307802</v>
      </c>
      <c r="O91" s="192">
        <f t="shared" si="6"/>
        <v>4.8262399184062428</v>
      </c>
      <c r="P91" s="192">
        <f t="shared" si="6"/>
        <v>5.0458315140619607</v>
      </c>
      <c r="Q91" s="192">
        <f t="shared" si="6"/>
        <v>5.2934958091739803</v>
      </c>
    </row>
    <row r="92" spans="2:17" ht="15" customHeight="1" x14ac:dyDescent="0.25">
      <c r="B92" s="180"/>
      <c r="D92" s="189">
        <f>D93+0.01</f>
        <v>9.8222472333855976E-2</v>
      </c>
      <c r="E92" s="190">
        <f t="shared" si="5"/>
        <v>2.3292892675224199</v>
      </c>
      <c r="F92" s="190">
        <f t="shared" si="5"/>
        <v>3.2496577036169954</v>
      </c>
      <c r="G92" s="190">
        <f t="shared" si="5"/>
        <v>4.2876865010673804</v>
      </c>
      <c r="H92" s="190">
        <f t="shared" si="5"/>
        <v>5.4674789899590284</v>
      </c>
      <c r="I92" s="190">
        <f t="shared" si="5"/>
        <v>6.820204597298547</v>
      </c>
      <c r="J92" s="191"/>
      <c r="L92" s="189">
        <f>L93+0.01</f>
        <v>9.8222472333855976E-2</v>
      </c>
      <c r="M92" s="192">
        <f t="shared" si="6"/>
        <v>4.9656958521119234</v>
      </c>
      <c r="N92" s="192">
        <f t="shared" si="6"/>
        <v>5.1923882975998765</v>
      </c>
      <c r="O92" s="192">
        <f t="shared" si="6"/>
        <v>5.4480612187394337</v>
      </c>
      <c r="P92" s="192">
        <f t="shared" si="6"/>
        <v>5.7386514149982766</v>
      </c>
      <c r="Q92" s="192">
        <f t="shared" si="6"/>
        <v>6.0718361092748419</v>
      </c>
    </row>
    <row r="93" spans="2:17" ht="15" customHeight="1" x14ac:dyDescent="0.25">
      <c r="B93" s="180"/>
      <c r="C93" s="181" t="s">
        <v>210</v>
      </c>
      <c r="D93" s="193">
        <f>WACC!$E$21</f>
        <v>8.8222472333855981E-2</v>
      </c>
      <c r="E93" s="190">
        <f t="shared" si="5"/>
        <v>4.9408233769210375</v>
      </c>
      <c r="F93" s="190">
        <f t="shared" si="5"/>
        <v>6.1591209782646708</v>
      </c>
      <c r="G93" s="190">
        <f t="shared" si="5"/>
        <v>7.5559957492221193</v>
      </c>
      <c r="H93" s="190">
        <f t="shared" si="5"/>
        <v>9.1738164464288587</v>
      </c>
      <c r="I93" s="190">
        <f t="shared" si="5"/>
        <v>11.069505917041504</v>
      </c>
      <c r="J93" s="191"/>
      <c r="K93" s="181" t="s">
        <v>210</v>
      </c>
      <c r="L93" s="193">
        <f>WACC!$E$21</f>
        <v>8.8222472333855981E-2</v>
      </c>
      <c r="M93" s="192">
        <f t="shared" si="6"/>
        <v>5.6089328760225756</v>
      </c>
      <c r="N93" s="192">
        <f t="shared" si="6"/>
        <v>5.9090071199336469</v>
      </c>
      <c r="O93" s="192">
        <f t="shared" si="6"/>
        <v>6.2530660266172182</v>
      </c>
      <c r="P93" s="192">
        <f t="shared" si="6"/>
        <v>6.6515452832147739</v>
      </c>
      <c r="Q93" s="192">
        <f t="shared" si="6"/>
        <v>7.118465339494044</v>
      </c>
    </row>
    <row r="94" spans="2:17" ht="15" customHeight="1" x14ac:dyDescent="0.25">
      <c r="B94" s="180"/>
      <c r="D94" s="189">
        <f>D93-0.01</f>
        <v>7.8222472333855986E-2</v>
      </c>
      <c r="E94" s="190">
        <f t="shared" si="5"/>
        <v>8.3221949804407078</v>
      </c>
      <c r="F94" s="190">
        <f t="shared" si="5"/>
        <v>9.9933121948313879</v>
      </c>
      <c r="G94" s="190">
        <f t="shared" si="5"/>
        <v>11.95145212526344</v>
      </c>
      <c r="H94" s="190">
        <f t="shared" si="5"/>
        <v>14.277508058948579</v>
      </c>
      <c r="I94" s="190">
        <f t="shared" si="5"/>
        <v>17.085923320372316</v>
      </c>
      <c r="J94" s="191"/>
      <c r="L94" s="189">
        <f>L93-0.01</f>
        <v>7.8222472333855986E-2</v>
      </c>
      <c r="M94" s="192">
        <f t="shared" si="6"/>
        <v>6.4417856422017792</v>
      </c>
      <c r="N94" s="192">
        <f t="shared" si="6"/>
        <v>6.8533921610375801</v>
      </c>
      <c r="O94" s="192">
        <f t="shared" si="6"/>
        <v>7.3356941523149501</v>
      </c>
      <c r="P94" s="192">
        <f t="shared" si="6"/>
        <v>7.908616133631857</v>
      </c>
      <c r="Q94" s="192">
        <f t="shared" si="6"/>
        <v>8.6003462045362173</v>
      </c>
    </row>
    <row r="95" spans="2:17" ht="15" customHeight="1" x14ac:dyDescent="0.25">
      <c r="B95" s="194" t="s">
        <v>211</v>
      </c>
      <c r="D95" s="195">
        <f>D94-0.01</f>
        <v>6.8222472333855991E-2</v>
      </c>
      <c r="E95" s="190">
        <f t="shared" si="5"/>
        <v>12.870320808676432</v>
      </c>
      <c r="F95" s="190">
        <f t="shared" si="5"/>
        <v>15.273730692294007</v>
      </c>
      <c r="G95" s="190">
        <f t="shared" si="5"/>
        <v>18.175540962141937</v>
      </c>
      <c r="H95" s="190">
        <f t="shared" si="5"/>
        <v>21.748717332344761</v>
      </c>
      <c r="I95" s="190">
        <f t="shared" si="5"/>
        <v>26.256730240329034</v>
      </c>
      <c r="J95" s="191"/>
      <c r="L95" s="195">
        <f>L94-0.01</f>
        <v>6.8222472333855991E-2</v>
      </c>
      <c r="M95" s="192">
        <f t="shared" si="6"/>
        <v>7.5620171994297269</v>
      </c>
      <c r="N95" s="192">
        <f t="shared" si="6"/>
        <v>8.1539919376542329</v>
      </c>
      <c r="O95" s="192">
        <f t="shared" si="6"/>
        <v>8.8687257775121306</v>
      </c>
      <c r="P95" s="192">
        <f t="shared" si="6"/>
        <v>9.7488212455381653</v>
      </c>
      <c r="Q95" s="192">
        <f t="shared" si="6"/>
        <v>10.859172742096009</v>
      </c>
    </row>
    <row r="96" spans="2:17" ht="15" customHeight="1" x14ac:dyDescent="0.25">
      <c r="B96" s="194" t="s">
        <v>212</v>
      </c>
      <c r="E96" s="196"/>
      <c r="F96" s="196"/>
      <c r="G96" s="196"/>
      <c r="H96" s="196"/>
      <c r="I96" s="196"/>
      <c r="J96" s="196"/>
    </row>
    <row r="97" spans="2:17" ht="17.25" customHeight="1" x14ac:dyDescent="0.25">
      <c r="B97" s="180"/>
      <c r="D97" s="2" t="s">
        <v>201</v>
      </c>
      <c r="E97" s="2"/>
      <c r="F97" s="2"/>
      <c r="G97" s="2"/>
      <c r="H97" s="2"/>
      <c r="I97" s="2"/>
      <c r="J97" s="2"/>
      <c r="L97" s="2" t="s">
        <v>208</v>
      </c>
      <c r="M97" s="2"/>
      <c r="N97" s="2"/>
      <c r="O97" s="2"/>
      <c r="P97" s="2"/>
      <c r="Q97" s="2"/>
    </row>
    <row r="98" spans="2:17" ht="15" customHeight="1" x14ac:dyDescent="0.25">
      <c r="B98" s="180"/>
      <c r="E98" s="1" t="s">
        <v>213</v>
      </c>
      <c r="F98" s="1"/>
      <c r="G98" s="1"/>
      <c r="H98" s="1"/>
      <c r="I98" s="1"/>
      <c r="J98" s="1"/>
      <c r="M98" s="1" t="s">
        <v>213</v>
      </c>
      <c r="N98" s="1"/>
      <c r="O98" s="1"/>
      <c r="P98" s="1"/>
      <c r="Q98" s="1"/>
    </row>
    <row r="99" spans="2:17" ht="15" customHeight="1" x14ac:dyDescent="0.25">
      <c r="B99" s="180"/>
      <c r="D99" s="197">
        <f>D73</f>
        <v>8.7790107101524484</v>
      </c>
      <c r="E99" s="198">
        <f>+F99-0.5</f>
        <v>5.9</v>
      </c>
      <c r="F99" s="198">
        <f>+G99-0.5</f>
        <v>6.4</v>
      </c>
      <c r="G99" s="199">
        <f>$I$43</f>
        <v>6.9</v>
      </c>
      <c r="H99" s="198">
        <f>+G99+0.5</f>
        <v>7.4</v>
      </c>
      <c r="I99" s="200">
        <f>+H99+0.5</f>
        <v>7.9</v>
      </c>
      <c r="J99" s="201"/>
      <c r="L99" s="188">
        <f>D78</f>
        <v>6.5543021854082619</v>
      </c>
      <c r="M99" s="198">
        <f>+N99-0.5</f>
        <v>5.9</v>
      </c>
      <c r="N99" s="198">
        <f>+O99-0.5</f>
        <v>6.4</v>
      </c>
      <c r="O99" s="199">
        <f>$I$43</f>
        <v>6.9</v>
      </c>
      <c r="P99" s="198">
        <f>+O99+0.5</f>
        <v>7.4</v>
      </c>
      <c r="Q99" s="200">
        <f>+P99+0.5</f>
        <v>7.9</v>
      </c>
    </row>
    <row r="100" spans="2:17" ht="15" customHeight="1" x14ac:dyDescent="0.25">
      <c r="B100" s="180"/>
      <c r="D100" s="189">
        <f>D101+0.01</f>
        <v>0.10822247233385597</v>
      </c>
      <c r="E100" s="190">
        <f t="shared" ref="E100:I104" si="7">(SUMPRODUCT($E$38:$I$38/(1+$D100)^(($E$37:$I$37-$D$37)/365))+($I$16*E$99)/(1+$D100)^(($I$37-$D$37)/365)-$C$65)/($I$61/1000000)</f>
        <v>4.1706337497393449</v>
      </c>
      <c r="F100" s="190">
        <f t="shared" si="7"/>
        <v>5.532111944125405</v>
      </c>
      <c r="G100" s="190">
        <f t="shared" si="7"/>
        <v>6.8935901385114651</v>
      </c>
      <c r="H100" s="190">
        <f t="shared" si="7"/>
        <v>8.2550683328975261</v>
      </c>
      <c r="I100" s="190">
        <f t="shared" si="7"/>
        <v>9.6165465272835799</v>
      </c>
      <c r="J100" s="191"/>
      <c r="L100" s="189">
        <f>L101+0.01</f>
        <v>0.10822247233385597</v>
      </c>
      <c r="M100" s="192">
        <f t="shared" ref="M100:Q104" si="8">(SUMPRODUCT($E$38:$I$38/(1+$L100)^(($E$37:$I$37-$D$37)/365))+($I$16*M$99)/(1+$L100)^(($I$37-$D$37)/365))/$C$16</f>
        <v>5.4192304012004904</v>
      </c>
      <c r="N100" s="192">
        <f t="shared" si="8"/>
        <v>5.7545709118698323</v>
      </c>
      <c r="O100" s="192">
        <f t="shared" si="8"/>
        <v>6.0899114225391742</v>
      </c>
      <c r="P100" s="192">
        <f t="shared" si="8"/>
        <v>6.4252519332085161</v>
      </c>
      <c r="Q100" s="192">
        <f t="shared" si="8"/>
        <v>6.7605924438778571</v>
      </c>
    </row>
    <row r="101" spans="2:17" ht="15" customHeight="1" x14ac:dyDescent="0.25">
      <c r="B101" s="180"/>
      <c r="D101" s="189">
        <f>D102+0.01</f>
        <v>9.8222472333855976E-2</v>
      </c>
      <c r="E101" s="190">
        <f t="shared" si="7"/>
        <v>4.9767952015361416</v>
      </c>
      <c r="F101" s="190">
        <f t="shared" si="7"/>
        <v>6.3950969859394062</v>
      </c>
      <c r="G101" s="190">
        <f t="shared" si="7"/>
        <v>7.8133987703426673</v>
      </c>
      <c r="H101" s="190">
        <f t="shared" si="7"/>
        <v>9.2317005547459292</v>
      </c>
      <c r="I101" s="190">
        <f t="shared" si="7"/>
        <v>10.650002339149186</v>
      </c>
      <c r="J101" s="191"/>
      <c r="L101" s="189">
        <f>L102+0.01</f>
        <v>9.8222472333855976E-2</v>
      </c>
      <c r="M101" s="192">
        <f t="shared" si="8"/>
        <v>5.6177929591923803</v>
      </c>
      <c r="N101" s="192">
        <f t="shared" si="8"/>
        <v>5.9671294719813357</v>
      </c>
      <c r="O101" s="192">
        <f t="shared" si="8"/>
        <v>6.3164659847702902</v>
      </c>
      <c r="P101" s="192">
        <f t="shared" si="8"/>
        <v>6.6658024975592447</v>
      </c>
      <c r="Q101" s="192">
        <f t="shared" si="8"/>
        <v>7.0151390103481983</v>
      </c>
    </row>
    <row r="102" spans="2:17" ht="15" customHeight="1" x14ac:dyDescent="0.25">
      <c r="B102" s="180"/>
      <c r="C102" s="181" t="s">
        <v>210</v>
      </c>
      <c r="D102" s="193">
        <f>WACC!$E$21</f>
        <v>8.8222472333855981E-2</v>
      </c>
      <c r="E102" s="190">
        <f t="shared" si="7"/>
        <v>5.8229112418786935</v>
      </c>
      <c r="F102" s="190">
        <f t="shared" si="7"/>
        <v>7.3009609760155705</v>
      </c>
      <c r="G102" s="190">
        <f t="shared" si="7"/>
        <v>8.7790107101524484</v>
      </c>
      <c r="H102" s="190">
        <f t="shared" si="7"/>
        <v>10.257060444289325</v>
      </c>
      <c r="I102" s="190">
        <f t="shared" si="7"/>
        <v>11.735110178426199</v>
      </c>
      <c r="J102" s="191"/>
      <c r="K102" s="181" t="s">
        <v>210</v>
      </c>
      <c r="L102" s="193">
        <f>WACC!$E$21</f>
        <v>8.8222472333855981E-2</v>
      </c>
      <c r="M102" s="192">
        <f t="shared" si="8"/>
        <v>5.8261965797747433</v>
      </c>
      <c r="N102" s="192">
        <f t="shared" si="8"/>
        <v>6.1902493825915021</v>
      </c>
      <c r="O102" s="192">
        <f t="shared" si="8"/>
        <v>6.5543021854082619</v>
      </c>
      <c r="P102" s="192">
        <f t="shared" si="8"/>
        <v>6.9183549882250208</v>
      </c>
      <c r="Q102" s="192">
        <f t="shared" si="8"/>
        <v>7.2824077910417788</v>
      </c>
    </row>
    <row r="103" spans="2:17" ht="15" customHeight="1" x14ac:dyDescent="0.25">
      <c r="B103" s="180"/>
      <c r="D103" s="189">
        <f>D102-0.01</f>
        <v>7.8222472333855986E-2</v>
      </c>
      <c r="E103" s="190">
        <f t="shared" si="7"/>
        <v>6.7113884217870003</v>
      </c>
      <c r="F103" s="190">
        <f t="shared" si="7"/>
        <v>8.2522899445668028</v>
      </c>
      <c r="G103" s="190">
        <f t="shared" si="7"/>
        <v>9.7931914673466043</v>
      </c>
      <c r="H103" s="190">
        <f t="shared" si="7"/>
        <v>11.334092990126406</v>
      </c>
      <c r="I103" s="190">
        <f t="shared" si="7"/>
        <v>12.874994512906202</v>
      </c>
      <c r="J103" s="191"/>
      <c r="L103" s="189">
        <f>L102-0.01</f>
        <v>7.8222472333855986E-2</v>
      </c>
      <c r="M103" s="192">
        <f t="shared" si="8"/>
        <v>6.0450340113671466</v>
      </c>
      <c r="N103" s="192">
        <f t="shared" si="8"/>
        <v>6.4245675989565951</v>
      </c>
      <c r="O103" s="192">
        <f t="shared" si="8"/>
        <v>6.8041011865460428</v>
      </c>
      <c r="P103" s="192">
        <f t="shared" si="8"/>
        <v>7.1836347741354913</v>
      </c>
      <c r="Q103" s="192">
        <f t="shared" si="8"/>
        <v>7.5631683617249381</v>
      </c>
    </row>
    <row r="104" spans="2:17" ht="15" customHeight="1" x14ac:dyDescent="0.25">
      <c r="B104" s="180"/>
      <c r="D104" s="195">
        <f>D103-0.01</f>
        <v>6.8222472333855991E-2</v>
      </c>
      <c r="E104" s="190">
        <f t="shared" si="7"/>
        <v>7.6448033528306363</v>
      </c>
      <c r="F104" s="190">
        <f t="shared" si="7"/>
        <v>9.2518528100774216</v>
      </c>
      <c r="G104" s="190">
        <f t="shared" si="7"/>
        <v>10.858902267324208</v>
      </c>
      <c r="H104" s="190">
        <f t="shared" si="7"/>
        <v>12.465951724570992</v>
      </c>
      <c r="I104" s="190">
        <f t="shared" si="7"/>
        <v>14.073001181817775</v>
      </c>
      <c r="J104" s="191"/>
      <c r="L104" s="195">
        <f>L103-0.01</f>
        <v>6.8222472333855991E-2</v>
      </c>
      <c r="M104" s="192">
        <f t="shared" si="8"/>
        <v>6.2749398893556743</v>
      </c>
      <c r="N104" s="192">
        <f t="shared" si="8"/>
        <v>6.6707661228467208</v>
      </c>
      <c r="O104" s="192">
        <f t="shared" si="8"/>
        <v>7.0665923563377682</v>
      </c>
      <c r="P104" s="192">
        <f t="shared" si="8"/>
        <v>7.4624185898288147</v>
      </c>
      <c r="Q104" s="192">
        <f t="shared" si="8"/>
        <v>7.8582448233198612</v>
      </c>
    </row>
    <row r="105" spans="2:17" ht="15" customHeight="1" x14ac:dyDescent="0.25">
      <c r="J105" s="202"/>
    </row>
    <row r="106" spans="2:17" ht="15" customHeight="1" x14ac:dyDescent="0.25">
      <c r="B106" s="203" t="s">
        <v>214</v>
      </c>
      <c r="C106" s="203"/>
      <c r="D106" s="203"/>
      <c r="E106" s="203"/>
      <c r="G106" s="203" t="s">
        <v>215</v>
      </c>
      <c r="H106" s="203"/>
      <c r="I106" s="203"/>
      <c r="J106" s="204"/>
      <c r="K106" s="203"/>
      <c r="L106" s="203"/>
      <c r="M106" s="203"/>
      <c r="N106" s="203"/>
      <c r="O106" s="203"/>
      <c r="P106" s="203"/>
    </row>
    <row r="107" spans="2:17" ht="15" customHeight="1" x14ac:dyDescent="0.25">
      <c r="J107" s="202"/>
    </row>
    <row r="108" spans="2:17" ht="15" customHeight="1" x14ac:dyDescent="0.25">
      <c r="J108" s="202"/>
    </row>
    <row r="109" spans="2:17" ht="15" customHeight="1" x14ac:dyDescent="0.25">
      <c r="J109" s="202"/>
    </row>
    <row r="110" spans="2:17" ht="15" customHeight="1" x14ac:dyDescent="0.25">
      <c r="J110" s="202"/>
    </row>
    <row r="111" spans="2:17" ht="15" customHeight="1" x14ac:dyDescent="0.25">
      <c r="J111" s="202"/>
    </row>
    <row r="112" spans="2:17" ht="15" customHeight="1" x14ac:dyDescent="0.25">
      <c r="J112" s="202"/>
    </row>
    <row r="113" spans="2:17" ht="15" customHeight="1" x14ac:dyDescent="0.25">
      <c r="J113" s="202"/>
    </row>
    <row r="114" spans="2:17" ht="15" customHeight="1" x14ac:dyDescent="0.25">
      <c r="J114" s="202"/>
    </row>
    <row r="115" spans="2:17" ht="15" customHeight="1" x14ac:dyDescent="0.25">
      <c r="J115" s="202"/>
    </row>
    <row r="116" spans="2:17" ht="15" customHeight="1" x14ac:dyDescent="0.25">
      <c r="J116" s="202"/>
    </row>
    <row r="117" spans="2:17" ht="15" customHeight="1" x14ac:dyDescent="0.25">
      <c r="J117" s="202"/>
    </row>
    <row r="118" spans="2:17" ht="15" customHeight="1" x14ac:dyDescent="0.25">
      <c r="J118" s="202"/>
    </row>
    <row r="119" spans="2:17" ht="15" customHeight="1" x14ac:dyDescent="0.25">
      <c r="J119" s="202"/>
    </row>
    <row r="120" spans="2:17" ht="15" customHeight="1" x14ac:dyDescent="0.25">
      <c r="J120" s="202"/>
      <c r="M120" s="205"/>
    </row>
    <row r="121" spans="2:17" ht="15" customHeight="1" x14ac:dyDescent="0.25">
      <c r="J121" s="202"/>
    </row>
    <row r="122" spans="2:17" ht="15" customHeight="1" x14ac:dyDescent="0.25">
      <c r="J122" s="202"/>
    </row>
    <row r="123" spans="2:17" ht="15" customHeight="1" x14ac:dyDescent="0.25">
      <c r="J123" s="202"/>
    </row>
    <row r="124" spans="2:17" ht="15" customHeight="1" x14ac:dyDescent="0.25">
      <c r="J124" s="202"/>
    </row>
    <row r="125" spans="2:17" ht="15" customHeight="1" x14ac:dyDescent="0.25">
      <c r="J125" s="202"/>
    </row>
    <row r="126" spans="2:17" ht="15" customHeight="1" x14ac:dyDescent="0.25">
      <c r="J126" s="202"/>
    </row>
    <row r="127" spans="2:17" ht="15" customHeight="1" x14ac:dyDescent="0.25">
      <c r="B127" s="206"/>
      <c r="C127" s="207" t="s">
        <v>216</v>
      </c>
      <c r="D127" s="207" t="s">
        <v>217</v>
      </c>
      <c r="E127" s="208" t="s">
        <v>218</v>
      </c>
      <c r="G127" s="206"/>
      <c r="H127" s="209"/>
      <c r="I127" s="209"/>
      <c r="J127" s="210"/>
      <c r="K127" s="209"/>
      <c r="L127" s="209"/>
      <c r="M127" s="209"/>
      <c r="N127" s="209"/>
      <c r="O127" s="207" t="s">
        <v>216</v>
      </c>
      <c r="P127" s="207" t="s">
        <v>217</v>
      </c>
      <c r="Q127" s="208" t="s">
        <v>218</v>
      </c>
    </row>
    <row r="128" spans="2:17" ht="15" customHeight="1" x14ac:dyDescent="0.25">
      <c r="B128" s="211" t="str">
        <f>"DCF Value at "&amp;TEXT(E99,"0.0x")&amp;"-"&amp;TEXT(I99,"0.0x")&amp;" Exit EBITDA Range at "&amp;TEXT(D102,"0.0%")&amp;" WACC"</f>
        <v>DCF Value at 5.9x-7.9x Exit EBITDA Range at 8.8% WACC</v>
      </c>
      <c r="C128" s="212">
        <f>E102</f>
        <v>5.8229112418786935</v>
      </c>
      <c r="D128" s="212">
        <f>E128-C128</f>
        <v>5.9121989365475054</v>
      </c>
      <c r="E128" s="213">
        <f>I102</f>
        <v>11.735110178426199</v>
      </c>
      <c r="G128" s="211" t="str">
        <f>"LTM EBITDA Purchase Multiple at "&amp;TEXT(M90,"0.0%")&amp;"-"&amp;TEXT(Q90,"0.0%")&amp;" Perpetuity Growth at "&amp;TEXT(L93,"0.0%")&amp;" WACC"</f>
        <v>LTM EBITDA Purchase Multiple at 1.0%-3.0% Perpetuity Growth at 8.8% WACC</v>
      </c>
      <c r="J128" s="202"/>
      <c r="O128" s="214">
        <f>M93</f>
        <v>5.6089328760225756</v>
      </c>
      <c r="P128" s="214">
        <f>Q128-O128</f>
        <v>1.5095324634714684</v>
      </c>
      <c r="Q128" s="215">
        <f>Q93</f>
        <v>7.118465339494044</v>
      </c>
    </row>
    <row r="129" spans="2:17" ht="15" customHeight="1" x14ac:dyDescent="0.25">
      <c r="B129" s="211" t="str">
        <f>"DCF Value at "&amp;TEXT(E90,"0.0%")&amp;"-"&amp;TEXT(I90,"0.0%")&amp;" Perpetuity Range at "&amp;TEXT(D102,"0.0%")&amp;" WACC"</f>
        <v>DCF Value at 1.0%-3.0% Perpetuity Range at 8.8% WACC</v>
      </c>
      <c r="C129" s="212">
        <f>E93</f>
        <v>4.9408233769210375</v>
      </c>
      <c r="D129" s="212">
        <f>E129-C129</f>
        <v>6.1286825401204661</v>
      </c>
      <c r="E129" s="213">
        <f>I93</f>
        <v>11.069505917041504</v>
      </c>
      <c r="G129" s="211" t="str">
        <f>"LTM EBITDA Purchase Multiple at "&amp;TEXT(M102,"0.0x")&amp;"-"&amp;TEXT(Q102,"0.0x")&amp;" Exit EBITDA Multiple at "&amp;TEXT(L102,"0.0%")&amp;" WACC"</f>
        <v>LTM EBITDA Purchase Multiple at 5.8x-7.3x Exit EBITDA Multiple at 8.8% WACC</v>
      </c>
      <c r="J129" s="202"/>
      <c r="O129" s="214">
        <f>M102</f>
        <v>5.8261965797747433</v>
      </c>
      <c r="P129" s="214">
        <f>Q129-O129</f>
        <v>1.4562112112670356</v>
      </c>
      <c r="Q129" s="215">
        <f>Q102</f>
        <v>7.2824077910417788</v>
      </c>
    </row>
    <row r="130" spans="2:17" ht="15" customHeight="1" x14ac:dyDescent="0.25">
      <c r="B130" s="216" t="s">
        <v>219</v>
      </c>
      <c r="C130" s="217"/>
      <c r="D130" s="218">
        <f>E130-C130</f>
        <v>0</v>
      </c>
      <c r="E130" s="219"/>
      <c r="G130" s="216" t="str">
        <f>"LTM EBITDA Purchase Multiple at "&amp;TEXT(L104,"0.0%")&amp;"-"&amp;TEXT(L100,"0.0%")&amp;" WACC at "&amp;TEXT(O99,"0.0x")&amp;" Exit EBITDA"</f>
        <v>LTM EBITDA Purchase Multiple at 6.8%-10.8% WACC at 6.9x Exit EBITDA</v>
      </c>
      <c r="H130" s="17"/>
      <c r="I130" s="17"/>
      <c r="J130" s="220"/>
      <c r="K130" s="17"/>
      <c r="L130" s="17"/>
      <c r="M130" s="17"/>
      <c r="N130" s="17"/>
      <c r="O130" s="218">
        <f>O100</f>
        <v>6.0899114225391742</v>
      </c>
      <c r="P130" s="218">
        <f>Q130-O130</f>
        <v>0.976680933798594</v>
      </c>
      <c r="Q130" s="221">
        <f>O104</f>
        <v>7.0665923563377682</v>
      </c>
    </row>
    <row r="131" spans="2:17" ht="15" customHeight="1" x14ac:dyDescent="0.25">
      <c r="J131" s="202"/>
    </row>
    <row r="132" spans="2:17" ht="15" customHeight="1" x14ac:dyDescent="0.25">
      <c r="J132" s="202"/>
    </row>
  </sheetData>
  <mergeCells count="11">
    <mergeCell ref="E89:J89"/>
    <mergeCell ref="L89:Q89"/>
    <mergeCell ref="D97:J97"/>
    <mergeCell ref="L97:Q97"/>
    <mergeCell ref="E98:J98"/>
    <mergeCell ref="M98:Q98"/>
    <mergeCell ref="E11:I11"/>
    <mergeCell ref="C75:D75"/>
    <mergeCell ref="C80:D80"/>
    <mergeCell ref="D88:J88"/>
    <mergeCell ref="L88:Q88"/>
  </mergeCells>
  <conditionalFormatting sqref="E91:J95 E100:J104">
    <cfRule type="cellIs" dxfId="1" priority="2" operator="lessThan">
      <formula>#REF!</formula>
    </cfRule>
  </conditionalFormatting>
  <dataValidations count="1">
    <dataValidation type="list" allowBlank="1" showInputMessage="1" showErrorMessage="1" sqref="H9" xr:uid="{00000000-0002-0000-0200-000000000000}">
      <formula1>"0,1"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46"/>
  <sheetViews>
    <sheetView topLeftCell="A9" zoomScaleNormal="100" workbookViewId="0">
      <selection activeCell="B33" sqref="B33"/>
    </sheetView>
  </sheetViews>
  <sheetFormatPr defaultColWidth="9.140625" defaultRowHeight="15" x14ac:dyDescent="0.25"/>
  <cols>
    <col min="1" max="1" width="1.42578125" customWidth="1"/>
    <col min="2" max="2" width="50.28515625" customWidth="1"/>
    <col min="3" max="3" width="15.5703125" customWidth="1"/>
    <col min="4" max="9" width="12.7109375" customWidth="1"/>
    <col min="10" max="10" width="1.7109375" customWidth="1"/>
    <col min="11" max="11" width="11" customWidth="1"/>
    <col min="12" max="16" width="9.42578125" customWidth="1"/>
  </cols>
  <sheetData>
    <row r="1" spans="2:9" ht="15.75" customHeight="1" x14ac:dyDescent="0.25"/>
    <row r="2" spans="2:9" ht="15.75" customHeight="1" x14ac:dyDescent="0.25">
      <c r="B2" s="6" t="s">
        <v>220</v>
      </c>
      <c r="C2" s="7"/>
      <c r="D2" s="7"/>
      <c r="E2" s="7"/>
      <c r="F2" s="7"/>
      <c r="G2" s="7"/>
      <c r="H2" s="7"/>
      <c r="I2" s="7"/>
    </row>
    <row r="3" spans="2:9" ht="15" customHeight="1" x14ac:dyDescent="0.25">
      <c r="B3" s="222" t="str">
        <f>DCF!B3</f>
        <v>All amounts are shown in Millions of Pounds (£'m), except per-share data, ratios, and shares outstanding</v>
      </c>
    </row>
    <row r="4" spans="2:9" ht="15" customHeight="1" x14ac:dyDescent="0.25">
      <c r="B4" s="223" t="s">
        <v>221</v>
      </c>
      <c r="C4" s="224"/>
      <c r="D4" s="224"/>
      <c r="E4" s="225"/>
      <c r="F4" s="226"/>
    </row>
    <row r="5" spans="2:9" ht="15" customHeight="1" x14ac:dyDescent="0.25">
      <c r="E5" s="157"/>
    </row>
    <row r="6" spans="2:9" ht="15" customHeight="1" x14ac:dyDescent="0.25">
      <c r="B6" t="s">
        <v>222</v>
      </c>
      <c r="C6" s="227">
        <f>FSM!F160</f>
        <v>0.10161269175298282</v>
      </c>
      <c r="D6" s="228"/>
    </row>
    <row r="7" spans="2:9" ht="15" customHeight="1" x14ac:dyDescent="0.25">
      <c r="B7" t="s">
        <v>31</v>
      </c>
      <c r="C7" s="229">
        <v>0.25</v>
      </c>
    </row>
    <row r="8" spans="2:9" ht="15" customHeight="1" x14ac:dyDescent="0.25">
      <c r="B8" t="s">
        <v>223</v>
      </c>
      <c r="C8" s="230">
        <f>C6*(1-C7)</f>
        <v>7.6209518814737115E-2</v>
      </c>
    </row>
    <row r="10" spans="2:9" ht="15" customHeight="1" x14ac:dyDescent="0.25">
      <c r="B10" t="s">
        <v>224</v>
      </c>
      <c r="C10" s="231">
        <v>4.7870000000000003E-2</v>
      </c>
      <c r="D10" s="94"/>
    </row>
    <row r="11" spans="2:9" ht="15" customHeight="1" x14ac:dyDescent="0.25">
      <c r="B11" t="s">
        <v>225</v>
      </c>
      <c r="C11" s="232">
        <f>IF(C32="Observed",C34,C35)</f>
        <v>1.0639990577523954</v>
      </c>
    </row>
    <row r="12" spans="2:9" ht="15" customHeight="1" x14ac:dyDescent="0.25">
      <c r="B12" t="s">
        <v>226</v>
      </c>
      <c r="C12" s="233">
        <v>5.0099999999999999E-2</v>
      </c>
      <c r="D12" s="94"/>
    </row>
    <row r="13" spans="2:9" ht="15" customHeight="1" x14ac:dyDescent="0.25">
      <c r="B13" t="s">
        <v>227</v>
      </c>
      <c r="C13" s="234">
        <f>C10+C11*C12</f>
        <v>0.10117635279339501</v>
      </c>
      <c r="D13" s="94"/>
    </row>
    <row r="14" spans="2:9" ht="15" customHeight="1" x14ac:dyDescent="0.25">
      <c r="C14" s="46"/>
    </row>
    <row r="15" spans="2:9" ht="15" customHeight="1" x14ac:dyDescent="0.25">
      <c r="B15" s="16" t="s">
        <v>228</v>
      </c>
      <c r="C15" s="17"/>
      <c r="D15" s="17"/>
      <c r="E15" s="17"/>
    </row>
    <row r="16" spans="2:9" ht="15" customHeight="1" x14ac:dyDescent="0.25">
      <c r="B16" s="25"/>
      <c r="C16" s="181"/>
      <c r="D16" s="181" t="s">
        <v>229</v>
      </c>
    </row>
    <row r="17" spans="2:6" ht="17.25" customHeight="1" x14ac:dyDescent="0.25">
      <c r="C17" s="235" t="s">
        <v>230</v>
      </c>
      <c r="D17" s="235" t="s">
        <v>231</v>
      </c>
      <c r="E17" s="235" t="s">
        <v>232</v>
      </c>
    </row>
    <row r="18" spans="2:6" ht="15" customHeight="1" x14ac:dyDescent="0.25">
      <c r="B18" t="s">
        <v>54</v>
      </c>
      <c r="C18" s="134">
        <f>FSM!F74+FSM!F75</f>
        <v>707.3</v>
      </c>
      <c r="D18" s="236"/>
      <c r="E18" s="155">
        <f>C18/(C18+C19)</f>
        <v>0.48115646258503397</v>
      </c>
    </row>
    <row r="19" spans="2:6" ht="15" customHeight="1" x14ac:dyDescent="0.25">
      <c r="B19" t="s">
        <v>185</v>
      </c>
      <c r="C19" s="134">
        <f>DCF!C57</f>
        <v>762.7</v>
      </c>
      <c r="D19" s="237"/>
      <c r="E19" s="155">
        <f>C19/(C18+C19)</f>
        <v>0.51884353741496603</v>
      </c>
    </row>
    <row r="21" spans="2:6" ht="15" customHeight="1" x14ac:dyDescent="0.25">
      <c r="B21" s="238" t="s">
        <v>233</v>
      </c>
      <c r="C21" s="239"/>
      <c r="D21" s="209"/>
      <c r="E21" s="240">
        <f>E18*C13+E19*C8</f>
        <v>8.8222472333855981E-2</v>
      </c>
    </row>
    <row r="22" spans="2:6" ht="15" customHeight="1" x14ac:dyDescent="0.25">
      <c r="B22" s="38"/>
      <c r="C22" s="164"/>
    </row>
    <row r="23" spans="2:6" ht="15" customHeight="1" x14ac:dyDescent="0.25">
      <c r="B23" s="16" t="s">
        <v>234</v>
      </c>
      <c r="C23" s="17"/>
      <c r="D23" s="17"/>
      <c r="E23" s="17"/>
      <c r="F23" s="17"/>
    </row>
    <row r="24" spans="2:6" ht="15" customHeight="1" x14ac:dyDescent="0.25">
      <c r="D24" s="1" t="s">
        <v>235</v>
      </c>
      <c r="E24" s="1"/>
      <c r="F24" s="1"/>
    </row>
    <row r="25" spans="2:6" ht="15" customHeight="1" x14ac:dyDescent="0.25">
      <c r="C25" s="241">
        <f>E21</f>
        <v>8.8222472333855981E-2</v>
      </c>
      <c r="D25" s="242">
        <f>E25-0.1</f>
        <v>0.96399905775239547</v>
      </c>
      <c r="E25" s="243">
        <f>C46</f>
        <v>1.0639990577523954</v>
      </c>
      <c r="F25" s="244">
        <f>E25+0.1</f>
        <v>1.1639990577523955</v>
      </c>
    </row>
    <row r="26" spans="2:6" ht="15" customHeight="1" x14ac:dyDescent="0.25">
      <c r="C26" s="245">
        <f>C27-0.005</f>
        <v>4.0100000000000004E-2</v>
      </c>
      <c r="D26" s="246">
        <f t="shared" ref="D26:F30" si="0">$E$18*($C$10+D$25*$C26)+$E$19*$C$8</f>
        <v>8.1173534690670485E-2</v>
      </c>
      <c r="E26" s="247">
        <f t="shared" si="0"/>
        <v>8.3102972105636469E-2</v>
      </c>
      <c r="F26" s="247">
        <f t="shared" si="0"/>
        <v>8.5032409520602453E-2</v>
      </c>
    </row>
    <row r="27" spans="2:6" ht="15" customHeight="1" x14ac:dyDescent="0.25">
      <c r="B27" s="181" t="s">
        <v>236</v>
      </c>
      <c r="C27" s="245">
        <f>C28-0.005</f>
        <v>4.5100000000000001E-2</v>
      </c>
      <c r="D27" s="247">
        <f t="shared" si="0"/>
        <v>8.3492706573487729E-2</v>
      </c>
      <c r="E27" s="247">
        <f t="shared" si="0"/>
        <v>8.5662722219746218E-2</v>
      </c>
      <c r="F27" s="247">
        <f t="shared" si="0"/>
        <v>8.7832737866004734E-2</v>
      </c>
    </row>
    <row r="28" spans="2:6" ht="15" customHeight="1" x14ac:dyDescent="0.25">
      <c r="B28" s="181" t="s">
        <v>237</v>
      </c>
      <c r="C28" s="248">
        <f>C12</f>
        <v>5.0099999999999999E-2</v>
      </c>
      <c r="D28" s="247">
        <f t="shared" si="0"/>
        <v>8.581187845630496E-2</v>
      </c>
      <c r="E28" s="247">
        <f t="shared" si="0"/>
        <v>8.8222472333855981E-2</v>
      </c>
      <c r="F28" s="247">
        <f t="shared" si="0"/>
        <v>9.0633066211407015E-2</v>
      </c>
    </row>
    <row r="29" spans="2:6" ht="15" customHeight="1" x14ac:dyDescent="0.25">
      <c r="B29" s="181" t="s">
        <v>238</v>
      </c>
      <c r="C29" s="245">
        <f>C28+0.005</f>
        <v>5.5099999999999996E-2</v>
      </c>
      <c r="D29" s="247">
        <f t="shared" si="0"/>
        <v>8.8131050339122205E-2</v>
      </c>
      <c r="E29" s="247">
        <f t="shared" si="0"/>
        <v>9.0782222447965744E-2</v>
      </c>
      <c r="F29" s="247">
        <f t="shared" si="0"/>
        <v>9.3433394556809268E-2</v>
      </c>
    </row>
    <row r="30" spans="2:6" ht="15" customHeight="1" x14ac:dyDescent="0.25">
      <c r="C30" s="245">
        <f>C29+0.005</f>
        <v>6.0099999999999994E-2</v>
      </c>
      <c r="D30" s="247">
        <f t="shared" si="0"/>
        <v>9.0450222221939436E-2</v>
      </c>
      <c r="E30" s="247">
        <f t="shared" si="0"/>
        <v>9.3341972562075493E-2</v>
      </c>
      <c r="F30" s="247">
        <f t="shared" si="0"/>
        <v>9.6233722902211549E-2</v>
      </c>
    </row>
    <row r="31" spans="2:6" ht="15" customHeight="1" x14ac:dyDescent="0.25">
      <c r="C31" s="249"/>
      <c r="D31" s="153"/>
      <c r="E31" s="153"/>
      <c r="F31" s="153"/>
    </row>
    <row r="32" spans="2:6" ht="15" customHeight="1" x14ac:dyDescent="0.25">
      <c r="B32" t="s">
        <v>239</v>
      </c>
      <c r="C32" s="250" t="s">
        <v>240</v>
      </c>
    </row>
    <row r="34" spans="2:9" ht="15" customHeight="1" x14ac:dyDescent="0.25">
      <c r="B34" s="38" t="s">
        <v>241</v>
      </c>
      <c r="C34" s="164"/>
    </row>
    <row r="35" spans="2:9" ht="15" customHeight="1" x14ac:dyDescent="0.25">
      <c r="B35" s="38" t="s">
        <v>242</v>
      </c>
      <c r="C35" s="171">
        <f>C46</f>
        <v>1.0639990577523954</v>
      </c>
    </row>
    <row r="37" spans="2:9" ht="15" customHeight="1" x14ac:dyDescent="0.25">
      <c r="B37" s="16" t="s">
        <v>242</v>
      </c>
      <c r="C37" s="16"/>
      <c r="D37" s="17"/>
      <c r="E37" s="17"/>
      <c r="F37" s="17"/>
      <c r="G37" s="17"/>
      <c r="H37" s="17"/>
      <c r="I37" s="17"/>
    </row>
    <row r="38" spans="2:9" ht="15" customHeight="1" x14ac:dyDescent="0.25">
      <c r="H38" s="251"/>
    </row>
    <row r="39" spans="2:9" ht="15.75" customHeight="1" x14ac:dyDescent="0.25">
      <c r="C39" s="252" t="s">
        <v>243</v>
      </c>
      <c r="D39" s="252" t="s">
        <v>244</v>
      </c>
      <c r="E39" s="252" t="s">
        <v>245</v>
      </c>
      <c r="F39" s="252" t="s">
        <v>246</v>
      </c>
      <c r="G39" s="253" t="s">
        <v>247</v>
      </c>
      <c r="H39" s="252" t="s">
        <v>31</v>
      </c>
      <c r="I39" s="252" t="s">
        <v>248</v>
      </c>
    </row>
    <row r="40" spans="2:9" ht="15" customHeight="1" x14ac:dyDescent="0.25">
      <c r="B40" s="254" t="s">
        <v>249</v>
      </c>
      <c r="C40" s="164">
        <v>0.56999999999999995</v>
      </c>
      <c r="D40" s="232">
        <v>4.59</v>
      </c>
      <c r="E40" s="255">
        <v>6385.2</v>
      </c>
      <c r="F40" s="256">
        <f>D40*E40</f>
        <v>29308.067999999999</v>
      </c>
      <c r="G40" s="255">
        <v>9890</v>
      </c>
      <c r="H40" s="257">
        <v>0.25</v>
      </c>
      <c r="I40" s="171">
        <f>C40/(1+(1-H40)*(G40/F40))</f>
        <v>0.45487652525891498</v>
      </c>
    </row>
    <row r="41" spans="2:9" ht="15" customHeight="1" x14ac:dyDescent="0.25">
      <c r="B41" s="254" t="s">
        <v>250</v>
      </c>
      <c r="C41" s="164">
        <v>1</v>
      </c>
      <c r="D41" s="232">
        <v>3.35</v>
      </c>
      <c r="E41" s="255">
        <v>2230.9</v>
      </c>
      <c r="F41" s="256">
        <f>D41*E41</f>
        <v>7473.5150000000003</v>
      </c>
      <c r="G41" s="255">
        <v>5530</v>
      </c>
      <c r="H41" s="257">
        <v>0.25</v>
      </c>
      <c r="I41" s="171">
        <f>C41/(1+(1-H41)*(G41/F41))</f>
        <v>0.64310346385406092</v>
      </c>
    </row>
    <row r="42" spans="2:9" ht="15" customHeight="1" x14ac:dyDescent="0.25">
      <c r="B42" s="254" t="s">
        <v>251</v>
      </c>
      <c r="C42" s="164">
        <v>1.01</v>
      </c>
      <c r="D42" s="232">
        <v>3.83</v>
      </c>
      <c r="E42" s="255">
        <v>2066.4</v>
      </c>
      <c r="F42" s="256">
        <f>D42*E42</f>
        <v>7914.3120000000008</v>
      </c>
      <c r="G42" s="255">
        <v>2400</v>
      </c>
      <c r="H42" s="257">
        <v>0.25</v>
      </c>
      <c r="I42" s="171">
        <f>C42/(1+(1-H42)*(G42/F42))</f>
        <v>0.82285344757302414</v>
      </c>
    </row>
    <row r="43" spans="2:9" ht="15" customHeight="1" x14ac:dyDescent="0.25">
      <c r="B43" s="254" t="str">
        <f>FSM!Company_Name</f>
        <v>Iceland Foods Limited</v>
      </c>
      <c r="C43" s="258"/>
      <c r="D43" s="259"/>
      <c r="E43" s="260">
        <f>DCF!I61</f>
        <v>35000110</v>
      </c>
      <c r="F43" s="137">
        <f>C18</f>
        <v>707.3</v>
      </c>
      <c r="G43" s="137">
        <f>DCF!C65</f>
        <v>624.10000000000014</v>
      </c>
      <c r="H43" s="257">
        <v>0.25</v>
      </c>
      <c r="I43" s="171"/>
    </row>
    <row r="44" spans="2:9" ht="15" customHeight="1" x14ac:dyDescent="0.25">
      <c r="C44" s="171"/>
      <c r="F44" s="256"/>
      <c r="G44" s="256"/>
      <c r="H44" s="256"/>
      <c r="I44" s="155"/>
    </row>
    <row r="45" spans="2:9" ht="15" customHeight="1" x14ac:dyDescent="0.25">
      <c r="B45" t="s">
        <v>252</v>
      </c>
      <c r="C45" s="171">
        <f>AVERAGE(I40:I42)</f>
        <v>0.64027781222866675</v>
      </c>
    </row>
    <row r="46" spans="2:9" ht="15" customHeight="1" x14ac:dyDescent="0.25">
      <c r="B46" s="25" t="str">
        <f>B43&amp;" beta"</f>
        <v>Iceland Foods Limited beta</v>
      </c>
      <c r="C46" s="261">
        <f>C45*(1+(1-C7)*(G43/F43))</f>
        <v>1.0639990577523954</v>
      </c>
    </row>
  </sheetData>
  <mergeCells count="1">
    <mergeCell ref="D24:F24"/>
  </mergeCells>
  <conditionalFormatting sqref="B22:C24">
    <cfRule type="expression" dxfId="0" priority="2">
      <formula>#REF!="Industry"</formula>
    </cfRule>
  </conditionalFormatting>
  <dataValidations count="1">
    <dataValidation type="list" allowBlank="1" showInputMessage="1" showErrorMessage="1" sqref="C32" xr:uid="{00000000-0002-0000-0300-000000000000}">
      <formula1>"Industry,Observed"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21"/>
  <sheetViews>
    <sheetView showGridLines="0" tabSelected="1" topLeftCell="A6" zoomScaleNormal="100" workbookViewId="0">
      <selection activeCell="H20" sqref="H20"/>
    </sheetView>
  </sheetViews>
  <sheetFormatPr defaultColWidth="8.7109375" defaultRowHeight="15" x14ac:dyDescent="0.25"/>
  <cols>
    <col min="1" max="1" width="2" customWidth="1"/>
    <col min="2" max="2" width="8" customWidth="1"/>
    <col min="3" max="3" width="26" customWidth="1"/>
    <col min="4" max="4" width="10" customWidth="1"/>
    <col min="5" max="5" width="11" customWidth="1"/>
    <col min="6" max="6" width="12" customWidth="1"/>
    <col min="7" max="7" width="11" customWidth="1"/>
    <col min="8" max="8" width="15.5703125" bestFit="1" customWidth="1"/>
    <col min="9" max="9" width="2" customWidth="1"/>
    <col min="10" max="12" width="11" customWidth="1"/>
    <col min="13" max="13" width="2" customWidth="1"/>
    <col min="14" max="14" width="10" customWidth="1"/>
    <col min="15" max="15" width="11" customWidth="1"/>
    <col min="16" max="16" width="10" customWidth="1"/>
  </cols>
  <sheetData>
    <row r="2" spans="2:16" ht="17.25" customHeight="1" x14ac:dyDescent="0.3">
      <c r="B2" s="97" t="s">
        <v>253</v>
      </c>
    </row>
    <row r="3" spans="2:16" ht="15" customHeight="1" x14ac:dyDescent="0.25">
      <c r="B3" s="98" t="s">
        <v>254</v>
      </c>
    </row>
    <row r="5" spans="2:16" ht="15" customHeight="1" x14ac:dyDescent="0.25">
      <c r="B5" s="100" t="s">
        <v>3</v>
      </c>
      <c r="C5" s="100" t="s">
        <v>255</v>
      </c>
      <c r="D5" s="99" t="s">
        <v>256</v>
      </c>
      <c r="E5" s="99" t="s">
        <v>245</v>
      </c>
      <c r="F5" s="99" t="s">
        <v>246</v>
      </c>
      <c r="G5" s="99" t="s">
        <v>178</v>
      </c>
      <c r="H5" s="99" t="s">
        <v>199</v>
      </c>
      <c r="J5" s="99" t="s">
        <v>257</v>
      </c>
      <c r="K5" s="99" t="s">
        <v>258</v>
      </c>
      <c r="L5" s="99" t="s">
        <v>259</v>
      </c>
      <c r="N5" s="99" t="s">
        <v>260</v>
      </c>
      <c r="O5" s="99" t="s">
        <v>261</v>
      </c>
      <c r="P5" s="99" t="s">
        <v>205</v>
      </c>
    </row>
    <row r="7" spans="2:16" ht="15" customHeight="1" x14ac:dyDescent="0.25">
      <c r="B7" s="101" t="s">
        <v>262</v>
      </c>
      <c r="C7" s="101" t="s">
        <v>263</v>
      </c>
      <c r="D7" s="262">
        <v>4.59</v>
      </c>
      <c r="E7" s="103">
        <v>6385.2</v>
      </c>
      <c r="F7" s="263">
        <f>D7*E7</f>
        <v>29308.067999999999</v>
      </c>
      <c r="G7" s="264">
        <v>10563</v>
      </c>
      <c r="H7" s="263">
        <f>F7+G7</f>
        <v>39871.067999999999</v>
      </c>
      <c r="J7" s="264">
        <v>70400</v>
      </c>
      <c r="K7" s="264">
        <v>5030</v>
      </c>
      <c r="L7" s="264">
        <v>3000</v>
      </c>
      <c r="N7" s="265">
        <f t="shared" ref="N7:P9" si="0">$H7/J7</f>
        <v>0.56635039772727269</v>
      </c>
      <c r="O7" s="265">
        <f t="shared" si="0"/>
        <v>7.9266536779324053</v>
      </c>
      <c r="P7" s="265">
        <f t="shared" si="0"/>
        <v>13.290355999999999</v>
      </c>
    </row>
    <row r="8" spans="2:16" ht="15" customHeight="1" x14ac:dyDescent="0.25">
      <c r="B8" s="101" t="s">
        <v>264</v>
      </c>
      <c r="C8" s="101" t="s">
        <v>265</v>
      </c>
      <c r="D8" s="262">
        <v>3.347</v>
      </c>
      <c r="E8" s="103">
        <v>2230.9</v>
      </c>
      <c r="F8" s="263">
        <f>D8*E8</f>
        <v>7466.8222999999998</v>
      </c>
      <c r="G8" s="264">
        <v>5743</v>
      </c>
      <c r="H8" s="263">
        <f>F8+G8</f>
        <v>13209.8223</v>
      </c>
      <c r="J8" s="264">
        <v>31600</v>
      </c>
      <c r="K8" s="264">
        <v>2222</v>
      </c>
      <c r="L8" s="264">
        <v>1035</v>
      </c>
      <c r="N8" s="265">
        <f t="shared" si="0"/>
        <v>0.41803235126582278</v>
      </c>
      <c r="O8" s="265">
        <f t="shared" si="0"/>
        <v>5.9450145364536455</v>
      </c>
      <c r="P8" s="265">
        <f t="shared" si="0"/>
        <v>12.763113333333333</v>
      </c>
    </row>
    <row r="9" spans="2:16" ht="15" customHeight="1" x14ac:dyDescent="0.25">
      <c r="B9" s="101" t="s">
        <v>266</v>
      </c>
      <c r="C9" s="101" t="s">
        <v>267</v>
      </c>
      <c r="D9" s="262">
        <v>3.15</v>
      </c>
      <c r="E9" s="103">
        <v>2066.4</v>
      </c>
      <c r="F9" s="263">
        <f>D9*E9</f>
        <v>6509.16</v>
      </c>
      <c r="G9" s="264">
        <v>2400</v>
      </c>
      <c r="H9" s="263">
        <f>F9+G9</f>
        <v>8909.16</v>
      </c>
      <c r="J9" s="264">
        <v>17400</v>
      </c>
      <c r="K9" s="264">
        <v>1520</v>
      </c>
      <c r="L9" s="264">
        <v>820</v>
      </c>
      <c r="N9" s="265">
        <f t="shared" si="0"/>
        <v>0.51202068965517245</v>
      </c>
      <c r="O9" s="265">
        <f t="shared" si="0"/>
        <v>5.8612894736842103</v>
      </c>
      <c r="P9" s="265">
        <f t="shared" si="0"/>
        <v>10.864829268292683</v>
      </c>
    </row>
    <row r="11" spans="2:16" ht="15" customHeight="1" x14ac:dyDescent="0.25">
      <c r="C11" s="104" t="s">
        <v>268</v>
      </c>
      <c r="N11" s="266">
        <f>AVERAGE(N7:N9)</f>
        <v>0.49880114621608929</v>
      </c>
      <c r="O11" s="266">
        <f>AVERAGE(O7:O9)</f>
        <v>6.577652562690087</v>
      </c>
      <c r="P11" s="266">
        <f>AVERAGE(P7:P9)</f>
        <v>12.306099533875338</v>
      </c>
    </row>
    <row r="12" spans="2:16" ht="15" customHeight="1" x14ac:dyDescent="0.25">
      <c r="C12" s="104" t="s">
        <v>269</v>
      </c>
      <c r="N12" s="266">
        <f>MEDIAN(N7:N9)</f>
        <v>0.51202068965517245</v>
      </c>
      <c r="O12" s="266">
        <f>MEDIAN(O7:O9)</f>
        <v>5.9450145364536455</v>
      </c>
      <c r="P12" s="266">
        <f>MEDIAN(P7:P9)</f>
        <v>12.763113333333333</v>
      </c>
    </row>
    <row r="13" spans="2:16" ht="15" customHeight="1" x14ac:dyDescent="0.25">
      <c r="C13" s="104" t="s">
        <v>218</v>
      </c>
      <c r="N13" s="266">
        <f>MAX(N7:N9)</f>
        <v>0.56635039772727269</v>
      </c>
      <c r="O13" s="266">
        <f>MAX(O7:O9)</f>
        <v>7.9266536779324053</v>
      </c>
      <c r="P13" s="266">
        <f>MAX(P7:P9)</f>
        <v>13.290355999999999</v>
      </c>
    </row>
    <row r="14" spans="2:16" ht="15" customHeight="1" x14ac:dyDescent="0.25">
      <c r="C14" s="104" t="s">
        <v>216</v>
      </c>
      <c r="N14" s="266">
        <f>MIN(N7:N9)</f>
        <v>0.41803235126582278</v>
      </c>
      <c r="O14" s="266">
        <f>MIN(O7:O9)</f>
        <v>5.8612894736842103</v>
      </c>
      <c r="P14" s="266">
        <f>MIN(P7:P9)</f>
        <v>10.864829268292683</v>
      </c>
    </row>
    <row r="16" spans="2:16" ht="15" customHeight="1" x14ac:dyDescent="0.25">
      <c r="B16" s="104" t="s">
        <v>270</v>
      </c>
    </row>
    <row r="17" spans="2:8" ht="15" customHeight="1" x14ac:dyDescent="0.25">
      <c r="B17" s="98" t="s">
        <v>271</v>
      </c>
    </row>
    <row r="19" spans="2:8" ht="15" customHeight="1" x14ac:dyDescent="0.25">
      <c r="C19" s="101"/>
      <c r="D19" s="99" t="s">
        <v>272</v>
      </c>
      <c r="E19" s="99" t="s">
        <v>273</v>
      </c>
      <c r="F19" s="99" t="s">
        <v>274</v>
      </c>
      <c r="G19" s="99" t="s">
        <v>275</v>
      </c>
      <c r="H19" s="99" t="s">
        <v>54</v>
      </c>
    </row>
    <row r="20" spans="2:8" ht="15" customHeight="1" x14ac:dyDescent="0.25">
      <c r="C20" s="101" t="s">
        <v>276</v>
      </c>
      <c r="D20" s="265">
        <f>O12</f>
        <v>5.9450145364536455</v>
      </c>
      <c r="E20" s="102">
        <f>'Norm EBITDA'!D13</f>
        <v>142.1</v>
      </c>
      <c r="F20" s="263">
        <f>D20*E20</f>
        <v>844.78656563006302</v>
      </c>
      <c r="G20" s="102">
        <f>DCF!C65</f>
        <v>624.10000000000014</v>
      </c>
      <c r="H20" s="267">
        <f>F20-G20</f>
        <v>220.68656563006289</v>
      </c>
    </row>
    <row r="21" spans="2:8" ht="15" customHeight="1" x14ac:dyDescent="0.25">
      <c r="C21" s="101" t="s">
        <v>277</v>
      </c>
      <c r="D21" s="265">
        <f>O11</f>
        <v>6.577652562690087</v>
      </c>
      <c r="E21" s="102">
        <f>'Norm EBITDA'!D13</f>
        <v>142.1</v>
      </c>
      <c r="F21" s="263">
        <f>D21*E21</f>
        <v>934.68442915826131</v>
      </c>
      <c r="G21" s="102">
        <f>DCF!C65</f>
        <v>624.10000000000014</v>
      </c>
      <c r="H21" s="267">
        <f>F21-G21</f>
        <v>310.58442915826117</v>
      </c>
    </row>
  </sheetData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20"/>
  <sheetViews>
    <sheetView showGridLines="0" topLeftCell="A5" zoomScaleNormal="100" workbookViewId="0">
      <selection activeCell="I19" sqref="I19"/>
    </sheetView>
  </sheetViews>
  <sheetFormatPr defaultColWidth="8.7109375" defaultRowHeight="15" x14ac:dyDescent="0.25"/>
  <cols>
    <col min="1" max="1" width="2" customWidth="1"/>
    <col min="2" max="3" width="24" customWidth="1"/>
    <col min="4" max="5" width="11" customWidth="1"/>
    <col min="6" max="6" width="4" customWidth="1"/>
    <col min="7" max="9" width="12" customWidth="1"/>
    <col min="10" max="10" width="11" customWidth="1"/>
    <col min="11" max="11" width="2" customWidth="1"/>
    <col min="12" max="12" width="10" customWidth="1"/>
    <col min="13" max="14" width="11" customWidth="1"/>
  </cols>
  <sheetData>
    <row r="2" spans="2:14" ht="17.25" customHeight="1" x14ac:dyDescent="0.3">
      <c r="B2" s="97" t="s">
        <v>278</v>
      </c>
    </row>
    <row r="3" spans="2:14" ht="15" customHeight="1" x14ac:dyDescent="0.25">
      <c r="B3" s="98" t="s">
        <v>279</v>
      </c>
    </row>
    <row r="5" spans="2:14" ht="15" customHeight="1" x14ac:dyDescent="0.25">
      <c r="B5" s="100" t="s">
        <v>280</v>
      </c>
      <c r="C5" s="100" t="s">
        <v>281</v>
      </c>
      <c r="D5" s="99" t="s">
        <v>282</v>
      </c>
      <c r="E5" s="99" t="s">
        <v>283</v>
      </c>
      <c r="G5" s="99" t="s">
        <v>284</v>
      </c>
      <c r="H5" s="99" t="s">
        <v>257</v>
      </c>
      <c r="I5" s="99" t="s">
        <v>258</v>
      </c>
      <c r="J5" s="99" t="s">
        <v>238</v>
      </c>
      <c r="L5" s="99" t="s">
        <v>260</v>
      </c>
      <c r="M5" s="99" t="s">
        <v>261</v>
      </c>
      <c r="N5" s="99" t="s">
        <v>285</v>
      </c>
    </row>
    <row r="7" spans="2:14" ht="15" customHeight="1" x14ac:dyDescent="0.25">
      <c r="B7" s="101" t="s">
        <v>286</v>
      </c>
      <c r="C7" s="101" t="s">
        <v>287</v>
      </c>
      <c r="D7" s="268" t="s">
        <v>288</v>
      </c>
      <c r="E7" s="268" t="s">
        <v>289</v>
      </c>
      <c r="G7" s="264">
        <v>9800</v>
      </c>
      <c r="H7" s="264">
        <v>17598</v>
      </c>
      <c r="I7" s="264">
        <v>1150</v>
      </c>
      <c r="J7" s="269">
        <v>0.61</v>
      </c>
      <c r="L7" s="265">
        <f>G7/H7</f>
        <v>0.55688146380270487</v>
      </c>
      <c r="M7" s="265">
        <f>G7/I7</f>
        <v>8.5217391304347831</v>
      </c>
      <c r="N7" s="270" t="s">
        <v>290</v>
      </c>
    </row>
    <row r="8" spans="2:14" ht="15" customHeight="1" x14ac:dyDescent="0.25">
      <c r="B8" s="101" t="s">
        <v>291</v>
      </c>
      <c r="C8" s="101" t="s">
        <v>292</v>
      </c>
      <c r="D8" s="268" t="s">
        <v>293</v>
      </c>
      <c r="E8" s="268" t="s">
        <v>289</v>
      </c>
      <c r="G8" s="264">
        <v>6800</v>
      </c>
      <c r="H8" s="264">
        <v>22900</v>
      </c>
      <c r="I8" s="264">
        <v>1150</v>
      </c>
      <c r="J8" s="268" t="s">
        <v>294</v>
      </c>
      <c r="L8" s="265">
        <f>G8/H8</f>
        <v>0.29694323144104806</v>
      </c>
      <c r="M8" s="265">
        <f>G8/I8</f>
        <v>5.9130434782608692</v>
      </c>
      <c r="N8" s="270" t="s">
        <v>290</v>
      </c>
    </row>
    <row r="9" spans="2:14" ht="15" customHeight="1" x14ac:dyDescent="0.25">
      <c r="B9" s="101" t="s">
        <v>295</v>
      </c>
      <c r="C9" s="101" t="s">
        <v>296</v>
      </c>
      <c r="D9" s="268" t="s">
        <v>297</v>
      </c>
      <c r="E9" s="268" t="s">
        <v>289</v>
      </c>
      <c r="G9" s="264">
        <v>1450</v>
      </c>
      <c r="H9" s="264">
        <v>2610</v>
      </c>
      <c r="I9" s="264">
        <v>230</v>
      </c>
      <c r="J9" s="268" t="s">
        <v>294</v>
      </c>
      <c r="L9" s="265">
        <f>G9/H9</f>
        <v>0.55555555555555558</v>
      </c>
      <c r="M9" s="265">
        <f>G9/I9</f>
        <v>6.3043478260869561</v>
      </c>
      <c r="N9" s="270" t="s">
        <v>290</v>
      </c>
    </row>
    <row r="10" spans="2:14" ht="15" customHeight="1" x14ac:dyDescent="0.25">
      <c r="B10" s="101" t="s">
        <v>298</v>
      </c>
      <c r="C10" s="101" t="s">
        <v>263</v>
      </c>
      <c r="D10" s="268" t="s">
        <v>299</v>
      </c>
      <c r="E10" s="268" t="s">
        <v>289</v>
      </c>
      <c r="G10" s="264">
        <v>3700</v>
      </c>
      <c r="H10" s="264">
        <v>5000</v>
      </c>
      <c r="I10" s="264">
        <v>220</v>
      </c>
      <c r="J10" s="269">
        <v>0.12</v>
      </c>
      <c r="L10" s="265">
        <f>G10/H10</f>
        <v>0.74</v>
      </c>
      <c r="M10" s="265">
        <f>G10/I10</f>
        <v>16.818181818181817</v>
      </c>
      <c r="N10" s="270" t="s">
        <v>300</v>
      </c>
    </row>
    <row r="12" spans="2:14" ht="15" customHeight="1" x14ac:dyDescent="0.25">
      <c r="C12" s="104" t="s">
        <v>301</v>
      </c>
      <c r="L12" s="266">
        <f>AVERAGE(L7:L9)</f>
        <v>0.46979341693310284</v>
      </c>
      <c r="M12" s="266">
        <f>AVERAGE(M7:M9)</f>
        <v>6.9130434782608701</v>
      </c>
    </row>
    <row r="13" spans="2:14" ht="15" customHeight="1" x14ac:dyDescent="0.25">
      <c r="C13" s="104" t="s">
        <v>302</v>
      </c>
      <c r="L13" s="266">
        <f>MEDIAN(L7:L9)</f>
        <v>0.55555555555555558</v>
      </c>
      <c r="M13" s="266">
        <f>MEDIAN(M7:M9)</f>
        <v>6.3043478260869561</v>
      </c>
    </row>
    <row r="14" spans="2:14" ht="15" customHeight="1" x14ac:dyDescent="0.25">
      <c r="C14" s="104" t="s">
        <v>218</v>
      </c>
      <c r="L14" s="266">
        <f>MAX(L7:L9)</f>
        <v>0.55688146380270487</v>
      </c>
      <c r="M14" s="266">
        <f>MAX(M7:M9)</f>
        <v>8.5217391304347831</v>
      </c>
    </row>
    <row r="15" spans="2:14" ht="15" customHeight="1" x14ac:dyDescent="0.25">
      <c r="C15" s="104" t="s">
        <v>216</v>
      </c>
      <c r="L15" s="266">
        <f>MIN(L7:L9)</f>
        <v>0.29694323144104806</v>
      </c>
      <c r="M15" s="266">
        <f>MIN(M7:M9)</f>
        <v>5.9130434782608692</v>
      </c>
    </row>
    <row r="17" spans="2:9" ht="15" customHeight="1" x14ac:dyDescent="0.25">
      <c r="B17" s="104" t="s">
        <v>303</v>
      </c>
    </row>
    <row r="18" spans="2:9" ht="15" customHeight="1" x14ac:dyDescent="0.25">
      <c r="C18" s="101"/>
      <c r="D18" s="99" t="s">
        <v>272</v>
      </c>
      <c r="E18" s="99" t="s">
        <v>273</v>
      </c>
      <c r="G18" s="99" t="s">
        <v>274</v>
      </c>
      <c r="H18" s="99" t="s">
        <v>275</v>
      </c>
      <c r="I18" s="99" t="s">
        <v>54</v>
      </c>
    </row>
    <row r="19" spans="2:9" ht="15" customHeight="1" x14ac:dyDescent="0.25">
      <c r="C19" s="101" t="s">
        <v>304</v>
      </c>
      <c r="D19" s="265">
        <f>M13</f>
        <v>6.3043478260869561</v>
      </c>
      <c r="E19" s="102">
        <f>'Norm EBITDA'!D13</f>
        <v>142.1</v>
      </c>
      <c r="G19" s="263">
        <f>D19*E19</f>
        <v>895.84782608695639</v>
      </c>
      <c r="H19" s="102">
        <f>DCF!C65</f>
        <v>624.10000000000014</v>
      </c>
      <c r="I19" s="267">
        <f>G19-H19</f>
        <v>271.74782608695625</v>
      </c>
    </row>
    <row r="20" spans="2:9" ht="15" customHeight="1" x14ac:dyDescent="0.25">
      <c r="C20" s="101" t="s">
        <v>305</v>
      </c>
      <c r="D20" s="265">
        <f>M12</f>
        <v>6.9130434782608701</v>
      </c>
      <c r="E20" s="102">
        <f>'Norm EBITDA'!D13</f>
        <v>142.1</v>
      </c>
      <c r="G20" s="263">
        <f>D20*E20</f>
        <v>982.34347826086957</v>
      </c>
      <c r="H20" s="102">
        <f>DCF!C65</f>
        <v>624.10000000000014</v>
      </c>
      <c r="I20" s="267">
        <f>G20-H20</f>
        <v>358.24347826086944</v>
      </c>
    </row>
  </sheetData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G19"/>
  <sheetViews>
    <sheetView showGridLines="0" zoomScaleNormal="100" workbookViewId="0">
      <selection activeCell="A21" sqref="A21:XFD23"/>
    </sheetView>
  </sheetViews>
  <sheetFormatPr defaultColWidth="8.7109375" defaultRowHeight="15" x14ac:dyDescent="0.25"/>
  <cols>
    <col min="1" max="1" width="2" customWidth="1"/>
    <col min="2" max="2" width="44" customWidth="1"/>
    <col min="3" max="7" width="12" customWidth="1"/>
    <col min="8" max="8" width="3" customWidth="1"/>
    <col min="9" max="9" width="60" customWidth="1"/>
  </cols>
  <sheetData>
    <row r="2" spans="2:7" ht="17.25" customHeight="1" x14ac:dyDescent="0.3">
      <c r="B2" s="97" t="s">
        <v>306</v>
      </c>
    </row>
    <row r="3" spans="2:7" ht="15" customHeight="1" x14ac:dyDescent="0.25">
      <c r="B3" s="98" t="s">
        <v>307</v>
      </c>
    </row>
    <row r="5" spans="2:7" ht="15" customHeight="1" x14ac:dyDescent="0.25">
      <c r="B5" s="100" t="s">
        <v>308</v>
      </c>
      <c r="C5" s="99" t="s">
        <v>309</v>
      </c>
      <c r="D5" s="99" t="s">
        <v>310</v>
      </c>
      <c r="E5" s="99" t="s">
        <v>311</v>
      </c>
      <c r="F5" s="99" t="s">
        <v>312</v>
      </c>
      <c r="G5" s="99" t="s">
        <v>313</v>
      </c>
    </row>
    <row r="6" spans="2:7" ht="15" customHeight="1" x14ac:dyDescent="0.25">
      <c r="B6" s="101"/>
    </row>
    <row r="7" spans="2:7" ht="15" customHeight="1" x14ac:dyDescent="0.25">
      <c r="B7" s="101" t="s">
        <v>314</v>
      </c>
      <c r="C7" s="271">
        <f>MIN(DCF!C47,DCF!C47)</f>
        <v>888.56068238230671</v>
      </c>
      <c r="D7" s="271">
        <f>MAX(DCF!C47,DCF!C47)</f>
        <v>888.56068238230671</v>
      </c>
      <c r="E7" s="263">
        <f t="shared" ref="E7:F10" si="0">C7-$C$12</f>
        <v>264.46068238230657</v>
      </c>
      <c r="F7" s="263">
        <f t="shared" si="0"/>
        <v>264.46068238230657</v>
      </c>
      <c r="G7" s="98"/>
    </row>
    <row r="8" spans="2:7" ht="15" customHeight="1" x14ac:dyDescent="0.25">
      <c r="B8" s="101" t="s">
        <v>315</v>
      </c>
      <c r="C8" s="271">
        <f>MIN(DCF!I47,DCF!I47)</f>
        <v>931.36634054651392</v>
      </c>
      <c r="D8" s="271">
        <f>MAX(DCF!I47,DCF!I47)</f>
        <v>931.36634054651392</v>
      </c>
      <c r="E8" s="263">
        <f t="shared" si="0"/>
        <v>307.26634054651379</v>
      </c>
      <c r="F8" s="263">
        <f t="shared" si="0"/>
        <v>307.26634054651379</v>
      </c>
      <c r="G8" s="98"/>
    </row>
    <row r="9" spans="2:7" ht="15" customHeight="1" x14ac:dyDescent="0.25">
      <c r="B9" s="101" t="s">
        <v>316</v>
      </c>
      <c r="C9" s="271">
        <f>MIN('Trading Comps'!F20,'Trading Comps'!F21)</f>
        <v>844.78656563006302</v>
      </c>
      <c r="D9" s="271">
        <f>MAX('Trading Comps'!F20,'Trading Comps'!F21)</f>
        <v>934.68442915826131</v>
      </c>
      <c r="E9" s="263">
        <f t="shared" si="0"/>
        <v>220.68656563006289</v>
      </c>
      <c r="F9" s="263">
        <f t="shared" si="0"/>
        <v>310.58442915826117</v>
      </c>
      <c r="G9" s="98"/>
    </row>
    <row r="10" spans="2:7" ht="15" customHeight="1" x14ac:dyDescent="0.25">
      <c r="B10" s="101" t="s">
        <v>317</v>
      </c>
      <c r="C10" s="271">
        <f>MIN('Transaction Comps'!G19,'Transaction Comps'!G20)</f>
        <v>895.84782608695639</v>
      </c>
      <c r="D10" s="271">
        <f>MAX('Transaction Comps'!G19,'Transaction Comps'!G20)</f>
        <v>982.34347826086957</v>
      </c>
      <c r="E10" s="263">
        <f t="shared" si="0"/>
        <v>271.74782608695625</v>
      </c>
      <c r="F10" s="263">
        <f t="shared" si="0"/>
        <v>358.24347826086944</v>
      </c>
      <c r="G10" s="98"/>
    </row>
    <row r="12" spans="2:7" ht="15" customHeight="1" x14ac:dyDescent="0.25">
      <c r="B12" s="104" t="s">
        <v>318</v>
      </c>
      <c r="C12" s="102">
        <f>DCF!C65</f>
        <v>624.10000000000014</v>
      </c>
    </row>
    <row r="14" spans="2:7" ht="15" customHeight="1" x14ac:dyDescent="0.25">
      <c r="B14" s="104" t="s">
        <v>319</v>
      </c>
      <c r="C14" s="264">
        <v>850</v>
      </c>
      <c r="D14" s="264">
        <v>1000</v>
      </c>
      <c r="E14" s="267">
        <f>C14-$C$12</f>
        <v>225.89999999999986</v>
      </c>
      <c r="F14" s="267">
        <f>D14-$C$12</f>
        <v>375.89999999999986</v>
      </c>
    </row>
    <row r="16" spans="2:7" ht="15" customHeight="1" x14ac:dyDescent="0.25">
      <c r="B16" s="104" t="s">
        <v>320</v>
      </c>
    </row>
    <row r="17" spans="2:4" ht="15" customHeight="1" x14ac:dyDescent="0.25">
      <c r="B17" s="101" t="s">
        <v>321</v>
      </c>
      <c r="C17" s="269">
        <v>0</v>
      </c>
    </row>
    <row r="18" spans="2:4" ht="15" customHeight="1" x14ac:dyDescent="0.25">
      <c r="B18" s="104" t="s">
        <v>322</v>
      </c>
      <c r="C18" s="267">
        <f>E14*(1-$C$17)</f>
        <v>225.89999999999986</v>
      </c>
      <c r="D18" s="267">
        <f>F14*(1-$C$17)</f>
        <v>375.89999999999986</v>
      </c>
    </row>
    <row r="19" spans="2:4" ht="15" customHeight="1" x14ac:dyDescent="0.25">
      <c r="B19" s="101" t="s">
        <v>323</v>
      </c>
      <c r="C19" s="190">
        <f>C18/(DCF!I61/1000000)</f>
        <v>6.4542654294515041</v>
      </c>
      <c r="D19" s="190">
        <f>D18/(DCF!I61/1000000)</f>
        <v>10.739966245820366</v>
      </c>
    </row>
  </sheetData>
  <pageMargins left="0.75" right="0.75" top="1" bottom="1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FSM</vt:lpstr>
      <vt:lpstr>Norm EBITDA</vt:lpstr>
      <vt:lpstr>DCF</vt:lpstr>
      <vt:lpstr>WACC</vt:lpstr>
      <vt:lpstr>Trading Comps</vt:lpstr>
      <vt:lpstr>Transaction Comps</vt:lpstr>
      <vt:lpstr>Valuation Summary</vt:lpstr>
      <vt:lpstr>FSM!Company_Name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Ahmed WAEL</dc:creator>
  <dc:description/>
  <cp:lastModifiedBy>Ahmed Wael</cp:lastModifiedBy>
  <cp:revision>4</cp:revision>
  <dcterms:created xsi:type="dcterms:W3CDTF">2015-06-05T18:17:20Z</dcterms:created>
  <dcterms:modified xsi:type="dcterms:W3CDTF">2026-07-07T08:22:36Z</dcterms:modified>
  <dc:language>en-US</dc:language>
</cp:coreProperties>
</file>