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hmed.wael\Downloads\Jarir - 4190.SR\"/>
    </mc:Choice>
  </mc:AlternateContent>
  <xr:revisionPtr revIDLastSave="0" documentId="13_ncr:1_{80642AD1-A268-4FB5-B0FB-99243BFE9565}" xr6:coauthVersionLast="47" xr6:coauthVersionMax="47" xr10:uidLastSave="{00000000-0000-0000-0000-000000000000}"/>
  <bookViews>
    <workbookView xWindow="-20610" yWindow="-1995" windowWidth="20730" windowHeight="11040" tabRatio="500" activeTab="1" xr2:uid="{00000000-000D-0000-FFFF-FFFF00000000}"/>
  </bookViews>
  <sheets>
    <sheet name="FSM" sheetId="4" r:id="rId1"/>
    <sheet name="DCF" sheetId="2" r:id="rId2"/>
    <sheet name="WACC" sheetId="3" r:id="rId3"/>
  </sheets>
  <definedNames>
    <definedName name="CIQWBGuid" localSheetId="1" hidden="1">"DCF_complete.xlsx"</definedName>
    <definedName name="CIQWBGuid" localSheetId="2" hidden="1">"DCF_complete.xlsx"</definedName>
    <definedName name="CIQWBGuid" hidden="1">"a611639b-bab1-425e-aaa5-008c326fdfdb"</definedName>
    <definedName name="CIQWBGuid_1" hidden="1">"a611639b-bab1-425e-aaa5-008c326fdfdb"</definedName>
    <definedName name="Company_Name" localSheetId="0">FSM!$D$5</definedName>
    <definedName name="Company_Name">#REF!</definedName>
    <definedName name="Hist_Yr" localSheetId="0">FSM!#REF!</definedName>
    <definedName name="Hist_Yr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localSheetId="1" hidden="1">43549.6880671296</definedName>
    <definedName name="IQ_NAMES_REVISION_DATE_" localSheetId="2" hidden="1">43549.6880671296</definedName>
    <definedName name="IQ_NAMES_REVISION_DATE_" hidden="1">43588.5561574074</definedName>
    <definedName name="IQ_NAMES_REVISION_DATE__1" hidden="1">43588.5561574074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MLNK841c85bef3244d5c8fb6b3f84988d79e" localSheetId="1" hidden="1">#REF!</definedName>
    <definedName name="MLNK841c85bef3244d5c8fb6b3f84988d79e" localSheetId="2" hidden="1">#REF!</definedName>
    <definedName name="MLNK841c85bef3244d5c8fb6b3f84988d79e" hidden="1">#REF!</definedName>
    <definedName name="MLNKa7775792bf444a4785f8ed5c82461a24" localSheetId="1" hidden="1">#REF!</definedName>
    <definedName name="MLNKa7775792bf444a4785f8ed5c82461a24" localSheetId="2" hidden="1">#REF!</definedName>
    <definedName name="MLNKa7775792bf444a4785f8ed5c82461a24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1" i="3" l="1"/>
  <c r="D11" i="3" s="1"/>
  <c r="E11" i="3" s="1"/>
  <c r="C43" i="2"/>
  <c r="C18" i="2"/>
  <c r="C16" i="2"/>
  <c r="C14" i="2"/>
  <c r="D72" i="2" l="1"/>
  <c r="D70" i="2"/>
  <c r="I44" i="2"/>
  <c r="C72" i="2"/>
  <c r="C70" i="2"/>
  <c r="I42" i="2"/>
  <c r="I38" i="2"/>
  <c r="H38" i="2"/>
  <c r="G38" i="2"/>
  <c r="F38" i="2"/>
  <c r="E38" i="2"/>
  <c r="I28" i="2"/>
  <c r="H28" i="2"/>
  <c r="G28" i="2"/>
  <c r="I27" i="2"/>
  <c r="H27" i="2"/>
  <c r="G27" i="2"/>
  <c r="F27" i="2"/>
  <c r="F28" i="2" s="1"/>
  <c r="I26" i="2"/>
  <c r="H26" i="2"/>
  <c r="G26" i="2"/>
  <c r="F26" i="2"/>
  <c r="I25" i="2"/>
  <c r="I30" i="2" s="1"/>
  <c r="H25" i="2"/>
  <c r="H30" i="2" s="1"/>
  <c r="G25" i="2"/>
  <c r="G30" i="2" s="1"/>
  <c r="F25" i="2"/>
  <c r="F30" i="2" s="1"/>
  <c r="E30" i="2"/>
  <c r="E26" i="2"/>
  <c r="I33" i="2"/>
  <c r="H33" i="2"/>
  <c r="G33" i="2"/>
  <c r="F33" i="2"/>
  <c r="E33" i="2"/>
  <c r="D33" i="2"/>
  <c r="I32" i="2"/>
  <c r="H32" i="2"/>
  <c r="G32" i="2"/>
  <c r="F32" i="2"/>
  <c r="E32" i="2"/>
  <c r="D32" i="2"/>
  <c r="E28" i="2"/>
  <c r="E27" i="2"/>
  <c r="E25" i="2"/>
  <c r="I15" i="2"/>
  <c r="H15" i="2"/>
  <c r="G15" i="2"/>
  <c r="F15" i="2"/>
  <c r="E15" i="2"/>
  <c r="I14" i="2"/>
  <c r="I17" i="2" s="1"/>
  <c r="H14" i="2"/>
  <c r="G14" i="2"/>
  <c r="F14" i="2"/>
  <c r="E14" i="2"/>
  <c r="E17" i="2" s="1"/>
  <c r="I23" i="2"/>
  <c r="G23" i="2"/>
  <c r="F23" i="2"/>
  <c r="I22" i="2"/>
  <c r="H22" i="2"/>
  <c r="G22" i="2"/>
  <c r="F22" i="2"/>
  <c r="F21" i="2" s="1"/>
  <c r="E22" i="2"/>
  <c r="G21" i="2"/>
  <c r="G19" i="2"/>
  <c r="F19" i="2"/>
  <c r="E19" i="2"/>
  <c r="I18" i="2"/>
  <c r="I21" i="2" s="1"/>
  <c r="H18" i="2"/>
  <c r="H23" i="2" s="1"/>
  <c r="G18" i="2"/>
  <c r="F18" i="2"/>
  <c r="E18" i="2"/>
  <c r="E23" i="2" s="1"/>
  <c r="H17" i="2"/>
  <c r="G17" i="2"/>
  <c r="F17" i="2"/>
  <c r="I16" i="2"/>
  <c r="H16" i="2"/>
  <c r="G16" i="2"/>
  <c r="F16" i="2"/>
  <c r="E16" i="2"/>
  <c r="D23" i="2"/>
  <c r="D21" i="2"/>
  <c r="D22" i="2"/>
  <c r="D19" i="2"/>
  <c r="D17" i="2"/>
  <c r="D18" i="2"/>
  <c r="D16" i="2"/>
  <c r="D14" i="2"/>
  <c r="D8" i="2"/>
  <c r="E19" i="3"/>
  <c r="C19" i="3"/>
  <c r="C18" i="3"/>
  <c r="E18" i="3" s="1"/>
  <c r="C13" i="3"/>
  <c r="C8" i="3"/>
  <c r="C6" i="3"/>
  <c r="C65" i="2"/>
  <c r="C63" i="2"/>
  <c r="I61" i="2"/>
  <c r="C62" i="2"/>
  <c r="C57" i="2"/>
  <c r="K102" i="4"/>
  <c r="J102" i="4"/>
  <c r="I102" i="4"/>
  <c r="H102" i="4"/>
  <c r="F284" i="4"/>
  <c r="E284" i="4"/>
  <c r="D284" i="4"/>
  <c r="D291" i="4" s="1"/>
  <c r="G102" i="4"/>
  <c r="F289" i="4"/>
  <c r="G289" i="4" s="1"/>
  <c r="H289" i="4" s="1"/>
  <c r="I289" i="4" s="1"/>
  <c r="J289" i="4" s="1"/>
  <c r="K289" i="4" s="1"/>
  <c r="E289" i="4"/>
  <c r="D289" i="4"/>
  <c r="F294" i="4"/>
  <c r="E294" i="4"/>
  <c r="D294" i="4"/>
  <c r="F293" i="4"/>
  <c r="E293" i="4"/>
  <c r="D293" i="4"/>
  <c r="F292" i="4"/>
  <c r="E292" i="4"/>
  <c r="D292" i="4"/>
  <c r="F291" i="4"/>
  <c r="E291" i="4"/>
  <c r="F288" i="4"/>
  <c r="G283" i="4" s="1"/>
  <c r="E288" i="4"/>
  <c r="F283" i="4" s="1"/>
  <c r="D288" i="4"/>
  <c r="E283" i="4" s="1"/>
  <c r="E21" i="3" l="1"/>
  <c r="H21" i="2"/>
  <c r="H19" i="2"/>
  <c r="I19" i="2"/>
  <c r="E21" i="2"/>
  <c r="G292" i="4"/>
  <c r="G291" i="4"/>
  <c r="G293" i="4"/>
  <c r="H293" i="4" s="1"/>
  <c r="G294" i="4"/>
  <c r="H294" i="4" s="1"/>
  <c r="H292" i="4"/>
  <c r="H291" i="4" l="1"/>
  <c r="I291" i="4" s="1"/>
  <c r="J291" i="4" s="1"/>
  <c r="I294" i="4"/>
  <c r="I292" i="4"/>
  <c r="I293" i="4"/>
  <c r="J293" i="4" l="1"/>
  <c r="K291" i="4"/>
  <c r="J292" i="4"/>
  <c r="J294" i="4"/>
  <c r="K294" i="4" l="1"/>
  <c r="K292" i="4"/>
  <c r="K293" i="4"/>
  <c r="F38" i="4" l="1"/>
  <c r="E38" i="4"/>
  <c r="D38" i="4"/>
  <c r="G78" i="4"/>
  <c r="H78" i="4" s="1"/>
  <c r="I78" i="4" s="1"/>
  <c r="J78" i="4" s="1"/>
  <c r="K78" i="4" s="1"/>
  <c r="G70" i="4"/>
  <c r="H70" i="4" s="1"/>
  <c r="I70" i="4" s="1"/>
  <c r="J70" i="4" s="1"/>
  <c r="K70" i="4" s="1"/>
  <c r="G272" i="4"/>
  <c r="H272" i="4" s="1"/>
  <c r="F276" i="4"/>
  <c r="E276" i="4"/>
  <c r="D276" i="4"/>
  <c r="D273" i="4"/>
  <c r="D277" i="4" s="1"/>
  <c r="E273" i="4"/>
  <c r="E277" i="4" s="1"/>
  <c r="F273" i="4"/>
  <c r="F277" i="4" s="1"/>
  <c r="F241" i="4"/>
  <c r="G238" i="4" s="1"/>
  <c r="E241" i="4"/>
  <c r="F238" i="4" s="1"/>
  <c r="D241" i="4"/>
  <c r="E238" i="4" s="1"/>
  <c r="G38" i="4" l="1"/>
  <c r="H38" i="4" s="1"/>
  <c r="G277" i="4"/>
  <c r="H277" i="4" s="1"/>
  <c r="G276" i="4"/>
  <c r="H276" i="4" s="1"/>
  <c r="I276" i="4" s="1"/>
  <c r="J276" i="4" s="1"/>
  <c r="K276" i="4" s="1"/>
  <c r="I272" i="4"/>
  <c r="F226" i="4"/>
  <c r="E226" i="4"/>
  <c r="D226" i="4"/>
  <c r="F221" i="4"/>
  <c r="E221" i="4"/>
  <c r="D221" i="4"/>
  <c r="F227" i="4" l="1"/>
  <c r="E227" i="4"/>
  <c r="I38" i="4"/>
  <c r="I277" i="4"/>
  <c r="J272" i="4"/>
  <c r="J38" i="4" l="1"/>
  <c r="J277" i="4"/>
  <c r="K272" i="4"/>
  <c r="K38" i="4" l="1"/>
  <c r="K277" i="4"/>
  <c r="G220" i="4" l="1"/>
  <c r="F220" i="4"/>
  <c r="F222" i="4" s="1"/>
  <c r="E220" i="4"/>
  <c r="F231" i="4"/>
  <c r="F228" i="4" s="1"/>
  <c r="G228" i="4" s="1"/>
  <c r="E231" i="4"/>
  <c r="E228" i="4" s="1"/>
  <c r="F230" i="4"/>
  <c r="E230" i="4"/>
  <c r="D231" i="4"/>
  <c r="D230" i="4"/>
  <c r="D265" i="4"/>
  <c r="D264" i="4"/>
  <c r="F263" i="4"/>
  <c r="G260" i="4" s="1"/>
  <c r="E263" i="4"/>
  <c r="F260" i="4" s="1"/>
  <c r="F264" i="4" s="1"/>
  <c r="D263" i="4"/>
  <c r="E260" i="4" s="1"/>
  <c r="E265" i="4" s="1"/>
  <c r="G65" i="4"/>
  <c r="H65" i="4" s="1"/>
  <c r="D141" i="4"/>
  <c r="D142" i="4" s="1"/>
  <c r="E141" i="4"/>
  <c r="E143" i="4" s="1"/>
  <c r="F141" i="4"/>
  <c r="F143" i="4" s="1"/>
  <c r="F137" i="4"/>
  <c r="E137" i="4"/>
  <c r="F136" i="4"/>
  <c r="E136" i="4"/>
  <c r="D137" i="4"/>
  <c r="D136" i="4"/>
  <c r="F134" i="4"/>
  <c r="G131" i="4" s="1"/>
  <c r="E134" i="4"/>
  <c r="F131" i="4" s="1"/>
  <c r="D134" i="4"/>
  <c r="E131" i="4" s="1"/>
  <c r="I65" i="4" l="1"/>
  <c r="G231" i="4"/>
  <c r="G24" i="4" s="1"/>
  <c r="H228" i="4"/>
  <c r="E222" i="4"/>
  <c r="E223" i="4" s="1"/>
  <c r="F223" i="4"/>
  <c r="G137" i="4"/>
  <c r="H137" i="4" s="1"/>
  <c r="I137" i="4" s="1"/>
  <c r="J137" i="4" s="1"/>
  <c r="K137" i="4" s="1"/>
  <c r="G136" i="4"/>
  <c r="H136" i="4" s="1"/>
  <c r="I136" i="4" s="1"/>
  <c r="J136" i="4" s="1"/>
  <c r="K136" i="4" s="1"/>
  <c r="F142" i="4"/>
  <c r="E142" i="4"/>
  <c r="D143" i="4"/>
  <c r="E264" i="4"/>
  <c r="G264" i="4" s="1"/>
  <c r="H264" i="4" s="1"/>
  <c r="I264" i="4" s="1"/>
  <c r="J264" i="4" s="1"/>
  <c r="K264" i="4" s="1"/>
  <c r="F265" i="4"/>
  <c r="G265" i="4" s="1"/>
  <c r="H265" i="4" s="1"/>
  <c r="I265" i="4" s="1"/>
  <c r="J265" i="4" s="1"/>
  <c r="K265" i="4" s="1"/>
  <c r="F254" i="4"/>
  <c r="E254" i="4"/>
  <c r="F253" i="4"/>
  <c r="E253" i="4"/>
  <c r="D254" i="4"/>
  <c r="D253" i="4"/>
  <c r="F252" i="4"/>
  <c r="G249" i="4" s="1"/>
  <c r="E252" i="4"/>
  <c r="F249" i="4" s="1"/>
  <c r="D252" i="4"/>
  <c r="E249" i="4" s="1"/>
  <c r="F274" i="4"/>
  <c r="G271" i="4" s="1"/>
  <c r="E274" i="4"/>
  <c r="F271" i="4" s="1"/>
  <c r="D274" i="4"/>
  <c r="E271" i="4" s="1"/>
  <c r="G27" i="4"/>
  <c r="H27" i="4" s="1"/>
  <c r="I27" i="4" s="1"/>
  <c r="J27" i="4" s="1"/>
  <c r="K27" i="4" s="1"/>
  <c r="G54" i="4"/>
  <c r="H54" i="4" s="1"/>
  <c r="F196" i="4"/>
  <c r="E196" i="4"/>
  <c r="F195" i="4"/>
  <c r="F211" i="4" s="1"/>
  <c r="E195" i="4"/>
  <c r="E211" i="4" s="1"/>
  <c r="F194" i="4"/>
  <c r="F212" i="4" s="1"/>
  <c r="E194" i="4"/>
  <c r="F203" i="4"/>
  <c r="E203" i="4"/>
  <c r="F202" i="4"/>
  <c r="E202" i="4"/>
  <c r="F201" i="4"/>
  <c r="E201" i="4"/>
  <c r="F200" i="4"/>
  <c r="E200" i="4"/>
  <c r="D203" i="4"/>
  <c r="D202" i="4"/>
  <c r="D201" i="4"/>
  <c r="D200" i="4"/>
  <c r="D213" i="4" s="1"/>
  <c r="D196" i="4"/>
  <c r="D195" i="4"/>
  <c r="D211" i="4" s="1"/>
  <c r="D194" i="4"/>
  <c r="D212" i="4" s="1"/>
  <c r="F34" i="4"/>
  <c r="E34" i="4"/>
  <c r="F37" i="4"/>
  <c r="E37" i="4"/>
  <c r="D37" i="4"/>
  <c r="F36" i="4"/>
  <c r="E36" i="4"/>
  <c r="D36" i="4"/>
  <c r="G165" i="4"/>
  <c r="G164" i="4"/>
  <c r="H164" i="4" s="1"/>
  <c r="I164" i="4" s="1"/>
  <c r="J164" i="4" s="1"/>
  <c r="K164" i="4" s="1"/>
  <c r="G163" i="4"/>
  <c r="H163" i="4" s="1"/>
  <c r="I163" i="4" s="1"/>
  <c r="J163" i="4" s="1"/>
  <c r="K163" i="4" s="1"/>
  <c r="H187" i="4"/>
  <c r="I187" i="4" s="1"/>
  <c r="J187" i="4" s="1"/>
  <c r="K187" i="4" s="1"/>
  <c r="H175" i="4"/>
  <c r="I175" i="4" s="1"/>
  <c r="J175" i="4" s="1"/>
  <c r="K175" i="4" s="1"/>
  <c r="H181" i="4"/>
  <c r="I181" i="4" s="1"/>
  <c r="J181" i="4" s="1"/>
  <c r="K181" i="4" s="1"/>
  <c r="G162" i="4"/>
  <c r="H162" i="4" s="1"/>
  <c r="I162" i="4" s="1"/>
  <c r="J162" i="4" s="1"/>
  <c r="K162" i="4" s="1"/>
  <c r="G159" i="4"/>
  <c r="G158" i="4"/>
  <c r="H158" i="4" s="1"/>
  <c r="G157" i="4"/>
  <c r="H157" i="4" s="1"/>
  <c r="I157" i="4" s="1"/>
  <c r="G156" i="4"/>
  <c r="G153" i="4"/>
  <c r="G152" i="4"/>
  <c r="H152" i="4" s="1"/>
  <c r="I152" i="4" s="1"/>
  <c r="J152" i="4" s="1"/>
  <c r="K152" i="4" s="1"/>
  <c r="G151" i="4"/>
  <c r="H151" i="4" s="1"/>
  <c r="I151" i="4" s="1"/>
  <c r="J151" i="4" s="1"/>
  <c r="K151" i="4" s="1"/>
  <c r="G150" i="4"/>
  <c r="G86" i="4"/>
  <c r="H86" i="4" s="1"/>
  <c r="I86" i="4" s="1"/>
  <c r="J86" i="4" s="1"/>
  <c r="K86" i="4" s="1"/>
  <c r="G84" i="4"/>
  <c r="H84" i="4" s="1"/>
  <c r="I84" i="4" s="1"/>
  <c r="J84" i="4" s="1"/>
  <c r="K84" i="4" s="1"/>
  <c r="F187" i="4"/>
  <c r="E187" i="4"/>
  <c r="F186" i="4"/>
  <c r="E186" i="4"/>
  <c r="F185" i="4"/>
  <c r="E185" i="4"/>
  <c r="F184" i="4"/>
  <c r="E184" i="4"/>
  <c r="F181" i="4"/>
  <c r="E181" i="4"/>
  <c r="F180" i="4"/>
  <c r="E180" i="4"/>
  <c r="F178" i="4"/>
  <c r="E178" i="4"/>
  <c r="F175" i="4"/>
  <c r="E175" i="4"/>
  <c r="F174" i="4"/>
  <c r="E174" i="4"/>
  <c r="F172" i="4"/>
  <c r="E172" i="4"/>
  <c r="E166" i="4"/>
  <c r="D166" i="4"/>
  <c r="D154" i="4"/>
  <c r="D160" i="4"/>
  <c r="E160" i="4"/>
  <c r="E154" i="4"/>
  <c r="F166" i="4"/>
  <c r="F160" i="4"/>
  <c r="F154" i="4"/>
  <c r="F72" i="4"/>
  <c r="E72" i="4"/>
  <c r="F79" i="4"/>
  <c r="E79" i="4"/>
  <c r="F88" i="4"/>
  <c r="E88" i="4"/>
  <c r="G122" i="4"/>
  <c r="D88" i="4"/>
  <c r="D79" i="4"/>
  <c r="D72" i="4"/>
  <c r="F51" i="4"/>
  <c r="E51" i="4"/>
  <c r="D51" i="4"/>
  <c r="F58" i="4"/>
  <c r="E58" i="4"/>
  <c r="D58" i="4"/>
  <c r="F18" i="4"/>
  <c r="F22" i="4" s="1"/>
  <c r="E18" i="4"/>
  <c r="E22" i="4" s="1"/>
  <c r="D18" i="4"/>
  <c r="D22" i="4" s="1"/>
  <c r="I54" i="4" l="1"/>
  <c r="J65" i="4"/>
  <c r="D25" i="4"/>
  <c r="D28" i="4" s="1"/>
  <c r="D239" i="4" s="1"/>
  <c r="D243" i="4" s="1"/>
  <c r="D30" i="4"/>
  <c r="D31" i="4" s="1"/>
  <c r="I228" i="4"/>
  <c r="E25" i="4"/>
  <c r="E28" i="4" s="1"/>
  <c r="E239" i="4" s="1"/>
  <c r="E243" i="4" s="1"/>
  <c r="E30" i="4"/>
  <c r="E31" i="4" s="1"/>
  <c r="F25" i="4"/>
  <c r="F28" i="4" s="1"/>
  <c r="F239" i="4" s="1"/>
  <c r="F243" i="4" s="1"/>
  <c r="G243" i="4" s="1"/>
  <c r="F30" i="4"/>
  <c r="F31" i="4" s="1"/>
  <c r="G223" i="4"/>
  <c r="G230" i="4" s="1"/>
  <c r="G262" i="4"/>
  <c r="G101" i="4" s="1"/>
  <c r="G261" i="4"/>
  <c r="G100" i="4" s="1"/>
  <c r="G254" i="4"/>
  <c r="H254" i="4" s="1"/>
  <c r="G253" i="4"/>
  <c r="E197" i="4"/>
  <c r="E212" i="4"/>
  <c r="G212" i="4" s="1"/>
  <c r="H212" i="4" s="1"/>
  <c r="D204" i="4"/>
  <c r="G211" i="4"/>
  <c r="H211" i="4" s="1"/>
  <c r="F197" i="4"/>
  <c r="E204" i="4"/>
  <c r="F204" i="4"/>
  <c r="D197" i="4"/>
  <c r="F213" i="4"/>
  <c r="E213" i="4"/>
  <c r="G37" i="4"/>
  <c r="H37" i="4" s="1"/>
  <c r="I37" i="4" s="1"/>
  <c r="J37" i="4" s="1"/>
  <c r="K37" i="4" s="1"/>
  <c r="G36" i="4"/>
  <c r="H36" i="4" s="1"/>
  <c r="I36" i="4" s="1"/>
  <c r="J36" i="4" s="1"/>
  <c r="K36" i="4" s="1"/>
  <c r="E35" i="4"/>
  <c r="F167" i="4"/>
  <c r="F169" i="4" s="1"/>
  <c r="F35" i="4"/>
  <c r="D167" i="4"/>
  <c r="D169" i="4" s="1"/>
  <c r="G166" i="4"/>
  <c r="E167" i="4"/>
  <c r="E169" i="4" s="1"/>
  <c r="D35" i="4"/>
  <c r="G154" i="4"/>
  <c r="G160" i="4"/>
  <c r="H165" i="4"/>
  <c r="I165" i="4" s="1"/>
  <c r="J165" i="4" s="1"/>
  <c r="K165" i="4" s="1"/>
  <c r="K166" i="4" s="1"/>
  <c r="H156" i="4"/>
  <c r="I156" i="4" s="1"/>
  <c r="J156" i="4" s="1"/>
  <c r="K156" i="4" s="1"/>
  <c r="H150" i="4"/>
  <c r="I150" i="4" s="1"/>
  <c r="J150" i="4" s="1"/>
  <c r="K150" i="4" s="1"/>
  <c r="H159" i="4"/>
  <c r="I159" i="4" s="1"/>
  <c r="J159" i="4" s="1"/>
  <c r="K159" i="4" s="1"/>
  <c r="H153" i="4"/>
  <c r="I158" i="4"/>
  <c r="J158" i="4" s="1"/>
  <c r="K158" i="4" s="1"/>
  <c r="J157" i="4"/>
  <c r="K157" i="4" s="1"/>
  <c r="K65" i="4" l="1"/>
  <c r="J54" i="4"/>
  <c r="H253" i="4"/>
  <c r="I253" i="4" s="1"/>
  <c r="E39" i="4"/>
  <c r="D39" i="4"/>
  <c r="H243" i="4"/>
  <c r="J228" i="4"/>
  <c r="F39" i="4"/>
  <c r="G39" i="4" s="1"/>
  <c r="H39" i="4" s="1"/>
  <c r="H223" i="4"/>
  <c r="G263" i="4"/>
  <c r="G76" i="4" s="1"/>
  <c r="I254" i="4"/>
  <c r="E206" i="4"/>
  <c r="E207" i="4" s="1"/>
  <c r="D206" i="4"/>
  <c r="D207" i="4" s="1"/>
  <c r="F206" i="4"/>
  <c r="G213" i="4"/>
  <c r="H213" i="4" s="1"/>
  <c r="I211" i="4"/>
  <c r="I212" i="4"/>
  <c r="J166" i="4"/>
  <c r="H166" i="4"/>
  <c r="G167" i="4"/>
  <c r="G16" i="4" s="1"/>
  <c r="G250" i="4" s="1"/>
  <c r="G284" i="4" s="1"/>
  <c r="I166" i="4"/>
  <c r="G35" i="4"/>
  <c r="H35" i="4" s="1"/>
  <c r="I35" i="4" s="1"/>
  <c r="J35" i="4" s="1"/>
  <c r="K35" i="4" s="1"/>
  <c r="I160" i="4"/>
  <c r="H160" i="4"/>
  <c r="I153" i="4"/>
  <c r="H154" i="4"/>
  <c r="J160" i="4"/>
  <c r="K160" i="4"/>
  <c r="B3" i="2"/>
  <c r="K54" i="4" l="1"/>
  <c r="G287" i="4"/>
  <c r="G108" i="4" s="1"/>
  <c r="G286" i="4"/>
  <c r="G117" i="4" s="1"/>
  <c r="G285" i="4"/>
  <c r="G273" i="4"/>
  <c r="G274" i="4" s="1"/>
  <c r="H271" i="4" s="1"/>
  <c r="G21" i="4"/>
  <c r="K228" i="4"/>
  <c r="I223" i="4"/>
  <c r="I243" i="4"/>
  <c r="H260" i="4"/>
  <c r="H262" i="4" s="1"/>
  <c r="H101" i="4" s="1"/>
  <c r="F208" i="4"/>
  <c r="E208" i="4"/>
  <c r="G133" i="4"/>
  <c r="G132" i="4"/>
  <c r="G113" i="4" s="1"/>
  <c r="G114" i="4" s="1"/>
  <c r="G251" i="4"/>
  <c r="F207" i="4"/>
  <c r="J253" i="4"/>
  <c r="J254" i="4"/>
  <c r="I39" i="4"/>
  <c r="J211" i="4"/>
  <c r="I213" i="4"/>
  <c r="G194" i="4"/>
  <c r="G202" i="4"/>
  <c r="G69" i="4" s="1"/>
  <c r="G196" i="4"/>
  <c r="G50" i="4" s="1"/>
  <c r="G201" i="4"/>
  <c r="G203" i="4"/>
  <c r="G71" i="4" s="1"/>
  <c r="J212" i="4"/>
  <c r="G169" i="4"/>
  <c r="G34" i="4"/>
  <c r="G19" i="4"/>
  <c r="G20" i="4"/>
  <c r="H167" i="4"/>
  <c r="H16" i="4" s="1"/>
  <c r="G17" i="4"/>
  <c r="J153" i="4"/>
  <c r="I154" i="4"/>
  <c r="I167" i="4" s="1"/>
  <c r="G23" i="4" l="1"/>
  <c r="G103" i="4"/>
  <c r="G55" i="4"/>
  <c r="G288" i="4"/>
  <c r="H287" i="4"/>
  <c r="H108" i="4" s="1"/>
  <c r="H285" i="4"/>
  <c r="H103" i="4" s="1"/>
  <c r="H286" i="4"/>
  <c r="H117" i="4" s="1"/>
  <c r="H273" i="4"/>
  <c r="H274" i="4" s="1"/>
  <c r="H21" i="4"/>
  <c r="G141" i="4"/>
  <c r="G143" i="4" s="1"/>
  <c r="G99" i="4" s="1"/>
  <c r="J223" i="4"/>
  <c r="J243" i="4"/>
  <c r="H261" i="4"/>
  <c r="G252" i="4"/>
  <c r="G56" i="4" s="1"/>
  <c r="G134" i="4"/>
  <c r="G57" i="4" s="1"/>
  <c r="K254" i="4"/>
  <c r="H132" i="4"/>
  <c r="H113" i="4" s="1"/>
  <c r="H114" i="4" s="1"/>
  <c r="H133" i="4"/>
  <c r="H251" i="4"/>
  <c r="H250" i="4"/>
  <c r="H284" i="4" s="1"/>
  <c r="K253" i="4"/>
  <c r="K211" i="4"/>
  <c r="G18" i="4"/>
  <c r="G22" i="4" s="1"/>
  <c r="G195" i="4"/>
  <c r="G49" i="4" s="1"/>
  <c r="G200" i="4"/>
  <c r="G67" i="4" s="1"/>
  <c r="H17" i="4"/>
  <c r="H196" i="4"/>
  <c r="H50" i="4" s="1"/>
  <c r="H203" i="4"/>
  <c r="H71" i="4" s="1"/>
  <c r="H201" i="4"/>
  <c r="H68" i="4" s="1"/>
  <c r="H202" i="4"/>
  <c r="H69" i="4" s="1"/>
  <c r="H194" i="4"/>
  <c r="H48" i="4" s="1"/>
  <c r="G68" i="4"/>
  <c r="G48" i="4"/>
  <c r="K212" i="4"/>
  <c r="J213" i="4"/>
  <c r="J39" i="4"/>
  <c r="H169" i="4"/>
  <c r="H20" i="4"/>
  <c r="H34" i="4"/>
  <c r="H19" i="4"/>
  <c r="I16" i="4"/>
  <c r="K153" i="4"/>
  <c r="K154" i="4" s="1"/>
  <c r="K167" i="4" s="1"/>
  <c r="J154" i="4"/>
  <c r="J167" i="4" s="1"/>
  <c r="H263" i="4" l="1"/>
  <c r="H100" i="4"/>
  <c r="I271" i="4"/>
  <c r="H55" i="4"/>
  <c r="G25" i="4"/>
  <c r="H283" i="4"/>
  <c r="H288" i="4" s="1"/>
  <c r="G75" i="4"/>
  <c r="G79" i="4" s="1"/>
  <c r="G66" i="4"/>
  <c r="H141" i="4"/>
  <c r="H142" i="4" s="1"/>
  <c r="I286" i="4"/>
  <c r="I117" i="4" s="1"/>
  <c r="I285" i="4"/>
  <c r="I103" i="4" s="1"/>
  <c r="I287" i="4"/>
  <c r="I108" i="4" s="1"/>
  <c r="I273" i="4"/>
  <c r="I21" i="4"/>
  <c r="G142" i="4"/>
  <c r="G197" i="4"/>
  <c r="G30" i="4"/>
  <c r="G31" i="4" s="1"/>
  <c r="G204" i="4"/>
  <c r="K243" i="4"/>
  <c r="K223" i="4"/>
  <c r="H249" i="4"/>
  <c r="H252" i="4" s="1"/>
  <c r="H131" i="4"/>
  <c r="H134" i="4" s="1"/>
  <c r="G58" i="4"/>
  <c r="I132" i="4"/>
  <c r="I113" i="4" s="1"/>
  <c r="I114" i="4" s="1"/>
  <c r="I133" i="4"/>
  <c r="I251" i="4"/>
  <c r="I250" i="4"/>
  <c r="I284" i="4" s="1"/>
  <c r="I196" i="4"/>
  <c r="I50" i="4" s="1"/>
  <c r="I203" i="4"/>
  <c r="I71" i="4" s="1"/>
  <c r="I201" i="4"/>
  <c r="I68" i="4" s="1"/>
  <c r="I202" i="4"/>
  <c r="I69" i="4" s="1"/>
  <c r="I194" i="4"/>
  <c r="I48" i="4" s="1"/>
  <c r="G26" i="4"/>
  <c r="G28" i="4" s="1"/>
  <c r="K213" i="4"/>
  <c r="H18" i="4"/>
  <c r="H22" i="4" s="1"/>
  <c r="H195" i="4"/>
  <c r="H200" i="4"/>
  <c r="K39" i="4"/>
  <c r="I169" i="4"/>
  <c r="I20" i="4"/>
  <c r="I34" i="4"/>
  <c r="I19" i="4"/>
  <c r="J16" i="4"/>
  <c r="K16" i="4"/>
  <c r="I17" i="4"/>
  <c r="I131" i="4" l="1"/>
  <c r="H57" i="4"/>
  <c r="H204" i="4"/>
  <c r="H67" i="4"/>
  <c r="I283" i="4"/>
  <c r="H66" i="4"/>
  <c r="H75" i="4"/>
  <c r="H79" i="4" s="1"/>
  <c r="H197" i="4"/>
  <c r="H49" i="4"/>
  <c r="I249" i="4"/>
  <c r="H56" i="4"/>
  <c r="H58" i="4" s="1"/>
  <c r="I274" i="4"/>
  <c r="I260" i="4"/>
  <c r="H76" i="4"/>
  <c r="H143" i="4"/>
  <c r="H99" i="4" s="1"/>
  <c r="I141" i="4"/>
  <c r="I142" i="4" s="1"/>
  <c r="K285" i="4"/>
  <c r="K286" i="4"/>
  <c r="K117" i="4" s="1"/>
  <c r="K287" i="4"/>
  <c r="K108" i="4" s="1"/>
  <c r="I288" i="4"/>
  <c r="J285" i="4"/>
  <c r="J287" i="4"/>
  <c r="J108" i="4" s="1"/>
  <c r="J286" i="4"/>
  <c r="J117" i="4" s="1"/>
  <c r="K273" i="4"/>
  <c r="K21" i="4"/>
  <c r="J273" i="4"/>
  <c r="J21" i="4"/>
  <c r="G239" i="4"/>
  <c r="G240" i="4" s="1"/>
  <c r="G98" i="4"/>
  <c r="G104" i="4" s="1"/>
  <c r="G206" i="4"/>
  <c r="G208" i="4" s="1"/>
  <c r="G107" i="4" s="1"/>
  <c r="G109" i="4" s="1"/>
  <c r="K169" i="4"/>
  <c r="G221" i="4"/>
  <c r="G72" i="4"/>
  <c r="I252" i="4"/>
  <c r="I134" i="4"/>
  <c r="K133" i="4"/>
  <c r="K132" i="4"/>
  <c r="K113" i="4" s="1"/>
  <c r="K114" i="4" s="1"/>
  <c r="K250" i="4"/>
  <c r="K284" i="4" s="1"/>
  <c r="J132" i="4"/>
  <c r="J113" i="4" s="1"/>
  <c r="J114" i="4" s="1"/>
  <c r="J133" i="4"/>
  <c r="J250" i="4"/>
  <c r="J284" i="4" s="1"/>
  <c r="J251" i="4"/>
  <c r="K251" i="4"/>
  <c r="J196" i="4"/>
  <c r="J50" i="4" s="1"/>
  <c r="J203" i="4"/>
  <c r="J71" i="4" s="1"/>
  <c r="J201" i="4"/>
  <c r="J68" i="4" s="1"/>
  <c r="J202" i="4"/>
  <c r="J69" i="4" s="1"/>
  <c r="J194" i="4"/>
  <c r="J48" i="4" s="1"/>
  <c r="I18" i="4"/>
  <c r="I22" i="4" s="1"/>
  <c r="I195" i="4"/>
  <c r="I200" i="4"/>
  <c r="K201" i="4"/>
  <c r="K68" i="4" s="1"/>
  <c r="K202" i="4"/>
  <c r="K69" i="4" s="1"/>
  <c r="K203" i="4"/>
  <c r="K71" i="4" s="1"/>
  <c r="K196" i="4"/>
  <c r="K50" i="4" s="1"/>
  <c r="K194" i="4"/>
  <c r="K48" i="4" s="1"/>
  <c r="K34" i="4"/>
  <c r="K19" i="4"/>
  <c r="K20" i="4"/>
  <c r="J169" i="4"/>
  <c r="J20" i="4"/>
  <c r="J34" i="4"/>
  <c r="J19" i="4"/>
  <c r="K17" i="4"/>
  <c r="K200" i="4" s="1"/>
  <c r="K67" i="4" s="1"/>
  <c r="J17" i="4"/>
  <c r="H206" i="4" l="1"/>
  <c r="H207" i="4" s="1"/>
  <c r="J271" i="4"/>
  <c r="J274" i="4" s="1"/>
  <c r="I55" i="4"/>
  <c r="I197" i="4"/>
  <c r="I49" i="4"/>
  <c r="J131" i="4"/>
  <c r="J134" i="4" s="1"/>
  <c r="I57" i="4"/>
  <c r="J103" i="4"/>
  <c r="K103" i="4"/>
  <c r="H221" i="4"/>
  <c r="I220" i="4" s="1"/>
  <c r="H72" i="4"/>
  <c r="H81" i="4" s="1"/>
  <c r="I204" i="4"/>
  <c r="I67" i="4"/>
  <c r="J249" i="4"/>
  <c r="I56" i="4"/>
  <c r="H30" i="4"/>
  <c r="H31" i="4" s="1"/>
  <c r="J283" i="4"/>
  <c r="I66" i="4"/>
  <c r="I75" i="4"/>
  <c r="I261" i="4"/>
  <c r="I100" i="4" s="1"/>
  <c r="I262" i="4"/>
  <c r="I143" i="4"/>
  <c r="I99" i="4" s="1"/>
  <c r="K141" i="4"/>
  <c r="K142" i="4" s="1"/>
  <c r="J288" i="4"/>
  <c r="G241" i="4"/>
  <c r="H238" i="4" s="1"/>
  <c r="G118" i="4"/>
  <c r="G207" i="4"/>
  <c r="J141" i="4"/>
  <c r="J142" i="4" s="1"/>
  <c r="H220" i="4"/>
  <c r="H222" i="4" s="1"/>
  <c r="I230" i="4" s="1"/>
  <c r="G222" i="4"/>
  <c r="H230" i="4" s="1"/>
  <c r="J252" i="4"/>
  <c r="H208" i="4"/>
  <c r="H107" i="4" s="1"/>
  <c r="H109" i="4" s="1"/>
  <c r="K204" i="4"/>
  <c r="J18" i="4"/>
  <c r="J22" i="4" s="1"/>
  <c r="J195" i="4"/>
  <c r="J200" i="4"/>
  <c r="K18" i="4"/>
  <c r="K22" i="4" s="1"/>
  <c r="K195" i="4"/>
  <c r="D81" i="4"/>
  <c r="F14" i="4"/>
  <c r="F281" i="4" s="1"/>
  <c r="F13" i="4"/>
  <c r="F280" i="4" s="1"/>
  <c r="C2" i="4"/>
  <c r="I206" i="4" l="1"/>
  <c r="I207" i="4" s="1"/>
  <c r="I58" i="4"/>
  <c r="I30" i="4"/>
  <c r="I31" i="4" s="1"/>
  <c r="K131" i="4"/>
  <c r="K134" i="4" s="1"/>
  <c r="K57" i="4" s="1"/>
  <c r="J57" i="4"/>
  <c r="K271" i="4"/>
  <c r="K274" i="4" s="1"/>
  <c r="K55" i="4" s="1"/>
  <c r="J55" i="4"/>
  <c r="K249" i="4"/>
  <c r="K252" i="4" s="1"/>
  <c r="K56" i="4" s="1"/>
  <c r="J56" i="4"/>
  <c r="J204" i="4"/>
  <c r="J67" i="4"/>
  <c r="I263" i="4"/>
  <c r="I101" i="4"/>
  <c r="I221" i="4"/>
  <c r="J220" i="4" s="1"/>
  <c r="I72" i="4"/>
  <c r="K283" i="4"/>
  <c r="K288" i="4" s="1"/>
  <c r="J75" i="4"/>
  <c r="J66" i="4"/>
  <c r="J197" i="4"/>
  <c r="J49" i="4"/>
  <c r="K197" i="4"/>
  <c r="K206" i="4" s="1"/>
  <c r="K207" i="4" s="1"/>
  <c r="K49" i="4"/>
  <c r="G87" i="4"/>
  <c r="G88" i="4" s="1"/>
  <c r="I23" i="4"/>
  <c r="H23" i="4"/>
  <c r="K143" i="4"/>
  <c r="J143" i="4"/>
  <c r="F234" i="4"/>
  <c r="F235" i="4"/>
  <c r="I208" i="4"/>
  <c r="I107" i="4" s="1"/>
  <c r="I109" i="4" s="1"/>
  <c r="F268" i="4"/>
  <c r="F269" i="4"/>
  <c r="F191" i="4"/>
  <c r="F147" i="4"/>
  <c r="F190" i="4"/>
  <c r="F146" i="4"/>
  <c r="D90" i="4"/>
  <c r="F81" i="4"/>
  <c r="F90" i="4" s="1"/>
  <c r="F60" i="4"/>
  <c r="D60" i="4"/>
  <c r="E81" i="4"/>
  <c r="E90" i="4" s="1"/>
  <c r="E60" i="4"/>
  <c r="G14" i="4"/>
  <c r="G281" i="4" s="1"/>
  <c r="G13" i="4"/>
  <c r="G280" i="4" s="1"/>
  <c r="E13" i="4"/>
  <c r="E280" i="4" s="1"/>
  <c r="E14" i="4"/>
  <c r="E281" i="4" s="1"/>
  <c r="F216" i="4"/>
  <c r="F217" i="4"/>
  <c r="F246" i="4"/>
  <c r="F247" i="4"/>
  <c r="F257" i="4"/>
  <c r="F258" i="4"/>
  <c r="F42" i="4"/>
  <c r="F43" i="4"/>
  <c r="F128" i="4"/>
  <c r="F129" i="4"/>
  <c r="J206" i="4" l="1"/>
  <c r="J208" i="4" s="1"/>
  <c r="J107" i="4" s="1"/>
  <c r="J109" i="4" s="1"/>
  <c r="K58" i="4"/>
  <c r="I222" i="4"/>
  <c r="J230" i="4" s="1"/>
  <c r="J23" i="4" s="1"/>
  <c r="J58" i="4"/>
  <c r="J260" i="4"/>
  <c r="I76" i="4"/>
  <c r="I79" i="4" s="1"/>
  <c r="I81" i="4" s="1"/>
  <c r="J30" i="4"/>
  <c r="J31" i="4" s="1"/>
  <c r="J99" i="4"/>
  <c r="K30" i="4"/>
  <c r="K31" i="4" s="1"/>
  <c r="K99" i="4"/>
  <c r="J72" i="4"/>
  <c r="J221" i="4"/>
  <c r="K220" i="4" s="1"/>
  <c r="K75" i="4"/>
  <c r="K66" i="4"/>
  <c r="J207" i="4"/>
  <c r="E235" i="4"/>
  <c r="E234" i="4"/>
  <c r="G235" i="4"/>
  <c r="G234" i="4"/>
  <c r="K208" i="4"/>
  <c r="K107" i="4" s="1"/>
  <c r="K109" i="4" s="1"/>
  <c r="G269" i="4"/>
  <c r="E269" i="4"/>
  <c r="E268" i="4"/>
  <c r="G268" i="4"/>
  <c r="E191" i="4"/>
  <c r="E147" i="4"/>
  <c r="E190" i="4"/>
  <c r="E146" i="4"/>
  <c r="G190" i="4"/>
  <c r="G146" i="4"/>
  <c r="G191" i="4"/>
  <c r="G147" i="4"/>
  <c r="D92" i="4"/>
  <c r="E92" i="4"/>
  <c r="F92" i="4"/>
  <c r="G43" i="4"/>
  <c r="G246" i="4"/>
  <c r="G217" i="4"/>
  <c r="G129" i="4"/>
  <c r="G258" i="4"/>
  <c r="G257" i="4"/>
  <c r="H13" i="4"/>
  <c r="H280" i="4" s="1"/>
  <c r="H14" i="4"/>
  <c r="H281" i="4" s="1"/>
  <c r="G247" i="4"/>
  <c r="G96" i="4"/>
  <c r="G95" i="4"/>
  <c r="G42" i="4"/>
  <c r="G128" i="4"/>
  <c r="G216" i="4"/>
  <c r="E129" i="4"/>
  <c r="E43" i="4"/>
  <c r="E258" i="4"/>
  <c r="E247" i="4"/>
  <c r="E217" i="4"/>
  <c r="D14" i="4"/>
  <c r="D281" i="4" s="1"/>
  <c r="E128" i="4"/>
  <c r="E42" i="4"/>
  <c r="E257" i="4"/>
  <c r="E246" i="4"/>
  <c r="E216" i="4"/>
  <c r="D13" i="4"/>
  <c r="D280" i="4" s="1"/>
  <c r="J222" i="4" l="1"/>
  <c r="K230" i="4" s="1"/>
  <c r="K23" i="4" s="1"/>
  <c r="K72" i="4"/>
  <c r="K221" i="4"/>
  <c r="K222" i="4" s="1"/>
  <c r="J262" i="4"/>
  <c r="J101" i="4" s="1"/>
  <c r="J261" i="4"/>
  <c r="D235" i="4"/>
  <c r="H234" i="4"/>
  <c r="H235" i="4"/>
  <c r="D234" i="4"/>
  <c r="H269" i="4"/>
  <c r="H268" i="4"/>
  <c r="D268" i="4"/>
  <c r="D269" i="4"/>
  <c r="H191" i="4"/>
  <c r="H147" i="4"/>
  <c r="H190" i="4"/>
  <c r="H146" i="4"/>
  <c r="D190" i="4"/>
  <c r="D146" i="4"/>
  <c r="D191" i="4"/>
  <c r="D147" i="4"/>
  <c r="H258" i="4"/>
  <c r="I14" i="4"/>
  <c r="I281" i="4" s="1"/>
  <c r="H96" i="4"/>
  <c r="H129" i="4"/>
  <c r="H217" i="4"/>
  <c r="H43" i="4"/>
  <c r="H95" i="4"/>
  <c r="H247" i="4"/>
  <c r="H246" i="4"/>
  <c r="H128" i="4"/>
  <c r="H257" i="4"/>
  <c r="H216" i="4"/>
  <c r="I13" i="4"/>
  <c r="I280" i="4" s="1"/>
  <c r="H42" i="4"/>
  <c r="D128" i="4"/>
  <c r="D42" i="4"/>
  <c r="D257" i="4"/>
  <c r="D246" i="4"/>
  <c r="D216" i="4"/>
  <c r="D129" i="4"/>
  <c r="D43" i="4"/>
  <c r="D258" i="4"/>
  <c r="D247" i="4"/>
  <c r="D217" i="4"/>
  <c r="O90" i="2"/>
  <c r="P90" i="2" s="1"/>
  <c r="Q90" i="2" s="1"/>
  <c r="G90" i="2"/>
  <c r="F90" i="2" s="1"/>
  <c r="E90" i="2" s="1"/>
  <c r="J263" i="4" l="1"/>
  <c r="J100" i="4"/>
  <c r="I235" i="4"/>
  <c r="I234" i="4"/>
  <c r="I269" i="4"/>
  <c r="I268" i="4"/>
  <c r="I147" i="4"/>
  <c r="I190" i="4"/>
  <c r="I146" i="4"/>
  <c r="J14" i="4"/>
  <c r="J281" i="4" s="1"/>
  <c r="I191" i="4"/>
  <c r="I258" i="4"/>
  <c r="I129" i="4"/>
  <c r="I217" i="4"/>
  <c r="I43" i="4"/>
  <c r="I247" i="4"/>
  <c r="I96" i="4"/>
  <c r="I246" i="4"/>
  <c r="I128" i="4"/>
  <c r="J13" i="4"/>
  <c r="J280" i="4" s="1"/>
  <c r="I257" i="4"/>
  <c r="I95" i="4"/>
  <c r="I42" i="4"/>
  <c r="I216" i="4"/>
  <c r="H90" i="2"/>
  <c r="I90" i="2" s="1"/>
  <c r="N90" i="2"/>
  <c r="M90" i="2" s="1"/>
  <c r="K260" i="4" l="1"/>
  <c r="J76" i="4"/>
  <c r="J79" i="4" s="1"/>
  <c r="J81" i="4" s="1"/>
  <c r="J234" i="4"/>
  <c r="J235" i="4"/>
  <c r="J269" i="4"/>
  <c r="J268" i="4"/>
  <c r="J190" i="4"/>
  <c r="J146" i="4"/>
  <c r="J191" i="4"/>
  <c r="J147" i="4"/>
  <c r="J43" i="4"/>
  <c r="K14" i="4"/>
  <c r="K281" i="4" s="1"/>
  <c r="J217" i="4"/>
  <c r="J247" i="4"/>
  <c r="J258" i="4"/>
  <c r="J96" i="4"/>
  <c r="J129" i="4"/>
  <c r="J128" i="4"/>
  <c r="J216" i="4"/>
  <c r="J42" i="4"/>
  <c r="K13" i="4"/>
  <c r="K280" i="4" s="1"/>
  <c r="J257" i="4"/>
  <c r="J95" i="4"/>
  <c r="J246" i="4"/>
  <c r="Q130" i="2"/>
  <c r="O130" i="2"/>
  <c r="Q129" i="2"/>
  <c r="O129" i="2"/>
  <c r="Q128" i="2"/>
  <c r="O128" i="2"/>
  <c r="D130" i="2"/>
  <c r="E129" i="2"/>
  <c r="C129" i="2"/>
  <c r="E128" i="2"/>
  <c r="C128" i="2"/>
  <c r="K262" i="4" l="1"/>
  <c r="K101" i="4" s="1"/>
  <c r="K261" i="4"/>
  <c r="K235" i="4"/>
  <c r="K234" i="4"/>
  <c r="K268" i="4"/>
  <c r="K269" i="4"/>
  <c r="K146" i="4"/>
  <c r="K191" i="4"/>
  <c r="K147" i="4"/>
  <c r="K217" i="4"/>
  <c r="K247" i="4"/>
  <c r="K258" i="4"/>
  <c r="K96" i="4"/>
  <c r="K129" i="4"/>
  <c r="K43" i="4"/>
  <c r="K246" i="4"/>
  <c r="K190" i="4"/>
  <c r="K42" i="4"/>
  <c r="K216" i="4"/>
  <c r="K128" i="4"/>
  <c r="K257" i="4"/>
  <c r="K95" i="4"/>
  <c r="P129" i="2"/>
  <c r="D128" i="2"/>
  <c r="P128" i="2"/>
  <c r="P130" i="2"/>
  <c r="D129" i="2"/>
  <c r="K263" i="4" l="1"/>
  <c r="K76" i="4" s="1"/>
  <c r="K79" i="4" s="1"/>
  <c r="K81" i="4" s="1"/>
  <c r="K100" i="4"/>
  <c r="B3" i="3"/>
  <c r="B35" i="2"/>
  <c r="C12" i="2" l="1"/>
  <c r="D37" i="2"/>
  <c r="D12" i="2"/>
  <c r="E12" i="2" s="1"/>
  <c r="E37" i="2" s="1"/>
  <c r="D5" i="2"/>
  <c r="C38" i="2" l="1"/>
  <c r="F12" i="2"/>
  <c r="F37" i="2" s="1"/>
  <c r="G12" i="2" l="1"/>
  <c r="G37" i="2" s="1"/>
  <c r="H12" i="2" l="1"/>
  <c r="H37" i="2" s="1"/>
  <c r="I12" i="2" l="1"/>
  <c r="I37" i="2" s="1"/>
  <c r="B43" i="2" l="1"/>
  <c r="E44" i="2"/>
  <c r="B44" i="2"/>
  <c r="G99" i="2" l="1"/>
  <c r="F99" i="2" s="1"/>
  <c r="E99" i="2" s="1"/>
  <c r="O99" i="2"/>
  <c r="P99" i="2" s="1"/>
  <c r="Q99" i="2" s="1"/>
  <c r="N99" i="2" l="1"/>
  <c r="M99" i="2" s="1"/>
  <c r="H99" i="2"/>
  <c r="I99" i="2" s="1"/>
  <c r="H4" i="2" l="1"/>
  <c r="I51" i="2" s="1"/>
  <c r="L93" i="2"/>
  <c r="D102" i="2"/>
  <c r="D93" i="2"/>
  <c r="L102" i="2"/>
  <c r="I39" i="2" l="1"/>
  <c r="H39" i="2"/>
  <c r="G39" i="2"/>
  <c r="F39" i="2"/>
  <c r="E39" i="2"/>
  <c r="I45" i="2"/>
  <c r="C44" i="2"/>
  <c r="B129" i="2"/>
  <c r="D103" i="2"/>
  <c r="D104" i="2" s="1"/>
  <c r="D101" i="2"/>
  <c r="D100" i="2" s="1"/>
  <c r="B128" i="2"/>
  <c r="G128" i="2"/>
  <c r="L94" i="2"/>
  <c r="L95" i="2" s="1"/>
  <c r="L92" i="2"/>
  <c r="L91" i="2" s="1"/>
  <c r="D94" i="2"/>
  <c r="D95" i="2" s="1"/>
  <c r="D92" i="2"/>
  <c r="D91" i="2" s="1"/>
  <c r="G129" i="2"/>
  <c r="L101" i="2"/>
  <c r="L100" i="2" s="1"/>
  <c r="L103" i="2"/>
  <c r="L104" i="2" s="1"/>
  <c r="G130" i="2" s="1"/>
  <c r="C46" i="2" l="1"/>
  <c r="I46" i="2" s="1"/>
  <c r="I47" i="2" s="1"/>
  <c r="D69" i="2" s="1"/>
  <c r="C45" i="2"/>
  <c r="C51" i="2"/>
  <c r="C47" i="2" l="1"/>
  <c r="C69" i="2" s="1"/>
  <c r="C84" i="2" s="1"/>
  <c r="I49" i="2"/>
  <c r="I50" i="2" s="1"/>
  <c r="D71" i="2"/>
  <c r="D73" i="2" s="1"/>
  <c r="D99" i="2" s="1"/>
  <c r="D77" i="2"/>
  <c r="D79" i="2"/>
  <c r="D78" i="2"/>
  <c r="L99" i="2" s="1"/>
  <c r="D82" i="2"/>
  <c r="D84" i="2"/>
  <c r="D83" i="2"/>
  <c r="C49" i="2" l="1"/>
  <c r="C50" i="2" s="1"/>
  <c r="C83" i="2"/>
  <c r="C71" i="2"/>
  <c r="C73" i="2" s="1"/>
  <c r="C77" i="2"/>
  <c r="C78" i="2"/>
  <c r="L90" i="2" s="1"/>
  <c r="C79" i="2"/>
  <c r="C82" i="2"/>
  <c r="G110" i="4"/>
  <c r="D90" i="2" l="1"/>
  <c r="H7" i="2"/>
  <c r="H8" i="2" s="1"/>
  <c r="G119" i="4"/>
  <c r="G121" i="4" s="1"/>
  <c r="G123" i="4" s="1"/>
  <c r="G81" i="4"/>
  <c r="G90" i="4" s="1"/>
  <c r="G47" i="4" l="1"/>
  <c r="H122" i="4" s="1"/>
  <c r="G125" i="4"/>
  <c r="G226" i="4"/>
  <c r="G51" i="4"/>
  <c r="G60" i="4" s="1"/>
  <c r="G227" i="4" l="1"/>
  <c r="H231" i="4" s="1"/>
  <c r="H24" i="4" s="1"/>
  <c r="H25" i="4" s="1"/>
  <c r="H26" i="4" s="1"/>
  <c r="H28" i="4" s="1"/>
  <c r="G92" i="4"/>
  <c r="H239" i="4" l="1"/>
  <c r="H240" i="4" s="1"/>
  <c r="H98" i="4"/>
  <c r="H104" i="4" s="1"/>
  <c r="H110" i="4" s="1"/>
  <c r="H241" i="4" l="1"/>
  <c r="H118" i="4"/>
  <c r="H119" i="4" s="1"/>
  <c r="H121" i="4"/>
  <c r="H123" i="4" s="1"/>
  <c r="H47" i="4" l="1"/>
  <c r="H125" i="4"/>
  <c r="I238" i="4"/>
  <c r="H87" i="4"/>
  <c r="H88" i="4" s="1"/>
  <c r="H90" i="4" s="1"/>
  <c r="I122" i="4"/>
  <c r="H51" i="4"/>
  <c r="H60" i="4" s="1"/>
  <c r="H226" i="4"/>
  <c r="H92" i="4" l="1"/>
  <c r="H227" i="4"/>
  <c r="I231" i="4" s="1"/>
  <c r="I24" i="4" s="1"/>
  <c r="I25" i="4" s="1"/>
  <c r="I26" i="4" s="1"/>
  <c r="I28" i="4" s="1"/>
  <c r="I239" i="4" l="1"/>
  <c r="I98" i="4"/>
  <c r="I104" i="4" s="1"/>
  <c r="I110" i="4" s="1"/>
  <c r="I240" i="4" l="1"/>
  <c r="I118" i="4" s="1"/>
  <c r="I119" i="4" s="1"/>
  <c r="I121" i="4" s="1"/>
  <c r="I123" i="4" s="1"/>
  <c r="I241" i="4"/>
  <c r="I47" i="4" l="1"/>
  <c r="I125" i="4"/>
  <c r="J122" i="4"/>
  <c r="I51" i="4"/>
  <c r="I60" i="4" s="1"/>
  <c r="I226" i="4"/>
  <c r="J238" i="4"/>
  <c r="I87" i="4"/>
  <c r="I88" i="4" s="1"/>
  <c r="I90" i="4" s="1"/>
  <c r="I92" i="4" l="1"/>
  <c r="I227" i="4"/>
  <c r="J231" i="4" s="1"/>
  <c r="J24" i="4" s="1"/>
  <c r="J25" i="4" s="1"/>
  <c r="J26" i="4" s="1"/>
  <c r="J28" i="4" s="1"/>
  <c r="J239" i="4" l="1"/>
  <c r="J98" i="4"/>
  <c r="J104" i="4" s="1"/>
  <c r="J110" i="4" s="1"/>
  <c r="J240" i="4" l="1"/>
  <c r="J118" i="4" s="1"/>
  <c r="J119" i="4" s="1"/>
  <c r="J121" i="4" s="1"/>
  <c r="J123" i="4" s="1"/>
  <c r="J241" i="4" l="1"/>
  <c r="J47" i="4"/>
  <c r="J51" i="4" s="1"/>
  <c r="J60" i="4" s="1"/>
  <c r="J125" i="4"/>
  <c r="K122" i="4"/>
  <c r="J87" i="4"/>
  <c r="J88" i="4" s="1"/>
  <c r="J90" i="4" s="1"/>
  <c r="K238" i="4"/>
  <c r="J226" i="4" l="1"/>
  <c r="J227" i="4" s="1"/>
  <c r="K231" i="4" s="1"/>
  <c r="K24" i="4" s="1"/>
  <c r="K25" i="4" s="1"/>
  <c r="K26" i="4" s="1"/>
  <c r="K28" i="4" s="1"/>
  <c r="K239" i="4" s="1"/>
  <c r="J92" i="4"/>
  <c r="K240" i="4" l="1"/>
  <c r="K118" i="4" s="1"/>
  <c r="K119" i="4" s="1"/>
  <c r="K241" i="4"/>
  <c r="K87" i="4" s="1"/>
  <c r="K88" i="4" s="1"/>
  <c r="K90" i="4" s="1"/>
  <c r="K98" i="4"/>
  <c r="K104" i="4" s="1"/>
  <c r="K110" i="4" s="1"/>
  <c r="K121" i="4"/>
  <c r="K123" i="4" s="1"/>
  <c r="K47" i="4" l="1"/>
  <c r="K125" i="4" s="1"/>
  <c r="K51" i="4"/>
  <c r="K60" i="4" s="1"/>
  <c r="K92" i="4" s="1"/>
  <c r="K226" i="4"/>
  <c r="K227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Wall Street Prep</author>
  </authors>
  <commentList>
    <comment ref="I51" authorId="0" shapeId="0" xr:uid="{8733C2A1-5D1A-4ADB-8246-1CF93A3D1822}">
      <text>
        <r>
          <rPr>
            <b/>
            <sz val="9"/>
            <color indexed="81"/>
            <rFont val="Tahoma"/>
            <family val="2"/>
          </rPr>
          <t>Wall Street Prep:</t>
        </r>
        <r>
          <rPr>
            <sz val="9"/>
            <color indexed="81"/>
            <rFont val="Tahoma"/>
            <family val="2"/>
          </rPr>
          <t xml:space="preserve">
Implied g = [r -FCF(t)/TV]/(1+FCF(t)/TV)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Ahmed Wael</author>
  </authors>
  <commentList>
    <comment ref="C10" authorId="0" shapeId="0" xr:uid="{80123CF2-7060-49DA-81F5-1263CAECCF1A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Saudi sovereign USD/SAR yield 10Y</t>
        </r>
      </text>
    </comment>
    <comment ref="C11" authorId="0" shapeId="0" xr:uid="{6B95AB09-7B91-47F8-B246-AFB96B32D79E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Blume-adjusted</t>
        </r>
      </text>
    </comment>
    <comment ref="D11" authorId="0" shapeId="0" xr:uid="{A5A220BC-4006-4D45-AE76-EBA86003CB82}">
      <text>
        <r>
          <rPr>
            <b/>
            <sz val="9"/>
            <color indexed="81"/>
            <rFont val="Tahoma"/>
            <charset val="1"/>
          </rPr>
          <t>Ahmed Wael: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Calibri"/>
            <family val="2"/>
            <scheme val="minor"/>
          </rPr>
          <t>Unlevered Beta</t>
        </r>
      </text>
    </comment>
    <comment ref="E11" authorId="0" shapeId="0" xr:uid="{F07697D3-1310-4EDD-8F76-4650BE826E4F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Re-levered Beta</t>
        </r>
      </text>
    </comment>
    <comment ref="C12" authorId="0" shapeId="0" xr:uid="{59E05674-684A-4763-8371-658A97CA9A72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Damodaran Market Risk Premium</t>
        </r>
      </text>
    </comment>
  </commentList>
</comments>
</file>

<file path=xl/sharedStrings.xml><?xml version="1.0" encoding="utf-8"?>
<sst xmlns="http://schemas.openxmlformats.org/spreadsheetml/2006/main" count="387" uniqueCount="276">
  <si>
    <t>Company Name</t>
  </si>
  <si>
    <t>Ticker</t>
  </si>
  <si>
    <t>Last Historical Year</t>
  </si>
  <si>
    <t>ASSETS</t>
  </si>
  <si>
    <t>Current Assets</t>
  </si>
  <si>
    <t>Total Current Assets</t>
  </si>
  <si>
    <t>Non-Current Assets</t>
  </si>
  <si>
    <t>Total Non-Current Assets</t>
  </si>
  <si>
    <t>Total Assets</t>
  </si>
  <si>
    <t>LIABILITIES AND EQUITY</t>
  </si>
  <si>
    <t>Current Liabilities</t>
  </si>
  <si>
    <t>Total Current Liabilities</t>
  </si>
  <si>
    <t>Non-Current Liabilities</t>
  </si>
  <si>
    <t>Total Non-Current Liabilities</t>
  </si>
  <si>
    <t>Total Liabilities</t>
  </si>
  <si>
    <t>Equity</t>
  </si>
  <si>
    <t>Total Equity</t>
  </si>
  <si>
    <t>Total Liabilites &amp; Equity</t>
  </si>
  <si>
    <t>Balance Check</t>
  </si>
  <si>
    <t>Cash Generated from Operations</t>
  </si>
  <si>
    <t>CASH FLOWS FROM INVESTING ACTIVITIES</t>
  </si>
  <si>
    <t>CASH FLOWS FROM FINANCING ACTIVITIES</t>
  </si>
  <si>
    <t>Reconciliation Check vs BS Cash</t>
  </si>
  <si>
    <t>Depreciation &amp; amortization</t>
  </si>
  <si>
    <t>EBITDA</t>
  </si>
  <si>
    <t>Revenue growth</t>
  </si>
  <si>
    <t>Tax rate</t>
  </si>
  <si>
    <t>Growth Rates &amp; Margins</t>
  </si>
  <si>
    <t>Latest Closing Share Price</t>
  </si>
  <si>
    <t>Latest Closing Share Price Date</t>
  </si>
  <si>
    <t>Shares outstanding</t>
  </si>
  <si>
    <t>PROPERTY, PLANT &amp; EQUIPMENT</t>
  </si>
  <si>
    <t>Beginning of period</t>
  </si>
  <si>
    <t>Plus: Capital expenditures</t>
  </si>
  <si>
    <t>Less: Depreciation</t>
  </si>
  <si>
    <t>End of period</t>
  </si>
  <si>
    <t>IMPUTING TOTAL DEPRECIATION &amp; AMORTIZATION</t>
  </si>
  <si>
    <t>D&amp;A not related to PP&amp;E</t>
  </si>
  <si>
    <t>as % of revenue</t>
  </si>
  <si>
    <t xml:space="preserve">Depreciation &amp; Amortization - Total </t>
  </si>
  <si>
    <t>% growth</t>
  </si>
  <si>
    <t>INCOME STATEMENT</t>
  </si>
  <si>
    <t xml:space="preserve">Fiscal year  </t>
  </si>
  <si>
    <t>Fiscal year end date</t>
  </si>
  <si>
    <t>BALANCE SHEET</t>
  </si>
  <si>
    <t>CASH FLOW STATEMENT</t>
  </si>
  <si>
    <t>Discounted Cash Flow Valuation</t>
  </si>
  <si>
    <t>Most recent fiscal year end</t>
  </si>
  <si>
    <t>Discount rate (WACC)</t>
  </si>
  <si>
    <t>Link from WACC</t>
  </si>
  <si>
    <t>End of first fiscal year</t>
  </si>
  <si>
    <t>Share price (Public Co)</t>
  </si>
  <si>
    <t>Most recent quarter end date</t>
  </si>
  <si>
    <t>Share price date</t>
  </si>
  <si>
    <t xml:space="preserve">Valuation date </t>
  </si>
  <si>
    <t>Portion of First Year Cash Flows</t>
  </si>
  <si>
    <t>Unlevered Free Cash Flows</t>
  </si>
  <si>
    <t>LTM</t>
  </si>
  <si>
    <t>Actual</t>
  </si>
  <si>
    <t>Forecasts</t>
  </si>
  <si>
    <t>Fiscal year ended</t>
  </si>
  <si>
    <t>Revenue</t>
  </si>
  <si>
    <t>% margin</t>
  </si>
  <si>
    <t>EBIT</t>
  </si>
  <si>
    <t>Tax on EBIT</t>
  </si>
  <si>
    <t>NOPAT (aka EBIAT)</t>
  </si>
  <si>
    <t>Changes in net working capital</t>
  </si>
  <si>
    <t>Capital expenditures</t>
  </si>
  <si>
    <t>Unlevered free cash flows (UFCF)</t>
  </si>
  <si>
    <t>Net working capital (WC Assets - WC liabilities)</t>
  </si>
  <si>
    <t>Val date</t>
  </si>
  <si>
    <t xml:space="preserve">Yr 1 - Stub </t>
  </si>
  <si>
    <t>Year 2</t>
  </si>
  <si>
    <t>Year 3</t>
  </si>
  <si>
    <t>Year 4</t>
  </si>
  <si>
    <t>Year 5</t>
  </si>
  <si>
    <t>Date for discounting cash flows</t>
  </si>
  <si>
    <t>Unlevered free cash flows (UFCF) stub adjusted</t>
  </si>
  <si>
    <t>Present value of of unlevered free cash flows</t>
  </si>
  <si>
    <t>Terminal value - growth in perpetuity approach</t>
  </si>
  <si>
    <t>Terminal value - EBITDA multiple approach</t>
  </si>
  <si>
    <t>Long term growth rate</t>
  </si>
  <si>
    <t>Terminal year EBITDA</t>
  </si>
  <si>
    <t>EBITDA multiple</t>
  </si>
  <si>
    <t>Present value of terminal value</t>
  </si>
  <si>
    <t>Present value of stage 1 cash flows</t>
  </si>
  <si>
    <t>Total enterprise value (TEV)</t>
  </si>
  <si>
    <t>Enterprise value (stage 1 + 2)</t>
  </si>
  <si>
    <t>Terminal value as % of TEV</t>
  </si>
  <si>
    <t>Stage 1 cash flows as % of TEV</t>
  </si>
  <si>
    <t>Cash flows as % of TEV</t>
  </si>
  <si>
    <t>Implied TV exit EBITDA multiple</t>
  </si>
  <si>
    <t>Implied terminal growth rate</t>
  </si>
  <si>
    <t>Net debt</t>
  </si>
  <si>
    <t>Source doc</t>
  </si>
  <si>
    <t>Source date</t>
  </si>
  <si>
    <t>Date</t>
  </si>
  <si>
    <t>Shares</t>
  </si>
  <si>
    <t>Gross debt and equivalents</t>
  </si>
  <si>
    <t>Basic shares</t>
  </si>
  <si>
    <t>Debt</t>
  </si>
  <si>
    <t>Restricted stock / RSUs</t>
  </si>
  <si>
    <t>Convertible debt</t>
  </si>
  <si>
    <t>Options / warrants</t>
  </si>
  <si>
    <t>Preferred stock</t>
  </si>
  <si>
    <t>Noncontrolling (minority) interests</t>
  </si>
  <si>
    <t>Convertible preferred stock</t>
  </si>
  <si>
    <t>Nonoperating assets</t>
  </si>
  <si>
    <t>Net diluted shares outstanding</t>
  </si>
  <si>
    <t xml:space="preserve">Cash </t>
  </si>
  <si>
    <t xml:space="preserve">Equity investments </t>
  </si>
  <si>
    <t>Valuation</t>
  </si>
  <si>
    <t>Perpetuity</t>
  </si>
  <si>
    <t>Enterprise value</t>
  </si>
  <si>
    <t xml:space="preserve">Equity value </t>
  </si>
  <si>
    <t>Equity value per share</t>
  </si>
  <si>
    <t>Last twelve months (LTM)</t>
  </si>
  <si>
    <t>EV / Revenue</t>
  </si>
  <si>
    <t xml:space="preserve">EV / EBITDA </t>
  </si>
  <si>
    <t>EV / EBIT</t>
  </si>
  <si>
    <t>Year 1</t>
  </si>
  <si>
    <t>Outputs</t>
  </si>
  <si>
    <t>LTM EBITDA multiple</t>
  </si>
  <si>
    <t>Long term growth rate (g):</t>
  </si>
  <si>
    <t>WACC:</t>
  </si>
  <si>
    <t xml:space="preserve">Data </t>
  </si>
  <si>
    <t>Tables</t>
  </si>
  <si>
    <t>Exit EBITDA Multiple</t>
  </si>
  <si>
    <t>Equity value range</t>
  </si>
  <si>
    <t>Football field</t>
  </si>
  <si>
    <t>Low</t>
  </si>
  <si>
    <t>Diff.</t>
  </si>
  <si>
    <t>High</t>
  </si>
  <si>
    <t>52 Week Market High/Low</t>
  </si>
  <si>
    <t>WACC Buildup</t>
  </si>
  <si>
    <t>Cost of capital assumptions</t>
  </si>
  <si>
    <t>Cost of debt</t>
  </si>
  <si>
    <t>Cost of debt (after tax)</t>
  </si>
  <si>
    <t xml:space="preserve">Risk free rate </t>
  </si>
  <si>
    <t xml:space="preserve">Beta </t>
  </si>
  <si>
    <t>Market risk premium</t>
  </si>
  <si>
    <t>Cost of equity</t>
  </si>
  <si>
    <t>Capital weights (capital structure)</t>
  </si>
  <si>
    <t xml:space="preserve">Target </t>
  </si>
  <si>
    <t xml:space="preserve">Current </t>
  </si>
  <si>
    <t>(override)</t>
  </si>
  <si>
    <t>% of total</t>
  </si>
  <si>
    <t>Cost of capital (WACC)</t>
  </si>
  <si>
    <t>CapEx % of revenue</t>
  </si>
  <si>
    <t>EBITDA margin %</t>
  </si>
  <si>
    <t>Implied Share Price</t>
  </si>
  <si>
    <t>Upside / (Downside)</t>
  </si>
  <si>
    <t>Changes in Working Capital</t>
  </si>
  <si>
    <t>Net change in cash and cash equivalents</t>
  </si>
  <si>
    <t>Cash and cash equivalents at 1 January</t>
  </si>
  <si>
    <t>Cash and cash equivalents at 31 December</t>
  </si>
  <si>
    <t>WORKING CAPITAL SCHEDULE</t>
  </si>
  <si>
    <t>Operating Working Capital Assets</t>
  </si>
  <si>
    <t>Total Operating WC Assets</t>
  </si>
  <si>
    <t>Net Working Capital</t>
  </si>
  <si>
    <t>NWC as % of revenue</t>
  </si>
  <si>
    <t>Change in NWC (− = cash used)</t>
  </si>
  <si>
    <t>Operating Working Capital Liabilities</t>
  </si>
  <si>
    <t>Total Operating WC Liabilities</t>
  </si>
  <si>
    <t>DEBT &amp; INTEREST SCHEDULE</t>
  </si>
  <si>
    <t>Average debt</t>
  </si>
  <si>
    <t>Effective interest rate</t>
  </si>
  <si>
    <t>EQUITY &amp; NCI ROLL-FORWARD</t>
  </si>
  <si>
    <t>Retained Earnings</t>
  </si>
  <si>
    <t>Less: Dividends &amp; distributions</t>
  </si>
  <si>
    <t>End of period (= BS)</t>
  </si>
  <si>
    <t>Debt securities (optional cash asset)</t>
  </si>
  <si>
    <t>Operating cash flow before working capital</t>
  </si>
  <si>
    <t>Net cash flow from financing activities</t>
  </si>
  <si>
    <t>Net cash flows used in investing activities</t>
  </si>
  <si>
    <t>Net cash flows from operating activities</t>
  </si>
  <si>
    <t>PP&amp;E depreciation as % of revenue</t>
  </si>
  <si>
    <t>Consolidated FS 2025</t>
  </si>
  <si>
    <t>12/31/2025</t>
  </si>
  <si>
    <t>Midyear adjustment?</t>
  </si>
  <si>
    <t>WC DRIVERS (DAYS)</t>
  </si>
  <si>
    <t>DIO (days, off COGS)</t>
  </si>
  <si>
    <t>DSO (days, off revenue)</t>
  </si>
  <si>
    <t>DPO (days, off COGS)</t>
  </si>
  <si>
    <t>Additions % revenue</t>
  </si>
  <si>
    <t>LEASE SCHEDULE</t>
  </si>
  <si>
    <t>ROU — Beginning</t>
  </si>
  <si>
    <t>Less: ROU depreciation</t>
  </si>
  <si>
    <t>ROU — End</t>
  </si>
  <si>
    <t>Lease liab — Beginning</t>
  </si>
  <si>
    <t>Lease liab — End</t>
  </si>
  <si>
    <t>ST share of liability</t>
  </si>
  <si>
    <t>ROU dep % revenue</t>
  </si>
  <si>
    <t>All amounts are shown in Saudi riyal, except per-share data, ratios, and shares outstanding</t>
  </si>
  <si>
    <t>Provision</t>
  </si>
  <si>
    <t>Provision % of BOP</t>
  </si>
  <si>
    <t>Benefits paid % of BOP</t>
  </si>
  <si>
    <t>Gross profit</t>
  </si>
  <si>
    <t>Other income, net</t>
  </si>
  <si>
    <t>Zakat</t>
  </si>
  <si>
    <t>Right-of-use assets</t>
  </si>
  <si>
    <t>Trade receivables</t>
  </si>
  <si>
    <t>Cash and cash equivalents</t>
  </si>
  <si>
    <t>Paid to purchase property, plant and equipment</t>
  </si>
  <si>
    <t>Lease payments</t>
  </si>
  <si>
    <t>Paid dividends</t>
  </si>
  <si>
    <t>Plus: Net income</t>
  </si>
  <si>
    <t>Dividend payout ratio % of Net Income</t>
  </si>
  <si>
    <t>Less: Benefits paid</t>
  </si>
  <si>
    <t>Additions</t>
  </si>
  <si>
    <t>Net income</t>
  </si>
  <si>
    <t>Total Debt</t>
  </si>
  <si>
    <t>Finance cost</t>
  </si>
  <si>
    <t>Property and equipment</t>
  </si>
  <si>
    <t>Share capital</t>
  </si>
  <si>
    <t>Statutory reserve</t>
  </si>
  <si>
    <t>Retained earnings</t>
  </si>
  <si>
    <t>End of service benefits provision</t>
  </si>
  <si>
    <t>Total</t>
  </si>
  <si>
    <t>Check vs IS (row 16)</t>
  </si>
  <si>
    <t>REVENUE BUILD BY SEGMENT (SAR)</t>
  </si>
  <si>
    <t>Gross margin</t>
  </si>
  <si>
    <t>Cost of revenue</t>
  </si>
  <si>
    <t>General and administrative expenses</t>
  </si>
  <si>
    <t>Selling and marketing expenses</t>
  </si>
  <si>
    <t>Income from operations</t>
  </si>
  <si>
    <t>Finance income</t>
  </si>
  <si>
    <t>Income before zakat and income tax</t>
  </si>
  <si>
    <t>Income tax</t>
  </si>
  <si>
    <t>Net income for the year</t>
  </si>
  <si>
    <t>Inventories</t>
  </si>
  <si>
    <t>Prepayments and other assets</t>
  </si>
  <si>
    <t>Financial assets at fair value through profit or loss</t>
  </si>
  <si>
    <t>Investment properties</t>
  </si>
  <si>
    <t>Bank borrowings and term loans</t>
  </si>
  <si>
    <t>Lease liabilities</t>
  </si>
  <si>
    <t>Accounts payable</t>
  </si>
  <si>
    <t>Accrued expenses and other liabilities</t>
  </si>
  <si>
    <t>Employees' incentive program</t>
  </si>
  <si>
    <t>Deferred income</t>
  </si>
  <si>
    <t>Zakat payable</t>
  </si>
  <si>
    <t>End of service benefits</t>
  </si>
  <si>
    <t>Foreign exchange reserve</t>
  </si>
  <si>
    <t>Jarir Marketing Company</t>
  </si>
  <si>
    <t>4190.SR</t>
  </si>
  <si>
    <t>Smartphones, electronics and accessories</t>
  </si>
  <si>
    <t>Other IT and digital products and services</t>
  </si>
  <si>
    <t>Books and office, school and arts supplies</t>
  </si>
  <si>
    <t>Retail outlets</t>
  </si>
  <si>
    <t>Wholesale</t>
  </si>
  <si>
    <t>E-Commerce</t>
  </si>
  <si>
    <t>All other segments</t>
  </si>
  <si>
    <t>Smartphones, electronics and accessories %</t>
  </si>
  <si>
    <t>Other IT and digital products and services %</t>
  </si>
  <si>
    <t>Books and office, school and arts supplies %</t>
  </si>
  <si>
    <t>Interest income</t>
  </si>
  <si>
    <t>Interest-earning assets</t>
  </si>
  <si>
    <t>Average earning assets</t>
  </si>
  <si>
    <t>Effective yield</t>
  </si>
  <si>
    <t>Depreciation</t>
  </si>
  <si>
    <t>Depreciation % revenue</t>
  </si>
  <si>
    <t>Depreciation and Amortization</t>
  </si>
  <si>
    <t>Other income</t>
  </si>
  <si>
    <t>End of service benefits paid</t>
  </si>
  <si>
    <t>Net change in working capital</t>
  </si>
  <si>
    <t>Additons</t>
  </si>
  <si>
    <t>Additons leases % revenue</t>
  </si>
  <si>
    <t>Interest on lease liabilities</t>
  </si>
  <si>
    <t>Payments for the principal portion (financing activities cash flows)</t>
  </si>
  <si>
    <t>Payments of interest portion (operating activities cash flows)</t>
  </si>
  <si>
    <t>Interest on lease liabilities % revenue</t>
  </si>
  <si>
    <t>Payments for the principal portion (financing activities cash flows) % revenue</t>
  </si>
  <si>
    <t>Payments of interest portion (operating activities cash flows) % revenue</t>
  </si>
  <si>
    <t>Change in Employees' incentive program</t>
  </si>
  <si>
    <t>ROU</t>
  </si>
  <si>
    <t>29/6/2026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</si>
</sst>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164" formatCode="&quot;$&quot;#,##0.00_);\(&quot;$&quot;#,##0.00\)"/>
    <numFmt numFmtId="165" formatCode="_(* #,##0_);_(* \(#,##0\);_(* &quot;-&quot;_);_(@_)"/>
    <numFmt numFmtId="166" formatCode="&quot;FY&quot;yy"/>
    <numFmt numFmtId="167" formatCode="0.0%"/>
    <numFmt numFmtId="168" formatCode="_(* #,##0.00_);_(* \(#,##0.00\);_(* \-??_);_(@_)"/>
    <numFmt numFmtId="169" formatCode="_(* #,##0_);_(* \(#,##0\);_(* \-??_);_(@_)"/>
    <numFmt numFmtId="170" formatCode="_(* #,##0_);_(* \(#,##0\);_(* \-_);_(@_)"/>
    <numFmt numFmtId="171" formatCode="_(* #,##0_);_(* \(#,##0\);_(* &quot;-&quot;??_);_(@_)"/>
    <numFmt numFmtId="172" formatCode="#,##0.000_);\(#,##0.000\)"/>
    <numFmt numFmtId="173" formatCode="m/d/yy;@"/>
    <numFmt numFmtId="174" formatCode="0\A;[Red]0\A"/>
    <numFmt numFmtId="175" formatCode="0\P_);\(0\P\)"/>
    <numFmt numFmtId="176" formatCode="0.0%_);\(0.0%\);@_)"/>
    <numFmt numFmtId="177" formatCode="_(#,##0.0%_);\(#,##0.0%\);_(&quot;–&quot;_)_%;_(@_)_%"/>
    <numFmt numFmtId="178" formatCode="0000\A"/>
    <numFmt numFmtId="179" formatCode="0000\P"/>
    <numFmt numFmtId="180" formatCode="#,##0_);\(#,##0\);@_)"/>
    <numFmt numFmtId="181" formatCode="0.0\x_);\(0.0\x\);@_)"/>
    <numFmt numFmtId="182" formatCode="0.000%_);\(0.000%\);@_)"/>
    <numFmt numFmtId="183" formatCode="#,##0.000_);\(#,##0.000\);@_)"/>
    <numFmt numFmtId="184" formatCode="_([$$]#,##0_)_%;\([$$]#,##0\)_%;_(&quot;–&quot;_)_%;_(@_)_%"/>
    <numFmt numFmtId="185" formatCode="&quot;$&quot;#,##0.00_);\(&quot;$&quot;#,##0.00\);@_)"/>
    <numFmt numFmtId="186" formatCode="_(0.0\x_)_';_(\(0.0\x\)_';_(&quot;–&quot;_)_%;_(@_)_%"/>
    <numFmt numFmtId="187" formatCode="_(0.0_)_'_x;_(\(0.0\)_';_(&quot;–&quot;_)_%;_(@_)_%"/>
    <numFmt numFmtId="188" formatCode="#,##0.00_);\(#,##0.00\);\-_);@_)"/>
    <numFmt numFmtId="189" formatCode="#,##0.0_);\(#,##0.0\);\-_);@_)"/>
    <numFmt numFmtId="190" formatCode="_(#,##0.00%_);\(#,##0.00%\);_(&quot;–&quot;_)_%;_(@_)_%"/>
    <numFmt numFmtId="191" formatCode="_(* #,##0.0_);_(* \(#,##0.0\);_(* \-??_);_(@_)"/>
    <numFmt numFmtId="192" formatCode="d/m/yy;@"/>
    <numFmt numFmtId="193" formatCode="[$-409]mmmmm/yy;@"/>
    <numFmt numFmtId="194" formatCode="&quot;SAR&quot;\ #,##0.00"/>
  </numFmts>
  <fonts count="4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sz val="11"/>
      <color theme="4" tint="-0.249977111117893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theme="0"/>
      <name val="Calibri"/>
      <family val="2"/>
    </font>
    <font>
      <i/>
      <sz val="11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10"/>
      <name val="Times New Roman"/>
      <family val="1"/>
    </font>
    <font>
      <sz val="11"/>
      <color rgb="FF008000"/>
      <name val="Calibri"/>
      <family val="2"/>
      <scheme val="minor"/>
    </font>
    <font>
      <u/>
      <sz val="11"/>
      <color theme="10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u val="singleAccounting"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</font>
    <font>
      <sz val="11"/>
      <color theme="4" tint="-0.249977111117893"/>
      <name val="Calibri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sz val="11"/>
      <color rgb="FF0000FF"/>
      <name val="Calibri"/>
      <family val="2"/>
    </font>
    <font>
      <b/>
      <i/>
      <sz val="11"/>
      <color theme="1"/>
      <name val="Calibri"/>
      <family val="2"/>
    </font>
    <font>
      <i/>
      <sz val="11"/>
      <name val="Calibri"/>
      <family val="2"/>
    </font>
    <font>
      <sz val="11"/>
      <name val="Calibri"/>
      <family val="2"/>
      <charset val="1"/>
    </font>
    <font>
      <sz val="11"/>
      <color indexed="40"/>
      <name val="Calibri"/>
      <family val="2"/>
    </font>
    <font>
      <sz val="11"/>
      <color theme="4" tint="-0.249977111117893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2F2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8" fontId="6" fillId="0" borderId="0"/>
    <xf numFmtId="9" fontId="6" fillId="0" borderId="0"/>
    <xf numFmtId="0" fontId="5" fillId="0" borderId="0"/>
    <xf numFmtId="37" fontId="21" fillId="0" borderId="0"/>
    <xf numFmtId="0" fontId="23" fillId="0" borderId="0" applyNumberFormat="0" applyFill="0" applyBorder="0" applyAlignment="0" applyProtection="0"/>
    <xf numFmtId="193" fontId="35" fillId="0" borderId="0"/>
  </cellStyleXfs>
  <cellXfs count="275">
    <xf numFmtId="0" fontId="0" fillId="0" borderId="0" xfId="0"/>
    <xf numFmtId="167" fontId="6" fillId="0" borderId="0" xfId="2" applyNumberFormat="1"/>
    <xf numFmtId="0" fontId="7" fillId="0" borderId="4" xfId="0" applyFont="1" applyBorder="1"/>
    <xf numFmtId="0" fontId="8" fillId="0" borderId="0" xfId="0" applyFont="1"/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0" fillId="0" borderId="4" xfId="0" applyFont="1" applyBorder="1"/>
    <xf numFmtId="0" fontId="10" fillId="0" borderId="5" xfId="0" applyFont="1" applyBorder="1"/>
    <xf numFmtId="170" fontId="14" fillId="0" borderId="0" xfId="1" applyNumberFormat="1" applyFont="1"/>
    <xf numFmtId="0" fontId="15" fillId="0" borderId="1" xfId="0" applyFont="1" applyBorder="1"/>
    <xf numFmtId="169" fontId="15" fillId="0" borderId="1" xfId="1" applyNumberFormat="1" applyFont="1" applyBorder="1"/>
    <xf numFmtId="0" fontId="15" fillId="0" borderId="0" xfId="0" applyFont="1"/>
    <xf numFmtId="169" fontId="15" fillId="0" borderId="0" xfId="1" applyNumberFormat="1" applyFont="1"/>
    <xf numFmtId="167" fontId="11" fillId="0" borderId="0" xfId="2" applyNumberFormat="1" applyFont="1"/>
    <xf numFmtId="0" fontId="15" fillId="0" borderId="3" xfId="0" applyFont="1" applyBorder="1"/>
    <xf numFmtId="0" fontId="10" fillId="0" borderId="0" xfId="0" applyFont="1" applyAlignment="1">
      <alignment horizontal="left" indent="1"/>
    </xf>
    <xf numFmtId="169" fontId="10" fillId="0" borderId="0" xfId="0" applyNumberFormat="1" applyFont="1"/>
    <xf numFmtId="169" fontId="10" fillId="0" borderId="0" xfId="1" applyNumberFormat="1" applyFont="1"/>
    <xf numFmtId="0" fontId="17" fillId="0" borderId="2" xfId="0" applyFont="1" applyBorder="1"/>
    <xf numFmtId="169" fontId="15" fillId="0" borderId="2" xfId="1" applyNumberFormat="1" applyFont="1" applyBorder="1"/>
    <xf numFmtId="167" fontId="10" fillId="0" borderId="0" xfId="2" applyNumberFormat="1" applyFont="1"/>
    <xf numFmtId="1" fontId="10" fillId="0" borderId="0" xfId="2" applyNumberFormat="1" applyFont="1"/>
    <xf numFmtId="0" fontId="13" fillId="0" borderId="0" xfId="0" applyFont="1" applyAlignment="1">
      <alignment horizontal="left" indent="1"/>
    </xf>
    <xf numFmtId="169" fontId="15" fillId="0" borderId="0" xfId="0" applyNumberFormat="1" applyFont="1"/>
    <xf numFmtId="0" fontId="15" fillId="0" borderId="1" xfId="0" applyFont="1" applyBorder="1" applyAlignment="1">
      <alignment horizontal="left"/>
    </xf>
    <xf numFmtId="170" fontId="10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indent="2"/>
    </xf>
    <xf numFmtId="170" fontId="16" fillId="0" borderId="3" xfId="1" applyNumberFormat="1" applyFont="1" applyBorder="1"/>
    <xf numFmtId="0" fontId="18" fillId="0" borderId="0" xfId="0" applyFont="1"/>
    <xf numFmtId="0" fontId="12" fillId="0" borderId="0" xfId="0" applyFont="1"/>
    <xf numFmtId="0" fontId="18" fillId="0" borderId="0" xfId="0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0" fontId="13" fillId="0" borderId="0" xfId="0" applyFont="1"/>
    <xf numFmtId="170" fontId="13" fillId="0" borderId="0" xfId="0" applyNumberFormat="1" applyFont="1" applyAlignment="1">
      <alignment horizontal="center" vertical="center"/>
    </xf>
    <xf numFmtId="10" fontId="10" fillId="0" borderId="0" xfId="2" applyNumberFormat="1" applyFont="1"/>
    <xf numFmtId="0" fontId="15" fillId="0" borderId="3" xfId="0" applyFont="1" applyBorder="1" applyAlignment="1">
      <alignment horizontal="left"/>
    </xf>
    <xf numFmtId="0" fontId="7" fillId="0" borderId="6" xfId="0" applyFont="1" applyBorder="1"/>
    <xf numFmtId="0" fontId="0" fillId="0" borderId="6" xfId="0" applyBorder="1"/>
    <xf numFmtId="174" fontId="7" fillId="0" borderId="0" xfId="0" applyNumberFormat="1" applyFont="1"/>
    <xf numFmtId="175" fontId="7" fillId="0" borderId="0" xfId="0" applyNumberFormat="1" applyFont="1"/>
    <xf numFmtId="0" fontId="19" fillId="0" borderId="6" xfId="0" applyFont="1" applyBorder="1"/>
    <xf numFmtId="173" fontId="19" fillId="0" borderId="2" xfId="0" applyNumberFormat="1" applyFont="1" applyBorder="1"/>
    <xf numFmtId="0" fontId="16" fillId="0" borderId="0" xfId="0" applyFont="1"/>
    <xf numFmtId="173" fontId="19" fillId="0" borderId="6" xfId="0" applyNumberFormat="1" applyFont="1" applyBorder="1"/>
    <xf numFmtId="166" fontId="16" fillId="0" borderId="0" xfId="0" applyNumberFormat="1" applyFont="1" applyAlignment="1">
      <alignment horizontal="center" vertical="center"/>
    </xf>
    <xf numFmtId="0" fontId="0" fillId="0" borderId="3" xfId="0" applyBorder="1"/>
    <xf numFmtId="174" fontId="7" fillId="0" borderId="3" xfId="0" applyNumberFormat="1" applyFont="1" applyBorder="1"/>
    <xf numFmtId="175" fontId="7" fillId="0" borderId="3" xfId="0" applyNumberFormat="1" applyFont="1" applyBorder="1"/>
    <xf numFmtId="0" fontId="5" fillId="0" borderId="0" xfId="3"/>
    <xf numFmtId="0" fontId="7" fillId="0" borderId="4" xfId="3" applyFont="1" applyBorder="1"/>
    <xf numFmtId="0" fontId="5" fillId="0" borderId="4" xfId="3" applyBorder="1"/>
    <xf numFmtId="0" fontId="20" fillId="0" borderId="5" xfId="3" applyFont="1" applyBorder="1"/>
    <xf numFmtId="14" fontId="9" fillId="0" borderId="0" xfId="4" applyNumberFormat="1" applyFont="1" applyAlignment="1">
      <alignment horizontal="right"/>
    </xf>
    <xf numFmtId="176" fontId="22" fillId="0" borderId="0" xfId="3" applyNumberFormat="1" applyFont="1"/>
    <xf numFmtId="14" fontId="8" fillId="0" borderId="0" xfId="4" applyNumberFormat="1" applyFont="1" applyAlignment="1">
      <alignment horizontal="right"/>
    </xf>
    <xf numFmtId="14" fontId="9" fillId="0" borderId="0" xfId="3" applyNumberFormat="1" applyFont="1" applyAlignment="1">
      <alignment horizontal="right"/>
    </xf>
    <xf numFmtId="0" fontId="23" fillId="0" borderId="0" xfId="5" applyBorder="1"/>
    <xf numFmtId="177" fontId="8" fillId="0" borderId="0" xfId="3" applyNumberFormat="1" applyFont="1"/>
    <xf numFmtId="164" fontId="22" fillId="0" borderId="0" xfId="3" applyNumberFormat="1" applyFont="1" applyAlignment="1">
      <alignment horizontal="right"/>
    </xf>
    <xf numFmtId="0" fontId="7" fillId="0" borderId="7" xfId="3" applyFont="1" applyBorder="1"/>
    <xf numFmtId="0" fontId="5" fillId="0" borderId="7" xfId="3" applyBorder="1"/>
    <xf numFmtId="164" fontId="22" fillId="0" borderId="7" xfId="3" applyNumberFormat="1" applyFont="1" applyBorder="1" applyAlignment="1">
      <alignment horizontal="right"/>
    </xf>
    <xf numFmtId="0" fontId="24" fillId="0" borderId="0" xfId="3" applyFont="1" applyAlignment="1">
      <alignment horizontal="centerContinuous"/>
    </xf>
    <xf numFmtId="0" fontId="25" fillId="0" borderId="8" xfId="3" applyFont="1" applyBorder="1" applyAlignment="1">
      <alignment horizontal="centerContinuous"/>
    </xf>
    <xf numFmtId="0" fontId="19" fillId="0" borderId="0" xfId="3" applyFont="1"/>
    <xf numFmtId="14" fontId="5" fillId="0" borderId="0" xfId="3" applyNumberFormat="1" applyAlignment="1">
      <alignment horizontal="center"/>
    </xf>
    <xf numFmtId="180" fontId="8" fillId="0" borderId="0" xfId="3" applyNumberFormat="1" applyFont="1"/>
    <xf numFmtId="180" fontId="22" fillId="0" borderId="0" xfId="3" applyNumberFormat="1" applyFont="1"/>
    <xf numFmtId="0" fontId="5" fillId="0" borderId="0" xfId="3" applyAlignment="1">
      <alignment horizontal="left" indent="1"/>
    </xf>
    <xf numFmtId="0" fontId="7" fillId="0" borderId="0" xfId="3" applyFont="1"/>
    <xf numFmtId="180" fontId="26" fillId="0" borderId="0" xfId="3" applyNumberFormat="1" applyFont="1"/>
    <xf numFmtId="180" fontId="5" fillId="0" borderId="0" xfId="3" applyNumberFormat="1"/>
    <xf numFmtId="37" fontId="8" fillId="0" borderId="0" xfId="3" applyNumberFormat="1" applyFont="1"/>
    <xf numFmtId="180" fontId="22" fillId="0" borderId="7" xfId="3" applyNumberFormat="1" applyFont="1" applyBorder="1"/>
    <xf numFmtId="180" fontId="25" fillId="0" borderId="7" xfId="3" applyNumberFormat="1" applyFont="1" applyBorder="1" applyAlignment="1">
      <alignment horizontal="center"/>
    </xf>
    <xf numFmtId="180" fontId="25" fillId="0" borderId="0" xfId="3" applyNumberFormat="1" applyFont="1"/>
    <xf numFmtId="14" fontId="5" fillId="0" borderId="0" xfId="3" applyNumberFormat="1"/>
    <xf numFmtId="177" fontId="5" fillId="0" borderId="0" xfId="3" applyNumberFormat="1" applyAlignment="1">
      <alignment horizontal="center"/>
    </xf>
    <xf numFmtId="180" fontId="8" fillId="0" borderId="7" xfId="3" applyNumberFormat="1" applyFont="1" applyBorder="1"/>
    <xf numFmtId="0" fontId="26" fillId="0" borderId="0" xfId="3" applyFont="1"/>
    <xf numFmtId="177" fontId="9" fillId="0" borderId="0" xfId="3" applyNumberFormat="1" applyFont="1"/>
    <xf numFmtId="179" fontId="5" fillId="0" borderId="0" xfId="3" applyNumberFormat="1"/>
    <xf numFmtId="181" fontId="9" fillId="0" borderId="0" xfId="3" applyNumberFormat="1" applyFont="1"/>
    <xf numFmtId="180" fontId="7" fillId="0" borderId="0" xfId="3" applyNumberFormat="1" applyFont="1"/>
    <xf numFmtId="0" fontId="19" fillId="0" borderId="0" xfId="3" applyFont="1" applyAlignment="1">
      <alignment horizontal="left"/>
    </xf>
    <xf numFmtId="177" fontId="19" fillId="0" borderId="0" xfId="3" applyNumberFormat="1" applyFont="1"/>
    <xf numFmtId="182" fontId="19" fillId="0" borderId="0" xfId="3" applyNumberFormat="1" applyFont="1"/>
    <xf numFmtId="177" fontId="5" fillId="0" borderId="0" xfId="3" applyNumberFormat="1"/>
    <xf numFmtId="181" fontId="19" fillId="0" borderId="0" xfId="3" applyNumberFormat="1" applyFont="1"/>
    <xf numFmtId="176" fontId="5" fillId="0" borderId="0" xfId="3" quotePrefix="1" applyNumberFormat="1"/>
    <xf numFmtId="0" fontId="5" fillId="0" borderId="0" xfId="3" applyAlignment="1">
      <alignment horizontal="left"/>
    </xf>
    <xf numFmtId="0" fontId="27" fillId="0" borderId="0" xfId="3" applyFont="1"/>
    <xf numFmtId="0" fontId="27" fillId="0" borderId="0" xfId="3" applyFont="1" applyAlignment="1">
      <alignment horizontal="right"/>
    </xf>
    <xf numFmtId="0" fontId="27" fillId="0" borderId="0" xfId="3" applyFont="1" applyAlignment="1">
      <alignment horizontal="left" vertical="center"/>
    </xf>
    <xf numFmtId="14" fontId="8" fillId="0" borderId="0" xfId="3" applyNumberFormat="1" applyFont="1"/>
    <xf numFmtId="183" fontId="9" fillId="0" borderId="0" xfId="3" applyNumberFormat="1" applyFont="1"/>
    <xf numFmtId="172" fontId="9" fillId="0" borderId="0" xfId="3" applyNumberFormat="1" applyFont="1"/>
    <xf numFmtId="37" fontId="22" fillId="0" borderId="0" xfId="3" applyNumberFormat="1" applyFont="1"/>
    <xf numFmtId="172" fontId="22" fillId="0" borderId="0" xfId="3" applyNumberFormat="1" applyFont="1" applyAlignment="1">
      <alignment horizontal="right"/>
    </xf>
    <xf numFmtId="0" fontId="8" fillId="0" borderId="0" xfId="3" applyFont="1" applyAlignment="1">
      <alignment horizontal="left" indent="1"/>
    </xf>
    <xf numFmtId="0" fontId="7" fillId="0" borderId="0" xfId="3" applyFont="1" applyAlignment="1">
      <alignment horizontal="left"/>
    </xf>
    <xf numFmtId="184" fontId="9" fillId="0" borderId="0" xfId="3" applyNumberFormat="1" applyFont="1"/>
    <xf numFmtId="0" fontId="5" fillId="0" borderId="0" xfId="3" applyAlignment="1">
      <alignment horizontal="left" vertical="center" indent="1"/>
    </xf>
    <xf numFmtId="172" fontId="5" fillId="0" borderId="0" xfId="3" applyNumberFormat="1"/>
    <xf numFmtId="183" fontId="28" fillId="0" borderId="0" xfId="3" applyNumberFormat="1" applyFont="1"/>
    <xf numFmtId="0" fontId="7" fillId="0" borderId="0" xfId="3" applyFont="1" applyAlignment="1">
      <alignment vertical="center"/>
    </xf>
    <xf numFmtId="0" fontId="24" fillId="0" borderId="0" xfId="3" applyFont="1" applyAlignment="1">
      <alignment horizontal="right"/>
    </xf>
    <xf numFmtId="180" fontId="5" fillId="0" borderId="0" xfId="3" applyNumberFormat="1" applyAlignment="1">
      <alignment horizontal="right"/>
    </xf>
    <xf numFmtId="37" fontId="19" fillId="0" borderId="7" xfId="3" applyNumberFormat="1" applyFont="1" applyBorder="1" applyAlignment="1">
      <alignment horizontal="right"/>
    </xf>
    <xf numFmtId="37" fontId="5" fillId="0" borderId="0" xfId="3" applyNumberFormat="1" applyAlignment="1">
      <alignment horizontal="right"/>
    </xf>
    <xf numFmtId="187" fontId="5" fillId="0" borderId="0" xfId="3" applyNumberFormat="1" applyAlignment="1">
      <alignment horizontal="right"/>
    </xf>
    <xf numFmtId="0" fontId="8" fillId="2" borderId="0" xfId="3" applyFont="1" applyFill="1"/>
    <xf numFmtId="0" fontId="29" fillId="0" borderId="0" xfId="3" applyFont="1" applyAlignment="1">
      <alignment horizontal="centerContinuous"/>
    </xf>
    <xf numFmtId="0" fontId="24" fillId="0" borderId="9" xfId="3" applyFont="1" applyBorder="1" applyAlignment="1">
      <alignment horizontal="centerContinuous"/>
    </xf>
    <xf numFmtId="0" fontId="5" fillId="0" borderId="0" xfId="3" applyAlignment="1">
      <alignment horizontal="centerContinuous"/>
    </xf>
    <xf numFmtId="0" fontId="5" fillId="0" borderId="9" xfId="3" applyBorder="1" applyAlignment="1">
      <alignment horizontal="centerContinuous"/>
    </xf>
    <xf numFmtId="0" fontId="5" fillId="0" borderId="0" xfId="3" applyAlignment="1">
      <alignment horizontal="right"/>
    </xf>
    <xf numFmtId="167" fontId="9" fillId="3" borderId="11" xfId="3" applyNumberFormat="1" applyFont="1" applyFill="1" applyBorder="1"/>
    <xf numFmtId="181" fontId="5" fillId="0" borderId="12" xfId="3" applyNumberFormat="1" applyBorder="1" applyAlignment="1">
      <alignment horizontal="right"/>
    </xf>
    <xf numFmtId="188" fontId="5" fillId="0" borderId="0" xfId="3" applyNumberFormat="1"/>
    <xf numFmtId="188" fontId="5" fillId="0" borderId="9" xfId="3" applyNumberFormat="1" applyBorder="1"/>
    <xf numFmtId="181" fontId="5" fillId="0" borderId="0" xfId="3" applyNumberFormat="1" applyAlignment="1">
      <alignment horizontal="right"/>
    </xf>
    <xf numFmtId="167" fontId="9" fillId="3" borderId="14" xfId="3" applyNumberFormat="1" applyFont="1" applyFill="1" applyBorder="1" applyAlignment="1">
      <alignment horizontal="right"/>
    </xf>
    <xf numFmtId="0" fontId="26" fillId="2" borderId="0" xfId="3" applyFont="1" applyFill="1" applyAlignment="1">
      <alignment horizontal="center"/>
    </xf>
    <xf numFmtId="189" fontId="5" fillId="0" borderId="0" xfId="3" applyNumberFormat="1"/>
    <xf numFmtId="181" fontId="9" fillId="3" borderId="11" xfId="3" applyNumberFormat="1" applyFont="1" applyFill="1" applyBorder="1"/>
    <xf numFmtId="0" fontId="5" fillId="0" borderId="9" xfId="3" applyBorder="1"/>
    <xf numFmtId="0" fontId="7" fillId="4" borderId="0" xfId="3" applyFont="1" applyFill="1"/>
    <xf numFmtId="0" fontId="7" fillId="4" borderId="9" xfId="3" applyFont="1" applyFill="1" applyBorder="1"/>
    <xf numFmtId="190" fontId="5" fillId="0" borderId="0" xfId="3" applyNumberFormat="1"/>
    <xf numFmtId="0" fontId="5" fillId="0" borderId="10" xfId="3" applyBorder="1"/>
    <xf numFmtId="0" fontId="5" fillId="0" borderId="11" xfId="3" applyBorder="1" applyAlignment="1">
      <alignment horizontal="right"/>
    </xf>
    <xf numFmtId="0" fontId="5" fillId="0" borderId="13" xfId="3" applyBorder="1" applyAlignment="1">
      <alignment horizontal="right"/>
    </xf>
    <xf numFmtId="0" fontId="5" fillId="0" borderId="11" xfId="3" applyBorder="1"/>
    <xf numFmtId="0" fontId="5" fillId="0" borderId="15" xfId="3" applyBorder="1"/>
    <xf numFmtId="177" fontId="8" fillId="0" borderId="0" xfId="0" applyNumberFormat="1" applyFont="1"/>
    <xf numFmtId="0" fontId="26" fillId="0" borderId="7" xfId="3" applyFont="1" applyBorder="1"/>
    <xf numFmtId="0" fontId="8" fillId="0" borderId="7" xfId="3" applyFont="1" applyBorder="1"/>
    <xf numFmtId="0" fontId="26" fillId="0" borderId="7" xfId="3" applyFont="1" applyBorder="1" applyAlignment="1">
      <alignment horizontal="right"/>
    </xf>
    <xf numFmtId="0" fontId="27" fillId="0" borderId="0" xfId="3" applyFont="1" applyAlignment="1">
      <alignment horizontal="left"/>
    </xf>
    <xf numFmtId="0" fontId="7" fillId="0" borderId="6" xfId="3" applyFont="1" applyBorder="1"/>
    <xf numFmtId="0" fontId="7" fillId="0" borderId="10" xfId="3" applyFont="1" applyBorder="1"/>
    <xf numFmtId="10" fontId="9" fillId="0" borderId="0" xfId="3" applyNumberFormat="1" applyFont="1"/>
    <xf numFmtId="190" fontId="22" fillId="0" borderId="7" xfId="3" applyNumberFormat="1" applyFont="1" applyBorder="1"/>
    <xf numFmtId="190" fontId="8" fillId="0" borderId="0" xfId="3" applyNumberFormat="1" applyFont="1"/>
    <xf numFmtId="10" fontId="9" fillId="0" borderId="7" xfId="3" applyNumberFormat="1" applyFont="1" applyBorder="1"/>
    <xf numFmtId="10" fontId="8" fillId="0" borderId="0" xfId="3" applyNumberFormat="1" applyFont="1"/>
    <xf numFmtId="167" fontId="8" fillId="0" borderId="0" xfId="3" applyNumberFormat="1" applyFont="1"/>
    <xf numFmtId="0" fontId="5" fillId="0" borderId="6" xfId="3" applyBorder="1"/>
    <xf numFmtId="167" fontId="25" fillId="0" borderId="0" xfId="3" applyNumberFormat="1" applyFont="1" applyAlignment="1">
      <alignment horizontal="right"/>
    </xf>
    <xf numFmtId="9" fontId="9" fillId="0" borderId="0" xfId="3" applyNumberFormat="1" applyFont="1"/>
    <xf numFmtId="176" fontId="5" fillId="0" borderId="0" xfId="3" applyNumberFormat="1"/>
    <xf numFmtId="9" fontId="8" fillId="0" borderId="0" xfId="3" applyNumberFormat="1" applyFont="1"/>
    <xf numFmtId="0" fontId="7" fillId="0" borderId="11" xfId="3" applyFont="1" applyBorder="1"/>
    <xf numFmtId="176" fontId="7" fillId="0" borderId="13" xfId="3" applyNumberFormat="1" applyFont="1" applyBorder="1"/>
    <xf numFmtId="180" fontId="8" fillId="0" borderId="0" xfId="0" applyNumberFormat="1" applyFont="1"/>
    <xf numFmtId="14" fontId="0" fillId="0" borderId="0" xfId="0" applyNumberFormat="1"/>
    <xf numFmtId="39" fontId="9" fillId="0" borderId="0" xfId="3" applyNumberFormat="1" applyFont="1"/>
    <xf numFmtId="170" fontId="16" fillId="0" borderId="0" xfId="1" applyNumberFormat="1" applyFont="1"/>
    <xf numFmtId="170" fontId="15" fillId="0" borderId="0" xfId="0" applyNumberFormat="1" applyFont="1"/>
    <xf numFmtId="185" fontId="0" fillId="0" borderId="6" xfId="0" applyNumberFormat="1" applyBorder="1" applyAlignment="1">
      <alignment horizontal="right"/>
    </xf>
    <xf numFmtId="185" fontId="0" fillId="0" borderId="12" xfId="0" applyNumberFormat="1" applyBorder="1"/>
    <xf numFmtId="181" fontId="30" fillId="3" borderId="11" xfId="3" applyNumberFormat="1" applyFont="1" applyFill="1" applyBorder="1"/>
    <xf numFmtId="0" fontId="0" fillId="0" borderId="16" xfId="0" quotePrefix="1" applyBorder="1"/>
    <xf numFmtId="39" fontId="0" fillId="0" borderId="0" xfId="0" applyNumberFormat="1"/>
    <xf numFmtId="39" fontId="0" fillId="0" borderId="17" xfId="0" applyNumberFormat="1" applyBorder="1"/>
    <xf numFmtId="0" fontId="0" fillId="0" borderId="16" xfId="0" applyBorder="1"/>
    <xf numFmtId="0" fontId="0" fillId="0" borderId="18" xfId="0" applyBorder="1"/>
    <xf numFmtId="39" fontId="0" fillId="0" borderId="6" xfId="0" applyNumberFormat="1" applyBorder="1"/>
    <xf numFmtId="39" fontId="8" fillId="0" borderId="6" xfId="0" applyNumberFormat="1" applyFont="1" applyBorder="1"/>
    <xf numFmtId="39" fontId="0" fillId="0" borderId="12" xfId="0" applyNumberFormat="1" applyBorder="1"/>
    <xf numFmtId="0" fontId="0" fillId="0" borderId="9" xfId="0" applyBorder="1"/>
    <xf numFmtId="39" fontId="8" fillId="0" borderId="0" xfId="0" applyNumberFormat="1" applyFont="1"/>
    <xf numFmtId="39" fontId="8" fillId="0" borderId="17" xfId="0" applyNumberFormat="1" applyFont="1" applyBorder="1"/>
    <xf numFmtId="0" fontId="0" fillId="0" borderId="19" xfId="0" applyBorder="1"/>
    <xf numFmtId="39" fontId="8" fillId="0" borderId="12" xfId="0" applyNumberFormat="1" applyFont="1" applyBorder="1"/>
    <xf numFmtId="178" fontId="7" fillId="0" borderId="20" xfId="3" applyNumberFormat="1" applyFont="1" applyBorder="1"/>
    <xf numFmtId="180" fontId="22" fillId="0" borderId="21" xfId="3" applyNumberFormat="1" applyFont="1" applyBorder="1"/>
    <xf numFmtId="9" fontId="6" fillId="0" borderId="21" xfId="2" applyBorder="1"/>
    <xf numFmtId="180" fontId="8" fillId="0" borderId="21" xfId="3" applyNumberFormat="1" applyFont="1" applyBorder="1"/>
    <xf numFmtId="176" fontId="22" fillId="0" borderId="21" xfId="3" applyNumberFormat="1" applyFont="1" applyBorder="1"/>
    <xf numFmtId="180" fontId="26" fillId="0" borderId="22" xfId="3" applyNumberFormat="1" applyFont="1" applyBorder="1"/>
    <xf numFmtId="179" fontId="7" fillId="0" borderId="23" xfId="3" applyNumberFormat="1" applyFont="1" applyBorder="1"/>
    <xf numFmtId="179" fontId="7" fillId="0" borderId="20" xfId="3" applyNumberFormat="1" applyFont="1" applyBorder="1"/>
    <xf numFmtId="14" fontId="20" fillId="0" borderId="5" xfId="3" applyNumberFormat="1" applyFont="1" applyBorder="1"/>
    <xf numFmtId="169" fontId="6" fillId="0" borderId="0" xfId="1" applyNumberFormat="1"/>
    <xf numFmtId="170" fontId="10" fillId="0" borderId="0" xfId="0" applyNumberFormat="1" applyFont="1" applyAlignment="1">
      <alignment horizontal="center" vertical="center"/>
    </xf>
    <xf numFmtId="170" fontId="0" fillId="0" borderId="0" xfId="0" applyNumberFormat="1"/>
    <xf numFmtId="169" fontId="32" fillId="0" borderId="0" xfId="1" applyNumberFormat="1" applyFont="1"/>
    <xf numFmtId="180" fontId="9" fillId="0" borderId="0" xfId="3" applyNumberFormat="1" applyFont="1"/>
    <xf numFmtId="3" fontId="7" fillId="0" borderId="0" xfId="3" applyNumberFormat="1" applyFont="1"/>
    <xf numFmtId="14" fontId="9" fillId="0" borderId="0" xfId="3" applyNumberFormat="1" applyFont="1" applyAlignment="1">
      <alignment horizontal="left" vertical="center"/>
    </xf>
    <xf numFmtId="0" fontId="9" fillId="0" borderId="0" xfId="3" applyFont="1" applyAlignment="1">
      <alignment horizontal="left" vertical="center"/>
    </xf>
    <xf numFmtId="167" fontId="8" fillId="3" borderId="14" xfId="0" applyNumberFormat="1" applyFont="1" applyFill="1" applyBorder="1" applyAlignment="1">
      <alignment horizontal="right"/>
    </xf>
    <xf numFmtId="167" fontId="8" fillId="3" borderId="24" xfId="0" applyNumberFormat="1" applyFont="1" applyFill="1" applyBorder="1" applyAlignment="1">
      <alignment horizontal="right"/>
    </xf>
    <xf numFmtId="167" fontId="8" fillId="3" borderId="10" xfId="0" applyNumberFormat="1" applyFont="1" applyFill="1" applyBorder="1"/>
    <xf numFmtId="167" fontId="8" fillId="3" borderId="11" xfId="0" applyNumberFormat="1" applyFont="1" applyFill="1" applyBorder="1"/>
    <xf numFmtId="191" fontId="6" fillId="0" borderId="0" xfId="1" applyNumberFormat="1"/>
    <xf numFmtId="0" fontId="15" fillId="0" borderId="0" xfId="0" applyFont="1" applyAlignment="1">
      <alignment horizontal="left"/>
    </xf>
    <xf numFmtId="165" fontId="15" fillId="0" borderId="0" xfId="0" applyNumberFormat="1" applyFont="1" applyAlignment="1">
      <alignment horizontal="center" vertical="center"/>
    </xf>
    <xf numFmtId="165" fontId="13" fillId="0" borderId="0" xfId="1" applyNumberFormat="1" applyFont="1"/>
    <xf numFmtId="165" fontId="10" fillId="0" borderId="0" xfId="0" applyNumberFormat="1" applyFont="1" applyAlignment="1">
      <alignment horizontal="center" vertical="center"/>
    </xf>
    <xf numFmtId="165" fontId="10" fillId="0" borderId="0" xfId="0" applyNumberFormat="1" applyFont="1"/>
    <xf numFmtId="165" fontId="16" fillId="0" borderId="0" xfId="1" applyNumberFormat="1" applyFont="1"/>
    <xf numFmtId="165" fontId="15" fillId="0" borderId="0" xfId="1" applyNumberFormat="1" applyFont="1"/>
    <xf numFmtId="165" fontId="13" fillId="0" borderId="0" xfId="0" applyNumberFormat="1" applyFont="1"/>
    <xf numFmtId="165" fontId="16" fillId="0" borderId="0" xfId="0" applyNumberFormat="1" applyFont="1" applyAlignment="1">
      <alignment horizontal="center" vertical="center"/>
    </xf>
    <xf numFmtId="9" fontId="6" fillId="0" borderId="0" xfId="2"/>
    <xf numFmtId="9" fontId="32" fillId="0" borderId="0" xfId="2" applyFont="1"/>
    <xf numFmtId="167" fontId="13" fillId="0" borderId="3" xfId="2" applyNumberFormat="1" applyFont="1" applyBorder="1"/>
    <xf numFmtId="167" fontId="8" fillId="0" borderId="0" xfId="0" applyNumberFormat="1" applyFont="1"/>
    <xf numFmtId="167" fontId="32" fillId="0" borderId="0" xfId="2" applyNumberFormat="1" applyFont="1"/>
    <xf numFmtId="170" fontId="15" fillId="0" borderId="0" xfId="0" applyNumberFormat="1" applyFont="1" applyAlignment="1">
      <alignment horizontal="center" vertical="center"/>
    </xf>
    <xf numFmtId="0" fontId="4" fillId="0" borderId="0" xfId="3" applyFont="1"/>
    <xf numFmtId="37" fontId="4" fillId="0" borderId="0" xfId="3" applyNumberFormat="1" applyFont="1" applyAlignment="1">
      <alignment horizontal="right"/>
    </xf>
    <xf numFmtId="169" fontId="15" fillId="0" borderId="0" xfId="0" applyNumberFormat="1" applyFont="1" applyAlignment="1">
      <alignment horizontal="center" vertical="center"/>
    </xf>
    <xf numFmtId="169" fontId="16" fillId="0" borderId="0" xfId="0" applyNumberFormat="1" applyFont="1" applyAlignment="1">
      <alignment horizontal="center" vertical="center"/>
    </xf>
    <xf numFmtId="169" fontId="16" fillId="0" borderId="0" xfId="1" applyNumberFormat="1" applyFont="1"/>
    <xf numFmtId="176" fontId="0" fillId="0" borderId="0" xfId="0" quotePrefix="1" applyNumberFormat="1"/>
    <xf numFmtId="167" fontId="8" fillId="3" borderId="25" xfId="0" applyNumberFormat="1" applyFont="1" applyFill="1" applyBorder="1"/>
    <xf numFmtId="181" fontId="8" fillId="0" borderId="0" xfId="3" applyNumberFormat="1" applyFont="1"/>
    <xf numFmtId="181" fontId="30" fillId="3" borderId="25" xfId="3" applyNumberFormat="1" applyFont="1" applyFill="1" applyBorder="1"/>
    <xf numFmtId="0" fontId="7" fillId="0" borderId="0" xfId="0" applyFont="1"/>
    <xf numFmtId="165" fontId="19" fillId="0" borderId="0" xfId="0" applyNumberFormat="1" applyFont="1"/>
    <xf numFmtId="169" fontId="13" fillId="0" borderId="0" xfId="1" applyNumberFormat="1" applyFont="1"/>
    <xf numFmtId="171" fontId="10" fillId="0" borderId="0" xfId="0" applyNumberFormat="1" applyFont="1"/>
    <xf numFmtId="167" fontId="10" fillId="0" borderId="0" xfId="2" applyNumberFormat="1" applyFont="1" applyAlignment="1">
      <alignment horizontal="left"/>
    </xf>
    <xf numFmtId="0" fontId="10" fillId="0" borderId="0" xfId="0" applyFont="1" applyAlignment="1">
      <alignment horizontal="left"/>
    </xf>
    <xf numFmtId="171" fontId="15" fillId="0" borderId="0" xfId="1" applyNumberFormat="1" applyFont="1"/>
    <xf numFmtId="0" fontId="17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192" fontId="19" fillId="0" borderId="2" xfId="0" applyNumberFormat="1" applyFont="1" applyBorder="1"/>
    <xf numFmtId="192" fontId="3" fillId="0" borderId="2" xfId="0" applyNumberFormat="1" applyFont="1" applyBorder="1" applyAlignment="1">
      <alignment horizontal="center"/>
    </xf>
    <xf numFmtId="170" fontId="15" fillId="0" borderId="3" xfId="0" applyNumberFormat="1" applyFont="1" applyBorder="1" applyAlignment="1">
      <alignment horizontal="center" vertical="center"/>
    </xf>
    <xf numFmtId="14" fontId="20" fillId="0" borderId="0" xfId="0" applyNumberFormat="1" applyFont="1" applyAlignment="1">
      <alignment horizontal="left"/>
    </xf>
    <xf numFmtId="170" fontId="13" fillId="0" borderId="0" xfId="1" applyNumberFormat="1" applyFont="1"/>
    <xf numFmtId="170" fontId="14" fillId="0" borderId="0" xfId="0" applyNumberFormat="1" applyFont="1"/>
    <xf numFmtId="186" fontId="0" fillId="0" borderId="0" xfId="0" applyNumberFormat="1" applyAlignment="1">
      <alignment horizontal="right"/>
    </xf>
    <xf numFmtId="187" fontId="0" fillId="0" borderId="0" xfId="0" applyNumberFormat="1" applyAlignment="1">
      <alignment horizontal="right"/>
    </xf>
    <xf numFmtId="169" fontId="14" fillId="0" borderId="0" xfId="1" applyNumberFormat="1" applyFont="1"/>
    <xf numFmtId="1" fontId="10" fillId="0" borderId="0" xfId="0" applyNumberFormat="1" applyFont="1"/>
    <xf numFmtId="1" fontId="10" fillId="0" borderId="0" xfId="0" applyNumberFormat="1" applyFont="1" applyAlignment="1">
      <alignment horizontal="center" vertical="center"/>
    </xf>
    <xf numFmtId="0" fontId="19" fillId="0" borderId="0" xfId="0" applyFont="1"/>
    <xf numFmtId="173" fontId="19" fillId="0" borderId="0" xfId="0" applyNumberFormat="1" applyFont="1"/>
    <xf numFmtId="194" fontId="9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right" vertical="center"/>
    </xf>
    <xf numFmtId="194" fontId="9" fillId="0" borderId="0" xfId="0" applyNumberFormat="1" applyFont="1" applyAlignment="1">
      <alignment horizontal="right" vertical="center"/>
    </xf>
    <xf numFmtId="0" fontId="36" fillId="0" borderId="0" xfId="0" applyFont="1" applyAlignment="1">
      <alignment horizontal="center"/>
    </xf>
    <xf numFmtId="194" fontId="30" fillId="0" borderId="0" xfId="0" applyNumberFormat="1" applyFont="1" applyAlignment="1">
      <alignment horizontal="right" vertical="center"/>
    </xf>
    <xf numFmtId="167" fontId="14" fillId="0" borderId="0" xfId="2" applyNumberFormat="1" applyFont="1"/>
    <xf numFmtId="169" fontId="37" fillId="0" borderId="0" xfId="1" applyNumberFormat="1" applyFont="1" applyAlignment="1">
      <alignment horizontal="center" vertical="center"/>
    </xf>
    <xf numFmtId="0" fontId="10" fillId="0" borderId="6" xfId="0" applyFont="1" applyBorder="1"/>
    <xf numFmtId="192" fontId="2" fillId="0" borderId="2" xfId="0" applyNumberFormat="1" applyFont="1" applyBorder="1"/>
    <xf numFmtId="173" fontId="2" fillId="0" borderId="6" xfId="0" applyNumberFormat="1" applyFont="1" applyBorder="1"/>
    <xf numFmtId="0" fontId="13" fillId="0" borderId="0" xfId="0" applyFont="1" applyAlignment="1">
      <alignment horizontal="center" vertical="center"/>
    </xf>
    <xf numFmtId="173" fontId="2" fillId="0" borderId="2" xfId="0" applyNumberFormat="1" applyFont="1" applyBorder="1"/>
    <xf numFmtId="165" fontId="2" fillId="0" borderId="0" xfId="0" applyNumberFormat="1" applyFont="1"/>
    <xf numFmtId="165" fontId="13" fillId="0" borderId="0" xfId="0" applyNumberFormat="1" applyFont="1" applyAlignment="1">
      <alignment horizontal="center" vertical="center"/>
    </xf>
    <xf numFmtId="9" fontId="10" fillId="0" borderId="0" xfId="2" applyFont="1"/>
    <xf numFmtId="173" fontId="2" fillId="0" borderId="0" xfId="0" applyNumberFormat="1" applyFont="1"/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65" fontId="14" fillId="0" borderId="0" xfId="1" applyNumberFormat="1" applyFont="1"/>
    <xf numFmtId="165" fontId="16" fillId="0" borderId="3" xfId="1" applyNumberFormat="1" applyFont="1" applyBorder="1"/>
    <xf numFmtId="1" fontId="1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69" fontId="40" fillId="0" borderId="0" xfId="1" applyNumberFormat="1" applyFont="1"/>
    <xf numFmtId="170" fontId="41" fillId="0" borderId="0" xfId="0" applyNumberFormat="1" applyFont="1" applyAlignment="1">
      <alignment vertical="top"/>
    </xf>
    <xf numFmtId="192" fontId="1" fillId="0" borderId="2" xfId="0" applyNumberFormat="1" applyFont="1" applyBorder="1"/>
    <xf numFmtId="167" fontId="40" fillId="0" borderId="0" xfId="2" applyNumberFormat="1" applyFont="1"/>
    <xf numFmtId="190" fontId="42" fillId="0" borderId="7" xfId="3" applyNumberFormat="1" applyFont="1" applyBorder="1"/>
    <xf numFmtId="2" fontId="5" fillId="0" borderId="0" xfId="3" applyNumberFormat="1"/>
  </cellXfs>
  <cellStyles count="7">
    <cellStyle name="Comma" xfId="1" builtinId="3"/>
    <cellStyle name="Hyperlink" xfId="5" builtinId="8"/>
    <cellStyle name="Normal" xfId="0" builtinId="0"/>
    <cellStyle name="Normal 15" xfId="6" xr:uid="{6DDD7A4B-57F6-404C-BA97-B891B271587B}"/>
    <cellStyle name="Normal 2" xfId="3" xr:uid="{937EC6E3-AE83-4BBC-ACEF-6FAAD38BC45D}"/>
    <cellStyle name="Normal_DCF_Model" xfId="4" xr:uid="{EB47B55B-6DFA-4D8F-B164-61C0BEC4F72F}"/>
    <cellStyle name="Percent" xfId="2" builtinId="5"/>
  </cellStyles>
  <dxfs count="2">
    <dxf>
      <font>
        <b/>
        <i val="0"/>
      </font>
      <fill>
        <patternFill patternType="solid">
          <bgColor theme="2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F4F"/>
      <rgbColor rgb="FF222A3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DCF Equity Valuation Range </a:t>
            </a:r>
          </a:p>
        </c:rich>
      </c:tx>
      <c:layout>
        <c:manualLayout>
          <c:xMode val="edge"/>
          <c:yMode val="edge"/>
          <c:x val="0.31291626892699836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DCF!$B$128:$B$130</c:f>
              <c:strCache>
                <c:ptCount val="3"/>
                <c:pt idx="0">
                  <c:v>DCF Value at 12.5x-14.5x Exit EBITDA Range at 8.1% WACC</c:v>
                </c:pt>
                <c:pt idx="1">
                  <c:v>DCF Value at 2.0%-4.0% Perpetuity Range at 8.1%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DCF!$C$128:$C$130</c:f>
              <c:numCache>
                <c:formatCode>#,##0.00_);\(#,##0.00\)</c:formatCode>
                <c:ptCount val="3"/>
                <c:pt idx="0">
                  <c:v>17.213737566484426</c:v>
                </c:pt>
                <c:pt idx="1">
                  <c:v>19.906194764407669</c:v>
                </c:pt>
                <c:pt idx="2">
                  <c:v>12.26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83-4E91-8D66-944AAAC33F38}"/>
            </c:ext>
          </c:extLst>
        </c:ser>
        <c:ser>
          <c:idx val="1"/>
          <c:order val="1"/>
          <c:invertIfNegative val="0"/>
          <c:cat>
            <c:strRef>
              <c:f>DCF!$B$128:$B$130</c:f>
              <c:strCache>
                <c:ptCount val="3"/>
                <c:pt idx="0">
                  <c:v>DCF Value at 12.5x-14.5x Exit EBITDA Range at 8.1% WACC</c:v>
                </c:pt>
                <c:pt idx="1">
                  <c:v>DCF Value at 2.0%-4.0% Perpetuity Range at 8.1%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DCF!$D$128:$D$130</c:f>
              <c:numCache>
                <c:formatCode>#,##0.00_);\(#,##0.00\)</c:formatCode>
                <c:ptCount val="3"/>
                <c:pt idx="0">
                  <c:v>1.0559032815813936</c:v>
                </c:pt>
                <c:pt idx="1">
                  <c:v>3.3000928033146302</c:v>
                </c:pt>
                <c:pt idx="2">
                  <c:v>4.67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83-4E91-8D66-944AAAC33F38}"/>
            </c:ext>
          </c:extLst>
        </c:ser>
        <c:ser>
          <c:idx val="2"/>
          <c:order val="2"/>
          <c:spPr>
            <a:noFill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DCF!$B$128:$B$130</c:f>
              <c:strCache>
                <c:ptCount val="3"/>
                <c:pt idx="0">
                  <c:v>DCF Value at 12.5x-14.5x Exit EBITDA Range at 8.1% WACC</c:v>
                </c:pt>
                <c:pt idx="1">
                  <c:v>DCF Value at 2.0%-4.0% Perpetuity Range at 8.1%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DCF!$E$128:$E$130</c:f>
              <c:numCache>
                <c:formatCode>#,##0.00_);\(#,##0.00\)</c:formatCode>
                <c:ptCount val="3"/>
                <c:pt idx="0">
                  <c:v>18.269640848065819</c:v>
                </c:pt>
                <c:pt idx="1">
                  <c:v>23.206287567722299</c:v>
                </c:pt>
                <c:pt idx="2">
                  <c:v>16.93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83-4E91-8D66-944AAAC33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639680"/>
        <c:axId val="99641216"/>
      </c:barChart>
      <c:catAx>
        <c:axId val="9963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9641216"/>
        <c:crosses val="autoZero"/>
        <c:auto val="1"/>
        <c:lblAlgn val="ctr"/>
        <c:lblOffset val="100"/>
        <c:noMultiLvlLbl val="0"/>
      </c:catAx>
      <c:valAx>
        <c:axId val="99641216"/>
        <c:scaling>
          <c:orientation val="minMax"/>
          <c:max val="400"/>
          <c:min val="100"/>
        </c:scaling>
        <c:delete val="0"/>
        <c:axPos val="l"/>
        <c:numFmt formatCode="#,##0.00_);\(#,##0.00\)" sourceLinked="1"/>
        <c:majorTickMark val="out"/>
        <c:minorTickMark val="none"/>
        <c:tickLblPos val="nextTo"/>
        <c:crossAx val="99639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LTM EBITDA Multiple Range</a:t>
            </a:r>
          </a:p>
        </c:rich>
      </c:tx>
      <c:layout>
        <c:manualLayout>
          <c:xMode val="edge"/>
          <c:yMode val="edge"/>
          <c:x val="0.31291626892699836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dLbls>
            <c:numFmt formatCode="#,##0.0\x;\-#,##0.0\x" sourceLinked="0"/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DCF!$G$128:$G$130</c:f>
              <c:strCache>
                <c:ptCount val="3"/>
                <c:pt idx="0">
                  <c:v>LTM EBITDA Purchase Multiple at 2.0%-4.0% Perpetuity Growth at 8.1% WACC</c:v>
                </c:pt>
                <c:pt idx="1">
                  <c:v>LTM EBITDA Purchase Multiple at 15.6x-16.5x Exit EBITDA Multiple at 8.1% WACC</c:v>
                </c:pt>
                <c:pt idx="2">
                  <c:v>LTM EBITDA Purchase Multiple at 6.1%-10.1% WACC at 13.5x Exit EBITDA</c:v>
                </c:pt>
              </c:strCache>
            </c:strRef>
          </c:cat>
          <c:val>
            <c:numRef>
              <c:f>DCF!$O$128:$O$130</c:f>
              <c:numCache>
                <c:formatCode>#,##0.00_);\(#,##0.00\)</c:formatCode>
                <c:ptCount val="3"/>
                <c:pt idx="0">
                  <c:v>17.993438830826531</c:v>
                </c:pt>
                <c:pt idx="1">
                  <c:v>15.603008018646952</c:v>
                </c:pt>
                <c:pt idx="2">
                  <c:v>14.181248789036788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D5-4FE9-8BD7-0E0161403D7A}"/>
            </c:ext>
          </c:extLst>
        </c:ser>
        <c:ser>
          <c:idx val="1"/>
          <c:order val="1"/>
          <c:spPr>
            <a:solidFill>
              <a:schemeClr val="tx2"/>
            </a:solidFill>
          </c:spPr>
          <c:invertIfNegative val="0"/>
          <c:cat>
            <c:strRef>
              <c:f>DCF!$G$128:$G$130</c:f>
              <c:strCache>
                <c:ptCount val="3"/>
                <c:pt idx="0">
                  <c:v>LTM EBITDA Purchase Multiple at 2.0%-4.0% Perpetuity Growth at 8.1% WACC</c:v>
                </c:pt>
                <c:pt idx="1">
                  <c:v>LTM EBITDA Purchase Multiple at 15.6x-16.5x Exit EBITDA Multiple at 8.1% WACC</c:v>
                </c:pt>
                <c:pt idx="2">
                  <c:v>LTM EBITDA Purchase Multiple at 6.1%-10.1% WACC at 13.5x Exit EBITDA</c:v>
                </c:pt>
              </c:strCache>
            </c:strRef>
          </c:cat>
          <c:val>
            <c:numRef>
              <c:f>DCF!$P$128:$P$130</c:f>
              <c:numCache>
                <c:formatCode>#,##0.00_);\(#,##0.00\)</c:formatCode>
                <c:ptCount val="3"/>
                <c:pt idx="0">
                  <c:v>2.9299048936339922</c:v>
                </c:pt>
                <c:pt idx="1">
                  <c:v>0.93745733113995833</c:v>
                </c:pt>
                <c:pt idx="2">
                  <c:v>1.9952642801984002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D5-4FE9-8BD7-0E0161403D7A}"/>
            </c:ext>
          </c:extLst>
        </c:ser>
        <c:ser>
          <c:idx val="2"/>
          <c:order val="2"/>
          <c:spPr>
            <a:noFill/>
          </c:spPr>
          <c:invertIfNegative val="0"/>
          <c:dLbls>
            <c:numFmt formatCode="#,##0.0\x;\-#,##0.0\x" sourceLinked="0"/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DCF!$G$128:$G$130</c:f>
              <c:strCache>
                <c:ptCount val="3"/>
                <c:pt idx="0">
                  <c:v>LTM EBITDA Purchase Multiple at 2.0%-4.0% Perpetuity Growth at 8.1% WACC</c:v>
                </c:pt>
                <c:pt idx="1">
                  <c:v>LTM EBITDA Purchase Multiple at 15.6x-16.5x Exit EBITDA Multiple at 8.1% WACC</c:v>
                </c:pt>
                <c:pt idx="2">
                  <c:v>LTM EBITDA Purchase Multiple at 6.1%-10.1% WACC at 13.5x Exit EBITDA</c:v>
                </c:pt>
              </c:strCache>
            </c:strRef>
          </c:cat>
          <c:val>
            <c:numRef>
              <c:f>DCF!$Q$128:$Q$130</c:f>
              <c:numCache>
                <c:formatCode>#,##0.00_);\(#,##0.00\)</c:formatCode>
                <c:ptCount val="3"/>
                <c:pt idx="0">
                  <c:v>20.923343724460523</c:v>
                </c:pt>
                <c:pt idx="1">
                  <c:v>16.54046534978691</c:v>
                </c:pt>
                <c:pt idx="2">
                  <c:v>16.176513069235188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D5-4FE9-8BD7-0E0161403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639680"/>
        <c:axId val="99641216"/>
      </c:barChart>
      <c:catAx>
        <c:axId val="9963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9641216"/>
        <c:crosses val="autoZero"/>
        <c:auto val="1"/>
        <c:lblAlgn val="ctr"/>
        <c:lblOffset val="100"/>
        <c:noMultiLvlLbl val="0"/>
      </c:catAx>
      <c:valAx>
        <c:axId val="99641216"/>
        <c:scaling>
          <c:orientation val="minMax"/>
          <c:max val="20"/>
          <c:min val="10"/>
        </c:scaling>
        <c:delete val="0"/>
        <c:axPos val="l"/>
        <c:numFmt formatCode="#,##0.0\x;\-#,##0.0\x" sourceLinked="0"/>
        <c:majorTickMark val="out"/>
        <c:minorTickMark val="none"/>
        <c:tickLblPos val="nextTo"/>
        <c:crossAx val="99639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53578</xdr:colOff>
      <xdr:row>106</xdr:row>
      <xdr:rowOff>149424</xdr:rowOff>
    </xdr:from>
    <xdr:to>
      <xdr:col>4</xdr:col>
      <xdr:colOff>654844</xdr:colOff>
      <xdr:row>125</xdr:row>
      <xdr:rowOff>53578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7529BCA-2888-434E-AC7E-5B03FCA5B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47228</xdr:colOff>
      <xdr:row>106</xdr:row>
      <xdr:rowOff>149424</xdr:rowOff>
    </xdr:from>
    <xdr:to>
      <xdr:col>15</xdr:col>
      <xdr:colOff>657225</xdr:colOff>
      <xdr:row>125</xdr:row>
      <xdr:rowOff>47228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A38233F-A324-4062-8E99-2AF6A530E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0973C-64E9-46C3-8015-F083BA56F634}">
  <dimension ref="A1:K295"/>
  <sheetViews>
    <sheetView showGridLines="0" zoomScale="85" zoomScaleNormal="85" workbookViewId="0">
      <selection activeCell="E205" sqref="E205"/>
    </sheetView>
  </sheetViews>
  <sheetFormatPr defaultColWidth="9.140625" defaultRowHeight="15" x14ac:dyDescent="0.25"/>
  <cols>
    <col min="1" max="2" width="1.7109375" style="6" customWidth="1"/>
    <col min="3" max="3" width="66.42578125" style="6" bestFit="1" customWidth="1"/>
    <col min="4" max="4" width="17.140625" style="28" customWidth="1"/>
    <col min="5" max="11" width="17.140625" style="6" customWidth="1"/>
    <col min="12" max="12" width="2.7109375" style="6" customWidth="1"/>
    <col min="13" max="16384" width="9.140625" style="6"/>
  </cols>
  <sheetData>
    <row r="1" spans="3:11" ht="15" customHeight="1" thickBot="1" x14ac:dyDescent="0.3"/>
    <row r="2" spans="3:11" ht="15.75" thickBot="1" x14ac:dyDescent="0.3">
      <c r="C2" s="2" t="str">
        <f>Company_Name&amp;" - Financial Statement Model"</f>
        <v>Jarir Marketing Company - Financial Statement Model</v>
      </c>
      <c r="D2" s="8"/>
      <c r="E2" s="8"/>
      <c r="F2" s="8"/>
      <c r="G2" s="8"/>
      <c r="H2" s="8"/>
      <c r="I2" s="8"/>
      <c r="J2" s="8"/>
      <c r="K2" s="8"/>
    </row>
    <row r="3" spans="3:11" x14ac:dyDescent="0.25">
      <c r="C3" s="237" t="s">
        <v>193</v>
      </c>
      <c r="D3" s="9"/>
      <c r="E3" s="9"/>
      <c r="F3" s="9"/>
      <c r="G3" s="9"/>
      <c r="H3" s="9"/>
    </row>
    <row r="4" spans="3:11" ht="15" customHeight="1" x14ac:dyDescent="0.25"/>
    <row r="5" spans="3:11" x14ac:dyDescent="0.25">
      <c r="C5" s="3" t="s">
        <v>0</v>
      </c>
      <c r="D5" s="268" t="s">
        <v>243</v>
      </c>
    </row>
    <row r="6" spans="3:11" x14ac:dyDescent="0.25">
      <c r="C6" s="3" t="s">
        <v>1</v>
      </c>
      <c r="D6" s="4" t="s">
        <v>244</v>
      </c>
    </row>
    <row r="7" spans="3:11" x14ac:dyDescent="0.25">
      <c r="C7" s="6" t="s">
        <v>28</v>
      </c>
      <c r="D7" s="247">
        <v>16.34</v>
      </c>
    </row>
    <row r="8" spans="3:11" x14ac:dyDescent="0.25">
      <c r="C8" s="6" t="s">
        <v>29</v>
      </c>
      <c r="D8" s="5" t="s">
        <v>275</v>
      </c>
    </row>
    <row r="9" spans="3:11" x14ac:dyDescent="0.25">
      <c r="C9" s="3" t="s">
        <v>2</v>
      </c>
      <c r="D9" s="5">
        <v>46022</v>
      </c>
    </row>
    <row r="10" spans="3:11" ht="15" customHeight="1" x14ac:dyDescent="0.25">
      <c r="C10" s="6" t="s">
        <v>30</v>
      </c>
      <c r="D10" s="253">
        <v>1200000</v>
      </c>
    </row>
    <row r="11" spans="3:11" ht="15" customHeight="1" x14ac:dyDescent="0.25"/>
    <row r="12" spans="3:11" customFormat="1" x14ac:dyDescent="0.25">
      <c r="C12" s="39" t="s">
        <v>41</v>
      </c>
      <c r="D12" s="254"/>
      <c r="E12" s="40"/>
      <c r="F12" s="40"/>
      <c r="G12" s="40"/>
      <c r="H12" s="40"/>
      <c r="I12" s="40"/>
      <c r="J12" s="40"/>
      <c r="K12" s="40"/>
    </row>
    <row r="13" spans="3:11" customFormat="1" x14ac:dyDescent="0.25">
      <c r="C13" t="s">
        <v>42</v>
      </c>
      <c r="D13" s="41">
        <f>E13-1</f>
        <v>2023</v>
      </c>
      <c r="E13" s="41">
        <f>F13-1</f>
        <v>2024</v>
      </c>
      <c r="F13" s="41">
        <f>YEAR(D9)</f>
        <v>2025</v>
      </c>
      <c r="G13" s="42">
        <f>F13+1</f>
        <v>2026</v>
      </c>
      <c r="H13" s="42">
        <f>G13+1</f>
        <v>2027</v>
      </c>
      <c r="I13" s="42">
        <f>H13+1</f>
        <v>2028</v>
      </c>
      <c r="J13" s="42">
        <f>I13+1</f>
        <v>2029</v>
      </c>
      <c r="K13" s="42">
        <f>J13+1</f>
        <v>2030</v>
      </c>
    </row>
    <row r="14" spans="3:11" customFormat="1" x14ac:dyDescent="0.25">
      <c r="C14" s="43" t="s">
        <v>43</v>
      </c>
      <c r="D14" s="255">
        <f>EOMONTH(E14,-12)</f>
        <v>45291</v>
      </c>
      <c r="E14" s="234">
        <f>EOMONTH(F14,-12)</f>
        <v>45657</v>
      </c>
      <c r="F14" s="234">
        <f>D9</f>
        <v>46022</v>
      </c>
      <c r="G14" s="234">
        <f>EOMONTH(F14,12)</f>
        <v>46387</v>
      </c>
      <c r="H14" s="234">
        <f>EOMONTH(G14,12)</f>
        <v>46752</v>
      </c>
      <c r="I14" s="234">
        <f>EOMONTH(H14,12)</f>
        <v>47118</v>
      </c>
      <c r="J14" s="234">
        <f>EOMONTH(I14,12)</f>
        <v>47483</v>
      </c>
      <c r="K14" s="234">
        <f>EOMONTH(J14,12)</f>
        <v>47848</v>
      </c>
    </row>
    <row r="15" spans="3:11" ht="15" customHeight="1" x14ac:dyDescent="0.25"/>
    <row r="16" spans="3:11" ht="15" customHeight="1" x14ac:dyDescent="0.25">
      <c r="C16" s="6" t="s">
        <v>61</v>
      </c>
      <c r="D16" s="10">
        <v>10594919</v>
      </c>
      <c r="E16" s="10">
        <v>10619263</v>
      </c>
      <c r="F16" s="10">
        <v>11365153</v>
      </c>
      <c r="G16" s="238">
        <f>G167</f>
        <v>12012075</v>
      </c>
      <c r="H16" s="238">
        <f t="shared" ref="H16:K16" si="0">H167</f>
        <v>12678830.024999997</v>
      </c>
      <c r="I16" s="238">
        <f t="shared" si="0"/>
        <v>13454567.870749999</v>
      </c>
      <c r="J16" s="238">
        <f t="shared" si="0"/>
        <v>14216298.5991375</v>
      </c>
      <c r="K16" s="238">
        <f t="shared" si="0"/>
        <v>14946418.952476876</v>
      </c>
    </row>
    <row r="17" spans="3:11" ht="15" customHeight="1" x14ac:dyDescent="0.25">
      <c r="C17" s="6" t="s">
        <v>222</v>
      </c>
      <c r="D17" s="10">
        <v>-9318991</v>
      </c>
      <c r="E17" s="10">
        <v>-9294804</v>
      </c>
      <c r="F17" s="10">
        <v>-9948916</v>
      </c>
      <c r="G17" s="238">
        <f>-G16*(1-G35)</f>
        <v>-10531535.401717443</v>
      </c>
      <c r="H17" s="238">
        <f t="shared" ref="H17:K17" si="1">-H16*(1-H35)</f>
        <v>-11116110.019346826</v>
      </c>
      <c r="I17" s="238">
        <f t="shared" si="1"/>
        <v>-11796234.859140797</v>
      </c>
      <c r="J17" s="238">
        <f t="shared" si="1"/>
        <v>-12464079.018671019</v>
      </c>
      <c r="K17" s="238">
        <f t="shared" si="1"/>
        <v>-13104208.917019812</v>
      </c>
    </row>
    <row r="18" spans="3:11" s="13" customFormat="1" ht="15" customHeight="1" x14ac:dyDescent="0.25">
      <c r="C18" s="13" t="s">
        <v>197</v>
      </c>
      <c r="D18" s="14">
        <f>SUM(D16:D17)</f>
        <v>1275928</v>
      </c>
      <c r="E18" s="14">
        <f t="shared" ref="E18:F18" si="2">SUM(E16:E17)</f>
        <v>1324459</v>
      </c>
      <c r="F18" s="14">
        <f t="shared" si="2"/>
        <v>1416237</v>
      </c>
      <c r="G18" s="14">
        <f>SUM(G16:G17)</f>
        <v>1480539.598282557</v>
      </c>
      <c r="H18" s="14">
        <f t="shared" ref="H18:K18" si="3">SUM(H16:H17)</f>
        <v>1562720.0056531709</v>
      </c>
      <c r="I18" s="14">
        <f t="shared" si="3"/>
        <v>1658333.0116092023</v>
      </c>
      <c r="J18" s="14">
        <f t="shared" si="3"/>
        <v>1752219.5804664809</v>
      </c>
      <c r="K18" s="14">
        <f t="shared" si="3"/>
        <v>1842210.0354570635</v>
      </c>
    </row>
    <row r="19" spans="3:11" s="15" customFormat="1" ht="15" customHeight="1" x14ac:dyDescent="0.25">
      <c r="C19" s="229" t="s">
        <v>223</v>
      </c>
      <c r="D19" s="242">
        <v>-136157</v>
      </c>
      <c r="E19" s="191">
        <v>-144349</v>
      </c>
      <c r="F19" s="191">
        <v>-153960</v>
      </c>
      <c r="G19" s="227">
        <f>G$16*G36</f>
        <v>-160124.80346129075</v>
      </c>
      <c r="H19" s="227">
        <f t="shared" ref="H19:K19" si="4">H$16*H36</f>
        <v>-169012.86129767227</v>
      </c>
      <c r="I19" s="227">
        <f t="shared" si="4"/>
        <v>-179353.69500776849</v>
      </c>
      <c r="J19" s="227">
        <f t="shared" si="4"/>
        <v>-189507.8093613231</v>
      </c>
      <c r="K19" s="227">
        <f t="shared" si="4"/>
        <v>-199240.54730056805</v>
      </c>
    </row>
    <row r="20" spans="3:11" s="15" customFormat="1" ht="15" customHeight="1" x14ac:dyDescent="0.25">
      <c r="C20" s="229" t="s">
        <v>224</v>
      </c>
      <c r="D20" s="242">
        <v>-167236</v>
      </c>
      <c r="E20" s="191">
        <v>-202941</v>
      </c>
      <c r="F20" s="191">
        <v>-221988</v>
      </c>
      <c r="G20" s="227">
        <f t="shared" ref="G20:K20" si="5">G$16*G37</f>
        <v>-217929.20157777917</v>
      </c>
      <c r="H20" s="227">
        <f t="shared" si="5"/>
        <v>-230025.8118841768</v>
      </c>
      <c r="I20" s="227">
        <f t="shared" si="5"/>
        <v>-244099.64420356913</v>
      </c>
      <c r="J20" s="227">
        <f t="shared" si="5"/>
        <v>-257919.35224358289</v>
      </c>
      <c r="K20" s="227">
        <f t="shared" si="5"/>
        <v>-271165.56870984175</v>
      </c>
    </row>
    <row r="21" spans="3:11" s="15" customFormat="1" ht="15" customHeight="1" x14ac:dyDescent="0.25">
      <c r="C21" s="229" t="s">
        <v>198</v>
      </c>
      <c r="D21" s="242">
        <v>72595</v>
      </c>
      <c r="E21" s="191">
        <v>75591</v>
      </c>
      <c r="F21" s="191">
        <v>84637</v>
      </c>
      <c r="G21" s="227">
        <f>G38*G16</f>
        <v>85755.092175085534</v>
      </c>
      <c r="H21" s="227">
        <f t="shared" ref="H21:K21" si="6">H38*H16</f>
        <v>90515.105630469072</v>
      </c>
      <c r="I21" s="227">
        <f t="shared" si="6"/>
        <v>96053.155506614014</v>
      </c>
      <c r="J21" s="227">
        <f t="shared" si="6"/>
        <v>101491.20753554866</v>
      </c>
      <c r="K21" s="227">
        <f t="shared" si="6"/>
        <v>106703.59075822453</v>
      </c>
    </row>
    <row r="22" spans="3:11" ht="15" customHeight="1" x14ac:dyDescent="0.25">
      <c r="C22" s="201" t="s">
        <v>225</v>
      </c>
      <c r="D22" s="220">
        <f>SUM(D18:D21)</f>
        <v>1045130</v>
      </c>
      <c r="E22" s="220">
        <f t="shared" ref="E22:K22" si="7">SUM(E18:E21)</f>
        <v>1052760</v>
      </c>
      <c r="F22" s="220">
        <f t="shared" si="7"/>
        <v>1124926</v>
      </c>
      <c r="G22" s="220">
        <f t="shared" si="7"/>
        <v>1188240.6854185727</v>
      </c>
      <c r="H22" s="220">
        <f t="shared" si="7"/>
        <v>1254196.4381017908</v>
      </c>
      <c r="I22" s="220">
        <f t="shared" si="7"/>
        <v>1330932.8279044786</v>
      </c>
      <c r="J22" s="220">
        <f t="shared" si="7"/>
        <v>1406283.6263971236</v>
      </c>
      <c r="K22" s="220">
        <f t="shared" si="7"/>
        <v>1478507.5102048782</v>
      </c>
    </row>
    <row r="23" spans="3:11" ht="15" customHeight="1" x14ac:dyDescent="0.25">
      <c r="C23" s="230" t="s">
        <v>212</v>
      </c>
      <c r="D23" s="242">
        <v>-47258</v>
      </c>
      <c r="E23" s="191">
        <v>-51880</v>
      </c>
      <c r="F23" s="191">
        <v>-52114</v>
      </c>
      <c r="G23" s="227">
        <f>G230</f>
        <v>-52511.837275513499</v>
      </c>
      <c r="H23" s="227">
        <f t="shared" ref="H23:K23" si="8">H230</f>
        <v>-49716.371100854034</v>
      </c>
      <c r="I23" s="227">
        <f t="shared" si="8"/>
        <v>-47309.344109642814</v>
      </c>
      <c r="J23" s="227">
        <f t="shared" si="8"/>
        <v>-44761.693707867678</v>
      </c>
      <c r="K23" s="227">
        <f t="shared" si="8"/>
        <v>-42064.161057858197</v>
      </c>
    </row>
    <row r="24" spans="3:11" ht="15" customHeight="1" x14ac:dyDescent="0.25">
      <c r="C24" s="230" t="s">
        <v>226</v>
      </c>
      <c r="D24" s="242">
        <v>4377</v>
      </c>
      <c r="E24" s="191">
        <v>3640</v>
      </c>
      <c r="F24" s="191">
        <v>4545</v>
      </c>
      <c r="G24" s="227">
        <f>G231</f>
        <v>4545</v>
      </c>
      <c r="H24" s="227">
        <f t="shared" ref="H24:K24" si="9">H231</f>
        <v>5516.3252444166155</v>
      </c>
      <c r="I24" s="227">
        <f t="shared" si="9"/>
        <v>3105.5807456147468</v>
      </c>
      <c r="J24" s="227">
        <f t="shared" si="9"/>
        <v>3420.8647159680636</v>
      </c>
      <c r="K24" s="227">
        <f t="shared" si="9"/>
        <v>3769.344692752436</v>
      </c>
    </row>
    <row r="25" spans="3:11" s="13" customFormat="1" ht="15" customHeight="1" x14ac:dyDescent="0.25">
      <c r="C25" s="13" t="s">
        <v>227</v>
      </c>
      <c r="D25" s="220">
        <f>SUM(D22:D24)</f>
        <v>1002249</v>
      </c>
      <c r="E25" s="220">
        <f t="shared" ref="E25:K25" si="10">SUM(E22:E24)</f>
        <v>1004520</v>
      </c>
      <c r="F25" s="220">
        <f t="shared" si="10"/>
        <v>1077357</v>
      </c>
      <c r="G25" s="220">
        <f t="shared" si="10"/>
        <v>1140273.8481430593</v>
      </c>
      <c r="H25" s="220">
        <f t="shared" si="10"/>
        <v>1209996.3922453534</v>
      </c>
      <c r="I25" s="220">
        <f t="shared" si="10"/>
        <v>1286729.0645404507</v>
      </c>
      <c r="J25" s="220">
        <f t="shared" si="10"/>
        <v>1364942.7974052238</v>
      </c>
      <c r="K25" s="220">
        <f t="shared" si="10"/>
        <v>1440212.6938397724</v>
      </c>
    </row>
    <row r="26" spans="3:11" ht="15" customHeight="1" x14ac:dyDescent="0.25">
      <c r="C26" s="6" t="s">
        <v>199</v>
      </c>
      <c r="D26" s="242">
        <v>-29000</v>
      </c>
      <c r="E26" s="242">
        <v>-30500</v>
      </c>
      <c r="F26" s="242">
        <v>-27250</v>
      </c>
      <c r="G26" s="191">
        <f>G39*G25</f>
        <v>-28841.379748679748</v>
      </c>
      <c r="H26" s="191">
        <f>H39*H25</f>
        <v>-30604.898551441984</v>
      </c>
      <c r="I26" s="191">
        <f>I39*I25</f>
        <v>-32545.727190455236</v>
      </c>
      <c r="J26" s="191">
        <f>J39*J25</f>
        <v>-34524.016857264913</v>
      </c>
      <c r="K26" s="191">
        <f>K39*K25</f>
        <v>-36427.846950577943</v>
      </c>
    </row>
    <row r="27" spans="3:11" ht="15" customHeight="1" x14ac:dyDescent="0.25">
      <c r="C27" s="6" t="s">
        <v>228</v>
      </c>
      <c r="D27" s="242">
        <v>-206</v>
      </c>
      <c r="E27" s="242">
        <v>-65</v>
      </c>
      <c r="F27" s="242">
        <v>-915</v>
      </c>
      <c r="G27" s="269">
        <f>F27</f>
        <v>-915</v>
      </c>
      <c r="H27" s="269">
        <f t="shared" ref="H27:K27" si="11">G27</f>
        <v>-915</v>
      </c>
      <c r="I27" s="269">
        <f t="shared" si="11"/>
        <v>-915</v>
      </c>
      <c r="J27" s="269">
        <f t="shared" si="11"/>
        <v>-915</v>
      </c>
      <c r="K27" s="269">
        <f t="shared" si="11"/>
        <v>-915</v>
      </c>
    </row>
    <row r="28" spans="3:11" ht="15" customHeight="1" x14ac:dyDescent="0.25">
      <c r="C28" s="13" t="s">
        <v>229</v>
      </c>
      <c r="D28" s="220">
        <f>SUM(D25:D27)</f>
        <v>973043</v>
      </c>
      <c r="E28" s="220">
        <f t="shared" ref="E28:K28" si="12">SUM(E25:E27)</f>
        <v>973955</v>
      </c>
      <c r="F28" s="220">
        <f t="shared" si="12"/>
        <v>1049192</v>
      </c>
      <c r="G28" s="220">
        <f t="shared" si="12"/>
        <v>1110517.4683943796</v>
      </c>
      <c r="H28" s="220">
        <f t="shared" si="12"/>
        <v>1178476.4936939115</v>
      </c>
      <c r="I28" s="220">
        <f t="shared" si="12"/>
        <v>1253268.3373499955</v>
      </c>
      <c r="J28" s="220">
        <f t="shared" si="12"/>
        <v>1329503.7805479588</v>
      </c>
      <c r="K28" s="220">
        <f t="shared" si="12"/>
        <v>1402869.8468891943</v>
      </c>
    </row>
    <row r="29" spans="3:11" ht="15" customHeight="1" x14ac:dyDescent="0.25">
      <c r="D29" s="14"/>
      <c r="E29" s="14"/>
      <c r="F29" s="14"/>
      <c r="G29" s="228"/>
      <c r="H29" s="231"/>
      <c r="I29" s="231"/>
      <c r="J29" s="231"/>
      <c r="K29" s="231"/>
    </row>
    <row r="30" spans="3:11" s="13" customFormat="1" ht="15" customHeight="1" x14ac:dyDescent="0.25">
      <c r="C30" s="232" t="s">
        <v>24</v>
      </c>
      <c r="D30" s="14">
        <f t="shared" ref="D30:K30" si="13">D22+D143</f>
        <v>1228084</v>
      </c>
      <c r="E30" s="14">
        <f t="shared" si="13"/>
        <v>1233847</v>
      </c>
      <c r="F30" s="14">
        <f t="shared" si="13"/>
        <v>1311753</v>
      </c>
      <c r="G30" s="14">
        <f t="shared" si="13"/>
        <v>1391482.4344210755</v>
      </c>
      <c r="H30" s="14">
        <f t="shared" si="13"/>
        <v>1468719.5400293467</v>
      </c>
      <c r="I30" s="14">
        <f t="shared" si="13"/>
        <v>1558581.2488579033</v>
      </c>
      <c r="J30" s="14">
        <f t="shared" si="13"/>
        <v>1646820.3689358218</v>
      </c>
      <c r="K30" s="14">
        <f t="shared" si="13"/>
        <v>1731397.7335197972</v>
      </c>
    </row>
    <row r="31" spans="3:11" ht="15" customHeight="1" x14ac:dyDescent="0.25">
      <c r="C31" s="233" t="s">
        <v>149</v>
      </c>
      <c r="D31" s="15">
        <f>D30/D16</f>
        <v>0.11591254260650789</v>
      </c>
      <c r="E31" s="15">
        <f t="shared" ref="E31:K31" si="14">E30/E16</f>
        <v>0.11618951334005005</v>
      </c>
      <c r="F31" s="15">
        <f t="shared" si="14"/>
        <v>0.11541885973730402</v>
      </c>
      <c r="G31" s="15">
        <f t="shared" si="14"/>
        <v>0.11584030522795399</v>
      </c>
      <c r="H31" s="15">
        <f t="shared" si="14"/>
        <v>0.11584030522795395</v>
      </c>
      <c r="I31" s="15">
        <f t="shared" si="14"/>
        <v>0.11584030522795402</v>
      </c>
      <c r="J31" s="15">
        <f t="shared" si="14"/>
        <v>0.11584030522795392</v>
      </c>
      <c r="K31" s="15">
        <f t="shared" si="14"/>
        <v>0.11584030522795397</v>
      </c>
    </row>
    <row r="32" spans="3:11" ht="15" customHeight="1" x14ac:dyDescent="0.25">
      <c r="C32" s="17"/>
      <c r="D32" s="14"/>
      <c r="E32" s="14"/>
      <c r="F32" s="14"/>
      <c r="G32" s="200"/>
      <c r="H32" s="14"/>
      <c r="I32" s="14"/>
      <c r="J32" s="14"/>
      <c r="K32" s="14"/>
    </row>
    <row r="33" spans="3:11" ht="15" customHeight="1" x14ac:dyDescent="0.25">
      <c r="C33" s="20" t="s">
        <v>27</v>
      </c>
      <c r="D33" s="21"/>
      <c r="E33" s="21"/>
      <c r="F33" s="14"/>
      <c r="H33" s="21"/>
      <c r="I33" s="21"/>
      <c r="J33" s="21"/>
      <c r="K33" s="21"/>
    </row>
    <row r="34" spans="3:11" ht="15" customHeight="1" x14ac:dyDescent="0.25">
      <c r="C34" s="17" t="s">
        <v>25</v>
      </c>
      <c r="D34" s="22"/>
      <c r="E34" s="212">
        <f>E16/D16-1</f>
        <v>2.2977051547066196E-3</v>
      </c>
      <c r="F34" s="212">
        <f t="shared" ref="F34:K34" si="15">F16/E16-1</f>
        <v>7.0239337701684113E-2</v>
      </c>
      <c r="G34" s="212">
        <f t="shared" si="15"/>
        <v>5.6921539023715662E-2</v>
      </c>
      <c r="H34" s="212">
        <f t="shared" si="15"/>
        <v>5.5507064766078917E-2</v>
      </c>
      <c r="I34" s="212">
        <f t="shared" si="15"/>
        <v>6.1183708924278379E-2</v>
      </c>
      <c r="J34" s="212">
        <f t="shared" si="15"/>
        <v>5.6615027379919747E-2</v>
      </c>
      <c r="K34" s="212">
        <f t="shared" si="15"/>
        <v>5.1357978185944342E-2</v>
      </c>
    </row>
    <row r="35" spans="3:11" ht="15" customHeight="1" x14ac:dyDescent="0.25">
      <c r="C35" s="17" t="s">
        <v>221</v>
      </c>
      <c r="D35" s="22">
        <f>D18/D$16</f>
        <v>0.12042829208982155</v>
      </c>
      <c r="E35" s="22">
        <f t="shared" ref="E35:F35" si="16">E18/E$16</f>
        <v>0.12472230888339426</v>
      </c>
      <c r="F35" s="22">
        <f t="shared" si="16"/>
        <v>0.12461222475403542</v>
      </c>
      <c r="G35" s="252">
        <f>AVERAGE(D35:F35)</f>
        <v>0.12325427524241707</v>
      </c>
      <c r="H35" s="252">
        <f>G35</f>
        <v>0.12325427524241707</v>
      </c>
      <c r="I35" s="252">
        <f t="shared" ref="I35:K35" si="17">H35</f>
        <v>0.12325427524241707</v>
      </c>
      <c r="J35" s="252">
        <f t="shared" si="17"/>
        <v>0.12325427524241707</v>
      </c>
      <c r="K35" s="252">
        <f t="shared" si="17"/>
        <v>0.12325427524241707</v>
      </c>
    </row>
    <row r="36" spans="3:11" ht="15" customHeight="1" x14ac:dyDescent="0.25">
      <c r="C36" s="17" t="s">
        <v>223</v>
      </c>
      <c r="D36" s="22">
        <f>D19/D$16</f>
        <v>-1.2851160070218564E-2</v>
      </c>
      <c r="E36" s="22">
        <f t="shared" ref="E36:F36" si="18">E19/E$16</f>
        <v>-1.3593127884675236E-2</v>
      </c>
      <c r="F36" s="22">
        <f t="shared" si="18"/>
        <v>-1.3546672006967263E-2</v>
      </c>
      <c r="G36" s="252">
        <f t="shared" ref="G36:G37" si="19">AVERAGE(D36:F36)</f>
        <v>-1.3330319987287021E-2</v>
      </c>
      <c r="H36" s="252">
        <f t="shared" ref="H36:K36" si="20">G36</f>
        <v>-1.3330319987287021E-2</v>
      </c>
      <c r="I36" s="252">
        <f t="shared" si="20"/>
        <v>-1.3330319987287021E-2</v>
      </c>
      <c r="J36" s="252">
        <f t="shared" si="20"/>
        <v>-1.3330319987287021E-2</v>
      </c>
      <c r="K36" s="252">
        <f t="shared" si="20"/>
        <v>-1.3330319987287021E-2</v>
      </c>
    </row>
    <row r="37" spans="3:11" ht="15" customHeight="1" x14ac:dyDescent="0.25">
      <c r="C37" s="17" t="s">
        <v>224</v>
      </c>
      <c r="D37" s="22">
        <f t="shared" ref="D37:F37" si="21">D20/D$16</f>
        <v>-1.5784547291017515E-2</v>
      </c>
      <c r="E37" s="22">
        <f t="shared" si="21"/>
        <v>-1.9110648262501834E-2</v>
      </c>
      <c r="F37" s="22">
        <f t="shared" si="21"/>
        <v>-1.9532337136156461E-2</v>
      </c>
      <c r="G37" s="252">
        <f t="shared" si="19"/>
        <v>-1.8142510896558602E-2</v>
      </c>
      <c r="H37" s="252">
        <f t="shared" ref="H37:K37" si="22">G37</f>
        <v>-1.8142510896558602E-2</v>
      </c>
      <c r="I37" s="252">
        <f t="shared" si="22"/>
        <v>-1.8142510896558602E-2</v>
      </c>
      <c r="J37" s="252">
        <f t="shared" si="22"/>
        <v>-1.8142510896558602E-2</v>
      </c>
      <c r="K37" s="252">
        <f t="shared" si="22"/>
        <v>-1.8142510896558602E-2</v>
      </c>
    </row>
    <row r="38" spans="3:11" ht="15" customHeight="1" x14ac:dyDescent="0.25">
      <c r="C38" s="17" t="s">
        <v>262</v>
      </c>
      <c r="D38" s="22">
        <f>D21/D16</f>
        <v>6.8518692780945283E-3</v>
      </c>
      <c r="E38" s="22">
        <f t="shared" ref="E38:F38" si="23">E21/E16</f>
        <v>7.1182906007695636E-3</v>
      </c>
      <c r="F38" s="22">
        <f t="shared" si="23"/>
        <v>7.4470620853058465E-3</v>
      </c>
      <c r="G38" s="252">
        <f t="shared" ref="G38" si="24">AVERAGE(D38:F38)</f>
        <v>7.1390739880566462E-3</v>
      </c>
      <c r="H38" s="252">
        <f t="shared" ref="H38" si="25">G38</f>
        <v>7.1390739880566462E-3</v>
      </c>
      <c r="I38" s="252">
        <f t="shared" ref="I38" si="26">H38</f>
        <v>7.1390739880566462E-3</v>
      </c>
      <c r="J38" s="252">
        <f t="shared" ref="J38" si="27">I38</f>
        <v>7.1390739880566462E-3</v>
      </c>
      <c r="K38" s="252">
        <f t="shared" ref="K38" si="28">J38</f>
        <v>7.1390739880566462E-3</v>
      </c>
    </row>
    <row r="39" spans="3:11" ht="15" customHeight="1" x14ac:dyDescent="0.25">
      <c r="C39" s="17" t="s">
        <v>26</v>
      </c>
      <c r="D39" s="213">
        <f>D26/D25</f>
        <v>-2.893492535288137E-2</v>
      </c>
      <c r="E39" s="213">
        <f>E26/E25</f>
        <v>-3.0362760323338511E-2</v>
      </c>
      <c r="F39" s="213">
        <f>F26/F25</f>
        <v>-2.5293380003100181E-2</v>
      </c>
      <c r="G39" s="252">
        <f>F39</f>
        <v>-2.5293380003100181E-2</v>
      </c>
      <c r="H39" s="252">
        <f>G39</f>
        <v>-2.5293380003100181E-2</v>
      </c>
      <c r="I39" s="252">
        <f t="shared" ref="I39:K39" si="29">H39</f>
        <v>-2.5293380003100181E-2</v>
      </c>
      <c r="J39" s="252">
        <f t="shared" si="29"/>
        <v>-2.5293380003100181E-2</v>
      </c>
      <c r="K39" s="252">
        <f t="shared" si="29"/>
        <v>-2.5293380003100181E-2</v>
      </c>
    </row>
    <row r="40" spans="3:11" ht="15" customHeight="1" x14ac:dyDescent="0.25">
      <c r="C40" s="17"/>
      <c r="D40" s="23"/>
      <c r="E40" s="23"/>
      <c r="F40" s="23"/>
      <c r="G40" s="23"/>
      <c r="H40" s="23"/>
      <c r="I40" s="23"/>
      <c r="J40" s="23"/>
      <c r="K40" s="23"/>
    </row>
    <row r="41" spans="3:11" customFormat="1" x14ac:dyDescent="0.25">
      <c r="C41" s="39" t="s">
        <v>44</v>
      </c>
      <c r="D41" s="256"/>
      <c r="E41" s="46"/>
      <c r="F41" s="46"/>
      <c r="G41" s="40"/>
      <c r="H41" s="40"/>
      <c r="I41" s="40"/>
      <c r="J41" s="40"/>
      <c r="K41" s="40"/>
    </row>
    <row r="42" spans="3:11" customFormat="1" x14ac:dyDescent="0.25">
      <c r="C42" t="s">
        <v>42</v>
      </c>
      <c r="D42" s="41">
        <f>D$13</f>
        <v>2023</v>
      </c>
      <c r="E42" s="41">
        <f t="shared" ref="E42:K42" si="30">E$13</f>
        <v>2024</v>
      </c>
      <c r="F42" s="41">
        <f t="shared" si="30"/>
        <v>2025</v>
      </c>
      <c r="G42" s="42">
        <f t="shared" si="30"/>
        <v>2026</v>
      </c>
      <c r="H42" s="42">
        <f t="shared" si="30"/>
        <v>2027</v>
      </c>
      <c r="I42" s="42">
        <f t="shared" si="30"/>
        <v>2028</v>
      </c>
      <c r="J42" s="42">
        <f t="shared" si="30"/>
        <v>2029</v>
      </c>
      <c r="K42" s="42">
        <f t="shared" si="30"/>
        <v>2030</v>
      </c>
    </row>
    <row r="43" spans="3:11" customFormat="1" x14ac:dyDescent="0.25">
      <c r="C43" s="43" t="s">
        <v>43</v>
      </c>
      <c r="D43" s="255">
        <f>D$14</f>
        <v>45291</v>
      </c>
      <c r="E43" s="234">
        <f t="shared" ref="E43:K43" si="31">E$14</f>
        <v>45657</v>
      </c>
      <c r="F43" s="234">
        <f t="shared" si="31"/>
        <v>46022</v>
      </c>
      <c r="G43" s="234">
        <f t="shared" si="31"/>
        <v>46387</v>
      </c>
      <c r="H43" s="234">
        <f t="shared" si="31"/>
        <v>46752</v>
      </c>
      <c r="I43" s="234">
        <f t="shared" si="31"/>
        <v>47118</v>
      </c>
      <c r="J43" s="234">
        <f t="shared" si="31"/>
        <v>47483</v>
      </c>
      <c r="K43" s="234">
        <f t="shared" si="31"/>
        <v>47848</v>
      </c>
    </row>
    <row r="44" spans="3:11" s="35" customFormat="1" ht="15" customHeight="1" x14ac:dyDescent="0.25">
      <c r="C44" s="45" t="s">
        <v>3</v>
      </c>
    </row>
    <row r="45" spans="3:11" ht="15" customHeight="1" x14ac:dyDescent="0.25"/>
    <row r="46" spans="3:11" ht="15" customHeight="1" x14ac:dyDescent="0.25">
      <c r="C46" s="13" t="s">
        <v>4</v>
      </c>
    </row>
    <row r="47" spans="3:11" ht="15" customHeight="1" x14ac:dyDescent="0.25">
      <c r="C47" s="17" t="s">
        <v>202</v>
      </c>
      <c r="D47" s="10">
        <v>50031</v>
      </c>
      <c r="E47" s="10">
        <v>32835</v>
      </c>
      <c r="F47" s="10">
        <v>270963</v>
      </c>
      <c r="G47" s="188">
        <f>G123</f>
        <v>97760.559208642226</v>
      </c>
      <c r="H47" s="188">
        <f t="shared" ref="H47:K47" si="32">H123</f>
        <v>109823.42744840262</v>
      </c>
      <c r="I47" s="188">
        <f t="shared" si="32"/>
        <v>118834.84735504421</v>
      </c>
      <c r="J47" s="188">
        <f t="shared" si="32"/>
        <v>133116.6111639447</v>
      </c>
      <c r="K47" s="188">
        <f t="shared" si="32"/>
        <v>153948.54183270526</v>
      </c>
    </row>
    <row r="48" spans="3:11" ht="15" customHeight="1" x14ac:dyDescent="0.25">
      <c r="C48" s="17" t="s">
        <v>201</v>
      </c>
      <c r="D48" s="10">
        <v>220902</v>
      </c>
      <c r="E48" s="10">
        <v>173978</v>
      </c>
      <c r="F48" s="10">
        <v>189043</v>
      </c>
      <c r="G48" s="188">
        <f>G194</f>
        <v>215683.27576246302</v>
      </c>
      <c r="H48" s="188">
        <f t="shared" ref="H48:K48" si="33">H194</f>
        <v>227655.22131917012</v>
      </c>
      <c r="I48" s="188">
        <f t="shared" si="33"/>
        <v>241584.01211545442</v>
      </c>
      <c r="J48" s="188">
        <f t="shared" si="33"/>
        <v>255261.29757592175</v>
      </c>
      <c r="K48" s="188">
        <f t="shared" si="33"/>
        <v>268371.0017285418</v>
      </c>
    </row>
    <row r="49" spans="3:11" ht="15" customHeight="1" x14ac:dyDescent="0.25">
      <c r="C49" s="17" t="s">
        <v>230</v>
      </c>
      <c r="D49" s="10">
        <v>1647915</v>
      </c>
      <c r="E49" s="10">
        <v>1816658</v>
      </c>
      <c r="F49" s="10">
        <v>1709401</v>
      </c>
      <c r="G49" s="188">
        <f t="shared" ref="G49:K50" si="34">G195</f>
        <v>1910071.723281041</v>
      </c>
      <c r="H49" s="188">
        <f t="shared" si="34"/>
        <v>2016094.1981330577</v>
      </c>
      <c r="I49" s="188">
        <f t="shared" si="34"/>
        <v>2139446.318715557</v>
      </c>
      <c r="J49" s="188">
        <f t="shared" si="34"/>
        <v>2260571.1306275073</v>
      </c>
      <c r="K49" s="188">
        <f t="shared" si="34"/>
        <v>2376669.4934420502</v>
      </c>
    </row>
    <row r="50" spans="3:11" ht="15" customHeight="1" x14ac:dyDescent="0.25">
      <c r="C50" s="17" t="s">
        <v>231</v>
      </c>
      <c r="D50" s="10">
        <v>292317</v>
      </c>
      <c r="E50" s="10">
        <v>325551</v>
      </c>
      <c r="F50" s="10">
        <v>353794</v>
      </c>
      <c r="G50" s="188">
        <f t="shared" si="34"/>
        <v>373932.49897735653</v>
      </c>
      <c r="H50" s="188">
        <f t="shared" si="34"/>
        <v>394688.39441623434</v>
      </c>
      <c r="I50" s="188">
        <f t="shared" si="34"/>
        <v>418836.89425598807</v>
      </c>
      <c r="J50" s="188">
        <f t="shared" si="34"/>
        <v>442549.3564920114</v>
      </c>
      <c r="K50" s="188">
        <f t="shared" si="34"/>
        <v>465277.79668893188</v>
      </c>
    </row>
    <row r="51" spans="3:11" ht="15" customHeight="1" x14ac:dyDescent="0.25">
      <c r="C51" s="11" t="s">
        <v>5</v>
      </c>
      <c r="D51" s="12">
        <f>SUM(D47:D50)</f>
        <v>2211165</v>
      </c>
      <c r="E51" s="12">
        <f t="shared" ref="E51:G51" si="35">SUM(E47:E50)</f>
        <v>2349022</v>
      </c>
      <c r="F51" s="12">
        <f t="shared" si="35"/>
        <v>2523201</v>
      </c>
      <c r="G51" s="12">
        <f t="shared" si="35"/>
        <v>2597448.0572295031</v>
      </c>
      <c r="H51" s="12">
        <f t="shared" ref="H51:K51" si="36">SUM(H47:H50)</f>
        <v>2748261.2413168647</v>
      </c>
      <c r="I51" s="12">
        <f t="shared" si="36"/>
        <v>2918702.0724420436</v>
      </c>
      <c r="J51" s="12">
        <f t="shared" si="36"/>
        <v>3091498.3958593854</v>
      </c>
      <c r="K51" s="12">
        <f t="shared" si="36"/>
        <v>3264266.8336922294</v>
      </c>
    </row>
    <row r="52" spans="3:11" ht="15" customHeight="1" x14ac:dyDescent="0.25">
      <c r="E52" s="18"/>
      <c r="F52" s="18"/>
      <c r="G52" s="18"/>
      <c r="H52" s="18"/>
      <c r="I52" s="18"/>
      <c r="J52" s="18"/>
      <c r="K52" s="18"/>
    </row>
    <row r="53" spans="3:11" ht="15" customHeight="1" x14ac:dyDescent="0.25">
      <c r="C53" s="13" t="s">
        <v>6</v>
      </c>
      <c r="E53" s="18"/>
      <c r="F53" s="18"/>
      <c r="G53" s="18"/>
      <c r="H53" s="18"/>
      <c r="I53" s="18"/>
      <c r="J53" s="18"/>
      <c r="K53" s="18"/>
    </row>
    <row r="54" spans="3:11" ht="15" customHeight="1" x14ac:dyDescent="0.25">
      <c r="C54" s="24" t="s">
        <v>232</v>
      </c>
      <c r="D54" s="10">
        <v>40460</v>
      </c>
      <c r="E54" s="10">
        <v>40460</v>
      </c>
      <c r="F54" s="10">
        <v>40460</v>
      </c>
      <c r="G54" s="19">
        <f>F54</f>
        <v>40460</v>
      </c>
      <c r="H54" s="19">
        <f t="shared" ref="H54:K54" si="37">G54</f>
        <v>40460</v>
      </c>
      <c r="I54" s="19">
        <f t="shared" si="37"/>
        <v>40460</v>
      </c>
      <c r="J54" s="19">
        <f t="shared" si="37"/>
        <v>40460</v>
      </c>
      <c r="K54" s="19">
        <f t="shared" si="37"/>
        <v>40460</v>
      </c>
    </row>
    <row r="55" spans="3:11" ht="15" customHeight="1" x14ac:dyDescent="0.25">
      <c r="C55" s="17" t="s">
        <v>233</v>
      </c>
      <c r="D55" s="10">
        <v>281046</v>
      </c>
      <c r="E55" s="10">
        <v>260762</v>
      </c>
      <c r="F55" s="10">
        <v>240591</v>
      </c>
      <c r="G55" s="19">
        <f>G274</f>
        <v>226938.94872988225</v>
      </c>
      <c r="H55" s="19">
        <f t="shared" ref="H55:K55" si="38">H274</f>
        <v>212529.11216572425</v>
      </c>
      <c r="I55" s="19">
        <f t="shared" si="38"/>
        <v>197237.62835557837</v>
      </c>
      <c r="J55" s="19">
        <f t="shared" si="38"/>
        <v>181080.41677084149</v>
      </c>
      <c r="K55" s="19">
        <f t="shared" si="38"/>
        <v>164093.40346599001</v>
      </c>
    </row>
    <row r="56" spans="3:11" ht="15" customHeight="1" x14ac:dyDescent="0.25">
      <c r="C56" s="17" t="s">
        <v>200</v>
      </c>
      <c r="D56" s="10">
        <v>583038</v>
      </c>
      <c r="E56" s="10">
        <v>627402</v>
      </c>
      <c r="F56" s="10">
        <v>614696</v>
      </c>
      <c r="G56" s="19">
        <f>G252</f>
        <v>573621.34825276188</v>
      </c>
      <c r="H56" s="19">
        <f t="shared" ref="H56:K56" si="39">H252</f>
        <v>530266.76315074565</v>
      </c>
      <c r="I56" s="19">
        <f t="shared" si="39"/>
        <v>484259.58373331488</v>
      </c>
      <c r="J56" s="19">
        <f t="shared" si="39"/>
        <v>435647.70659349323</v>
      </c>
      <c r="K56" s="19">
        <f t="shared" si="39"/>
        <v>384539.22172794683</v>
      </c>
    </row>
    <row r="57" spans="3:11" ht="15" customHeight="1" x14ac:dyDescent="0.25">
      <c r="C57" s="17" t="s">
        <v>213</v>
      </c>
      <c r="D57" s="10">
        <v>994767</v>
      </c>
      <c r="E57" s="10">
        <v>995048</v>
      </c>
      <c r="F57" s="10">
        <v>997080</v>
      </c>
      <c r="G57" s="19">
        <f>G134</f>
        <v>1003050.2658607691</v>
      </c>
      <c r="H57" s="19">
        <f t="shared" ref="H57:K57" si="40">H134</f>
        <v>1009351.9236553425</v>
      </c>
      <c r="I57" s="19">
        <f t="shared" si="40"/>
        <v>1016039.1402461596</v>
      </c>
      <c r="J57" s="19">
        <f t="shared" si="40"/>
        <v>1023104.9537873614</v>
      </c>
      <c r="K57" s="19">
        <f t="shared" si="40"/>
        <v>1030533.653226278</v>
      </c>
    </row>
    <row r="58" spans="3:11" ht="15" customHeight="1" x14ac:dyDescent="0.25">
      <c r="C58" s="11" t="s">
        <v>7</v>
      </c>
      <c r="D58" s="12">
        <f>SUM(D54:D57)</f>
        <v>1899311</v>
      </c>
      <c r="E58" s="12">
        <f t="shared" ref="E58:G58" si="41">SUM(E54:E57)</f>
        <v>1923672</v>
      </c>
      <c r="F58" s="12">
        <f t="shared" si="41"/>
        <v>1892827</v>
      </c>
      <c r="G58" s="12">
        <f t="shared" si="41"/>
        <v>1844070.5628434131</v>
      </c>
      <c r="H58" s="12">
        <f t="shared" ref="H58:K58" si="42">SUM(H54:H57)</f>
        <v>1792607.7989718125</v>
      </c>
      <c r="I58" s="12">
        <f t="shared" si="42"/>
        <v>1737996.352335053</v>
      </c>
      <c r="J58" s="12">
        <f t="shared" si="42"/>
        <v>1680293.0771516962</v>
      </c>
      <c r="K58" s="12">
        <f t="shared" si="42"/>
        <v>1619626.278420215</v>
      </c>
    </row>
    <row r="59" spans="3:11" ht="15" customHeight="1" x14ac:dyDescent="0.25">
      <c r="E59" s="19"/>
      <c r="F59" s="19"/>
      <c r="G59" s="19"/>
      <c r="H59" s="19"/>
      <c r="I59" s="19"/>
      <c r="J59" s="19"/>
      <c r="K59" s="19"/>
    </row>
    <row r="60" spans="3:11" ht="15" customHeight="1" x14ac:dyDescent="0.25">
      <c r="C60" s="13" t="s">
        <v>8</v>
      </c>
      <c r="D60" s="14">
        <f t="shared" ref="D60:G60" si="43">D51+D58</f>
        <v>4110476</v>
      </c>
      <c r="E60" s="14">
        <f t="shared" si="43"/>
        <v>4272694</v>
      </c>
      <c r="F60" s="14">
        <f t="shared" si="43"/>
        <v>4416028</v>
      </c>
      <c r="G60" s="14">
        <f t="shared" si="43"/>
        <v>4441518.6200729162</v>
      </c>
      <c r="H60" s="14">
        <f t="shared" ref="H60:K60" si="44">H51+H58</f>
        <v>4540869.0402886774</v>
      </c>
      <c r="I60" s="14">
        <f t="shared" si="44"/>
        <v>4656698.4247770961</v>
      </c>
      <c r="J60" s="14">
        <f t="shared" si="44"/>
        <v>4771791.473011082</v>
      </c>
      <c r="K60" s="14">
        <f t="shared" si="44"/>
        <v>4883893.1121124439</v>
      </c>
    </row>
    <row r="61" spans="3:11" ht="15" customHeight="1" x14ac:dyDescent="0.25">
      <c r="E61" s="18"/>
      <c r="F61" s="18"/>
      <c r="G61" s="18"/>
      <c r="H61" s="18"/>
      <c r="I61" s="18"/>
      <c r="J61" s="18"/>
      <c r="K61" s="18"/>
    </row>
    <row r="62" spans="3:11" s="35" customFormat="1" ht="15" customHeight="1" x14ac:dyDescent="0.25">
      <c r="C62" s="45" t="s">
        <v>9</v>
      </c>
      <c r="D62" s="257"/>
      <c r="E62" s="47"/>
      <c r="F62" s="47"/>
      <c r="G62" s="219"/>
      <c r="H62" s="219"/>
      <c r="I62" s="219"/>
      <c r="J62" s="219"/>
      <c r="K62" s="219"/>
    </row>
    <row r="63" spans="3:11" ht="15" customHeight="1" x14ac:dyDescent="0.25">
      <c r="E63" s="18"/>
      <c r="F63" s="18"/>
      <c r="G63" s="18"/>
      <c r="H63" s="18"/>
      <c r="I63" s="18"/>
      <c r="J63" s="18"/>
      <c r="K63" s="18"/>
    </row>
    <row r="64" spans="3:11" ht="15" customHeight="1" x14ac:dyDescent="0.25">
      <c r="C64" s="13" t="s">
        <v>10</v>
      </c>
      <c r="E64" s="18"/>
      <c r="F64" s="18"/>
      <c r="G64" s="18"/>
      <c r="H64" s="18"/>
      <c r="I64" s="18"/>
      <c r="J64" s="18"/>
      <c r="K64" s="18"/>
    </row>
    <row r="65" spans="3:11" ht="15" customHeight="1" x14ac:dyDescent="0.25">
      <c r="C65" s="17" t="s">
        <v>234</v>
      </c>
      <c r="D65" s="10">
        <v>5416</v>
      </c>
      <c r="E65" s="10">
        <v>39696</v>
      </c>
      <c r="F65" s="10">
        <v>0</v>
      </c>
      <c r="G65" s="19">
        <f>F65</f>
        <v>0</v>
      </c>
      <c r="H65" s="19">
        <f t="shared" ref="H65:K65" si="45">G65</f>
        <v>0</v>
      </c>
      <c r="I65" s="19">
        <f t="shared" si="45"/>
        <v>0</v>
      </c>
      <c r="J65" s="19">
        <f t="shared" si="45"/>
        <v>0</v>
      </c>
      <c r="K65" s="19">
        <f t="shared" si="45"/>
        <v>0</v>
      </c>
    </row>
    <row r="66" spans="3:11" ht="15" customHeight="1" x14ac:dyDescent="0.25">
      <c r="C66" s="17" t="s">
        <v>235</v>
      </c>
      <c r="D66" s="10">
        <v>127675</v>
      </c>
      <c r="E66" s="10">
        <v>149464</v>
      </c>
      <c r="F66" s="10">
        <v>148470</v>
      </c>
      <c r="G66" s="19">
        <f>G288*G289</f>
        <v>141636.85623334965</v>
      </c>
      <c r="H66" s="19">
        <f t="shared" ref="H66:K66" si="46">H288*H289</f>
        <v>134424.42471308791</v>
      </c>
      <c r="I66" s="19">
        <f t="shared" si="46"/>
        <v>126770.70988205419</v>
      </c>
      <c r="J66" s="19">
        <f t="shared" si="46"/>
        <v>118683.67977630341</v>
      </c>
      <c r="K66" s="19">
        <f t="shared" si="46"/>
        <v>110181.3161547924</v>
      </c>
    </row>
    <row r="67" spans="3:11" ht="15" customHeight="1" x14ac:dyDescent="0.25">
      <c r="C67" s="17" t="s">
        <v>236</v>
      </c>
      <c r="D67" s="10">
        <v>1097050</v>
      </c>
      <c r="E67" s="10">
        <v>1204027</v>
      </c>
      <c r="F67" s="10">
        <v>1328753</v>
      </c>
      <c r="G67" s="19">
        <f>G200</f>
        <v>1336863.2059356552</v>
      </c>
      <c r="H67" s="19">
        <f t="shared" ref="H67:K67" si="47">H200</f>
        <v>1411068.5584909136</v>
      </c>
      <c r="I67" s="19">
        <f t="shared" si="47"/>
        <v>1497402.9664458227</v>
      </c>
      <c r="J67" s="19">
        <f t="shared" si="47"/>
        <v>1582178.4763899262</v>
      </c>
      <c r="K67" s="19">
        <f t="shared" si="47"/>
        <v>1663435.9640666309</v>
      </c>
    </row>
    <row r="68" spans="3:11" ht="15" customHeight="1" x14ac:dyDescent="0.25">
      <c r="C68" s="17" t="s">
        <v>237</v>
      </c>
      <c r="D68" s="10">
        <v>228115</v>
      </c>
      <c r="E68" s="10">
        <v>246273</v>
      </c>
      <c r="F68" s="10">
        <v>293716</v>
      </c>
      <c r="G68" s="19">
        <f t="shared" ref="G68:K69" si="48">G201</f>
        <v>310434.76675588969</v>
      </c>
      <c r="H68" s="19">
        <f t="shared" si="48"/>
        <v>327666.08945985144</v>
      </c>
      <c r="I68" s="19">
        <f t="shared" si="48"/>
        <v>347713.9161017196</v>
      </c>
      <c r="J68" s="19">
        <f t="shared" si="48"/>
        <v>367399.74898219761</v>
      </c>
      <c r="K68" s="19">
        <f t="shared" si="48"/>
        <v>386268.65727594675</v>
      </c>
    </row>
    <row r="69" spans="3:11" ht="15" customHeight="1" x14ac:dyDescent="0.25">
      <c r="C69" s="17" t="s">
        <v>238</v>
      </c>
      <c r="D69" s="10">
        <v>23958</v>
      </c>
      <c r="E69" s="10">
        <v>14424</v>
      </c>
      <c r="F69" s="10">
        <v>0</v>
      </c>
      <c r="G69" s="19">
        <f t="shared" si="48"/>
        <v>0</v>
      </c>
      <c r="H69" s="19">
        <f t="shared" si="48"/>
        <v>0</v>
      </c>
      <c r="I69" s="19">
        <f t="shared" si="48"/>
        <v>0</v>
      </c>
      <c r="J69" s="19">
        <f t="shared" si="48"/>
        <v>0</v>
      </c>
      <c r="K69" s="19">
        <f t="shared" si="48"/>
        <v>0</v>
      </c>
    </row>
    <row r="70" spans="3:11" ht="15" customHeight="1" x14ac:dyDescent="0.25">
      <c r="C70" s="17" t="s">
        <v>239</v>
      </c>
      <c r="D70" s="10">
        <v>16272</v>
      </c>
      <c r="E70" s="10">
        <v>12686</v>
      </c>
      <c r="F70" s="10">
        <v>11305</v>
      </c>
      <c r="G70" s="19">
        <f>F70</f>
        <v>11305</v>
      </c>
      <c r="H70" s="19">
        <f t="shared" ref="H70:K70" si="49">G70</f>
        <v>11305</v>
      </c>
      <c r="I70" s="19">
        <f t="shared" si="49"/>
        <v>11305</v>
      </c>
      <c r="J70" s="19">
        <f t="shared" si="49"/>
        <v>11305</v>
      </c>
      <c r="K70" s="19">
        <f t="shared" si="49"/>
        <v>11305</v>
      </c>
    </row>
    <row r="71" spans="3:11" ht="15" customHeight="1" x14ac:dyDescent="0.25">
      <c r="C71" s="17" t="s">
        <v>240</v>
      </c>
      <c r="D71" s="10">
        <v>73425</v>
      </c>
      <c r="E71" s="10">
        <v>69003</v>
      </c>
      <c r="F71" s="10">
        <v>55136</v>
      </c>
      <c r="G71" s="19">
        <f>G203</f>
        <v>58274.425975611593</v>
      </c>
      <c r="H71" s="19">
        <f t="shared" ref="H71:K71" si="50">H203</f>
        <v>61509.068312445932</v>
      </c>
      <c r="I71" s="19">
        <f t="shared" si="50"/>
        <v>65272.421244278186</v>
      </c>
      <c r="J71" s="19">
        <f t="shared" si="50"/>
        <v>68967.821160176652</v>
      </c>
      <c r="K71" s="19">
        <f t="shared" si="50"/>
        <v>72509.869014853131</v>
      </c>
    </row>
    <row r="72" spans="3:11" ht="15" customHeight="1" x14ac:dyDescent="0.25">
      <c r="C72" s="11" t="s">
        <v>11</v>
      </c>
      <c r="D72" s="12">
        <f>SUM(D65:D71)</f>
        <v>1571911</v>
      </c>
      <c r="E72" s="12">
        <f t="shared" ref="E72:G72" si="51">SUM(E65:E71)</f>
        <v>1735573</v>
      </c>
      <c r="F72" s="12">
        <f t="shared" si="51"/>
        <v>1837380</v>
      </c>
      <c r="G72" s="12">
        <f t="shared" si="51"/>
        <v>1858514.254900506</v>
      </c>
      <c r="H72" s="12">
        <f t="shared" ref="H72:K72" si="52">SUM(H65:H71)</f>
        <v>1945973.1409762988</v>
      </c>
      <c r="I72" s="12">
        <f t="shared" si="52"/>
        <v>2048465.0136738745</v>
      </c>
      <c r="J72" s="12">
        <f t="shared" si="52"/>
        <v>2148534.7263086038</v>
      </c>
      <c r="K72" s="12">
        <f t="shared" si="52"/>
        <v>2243700.8065122231</v>
      </c>
    </row>
    <row r="73" spans="3:11" ht="15" customHeight="1" x14ac:dyDescent="0.25">
      <c r="E73" s="18"/>
      <c r="F73" s="18"/>
      <c r="G73" s="18"/>
      <c r="H73" s="18"/>
      <c r="I73" s="18"/>
      <c r="J73" s="18"/>
      <c r="K73" s="18"/>
    </row>
    <row r="74" spans="3:11" ht="15" customHeight="1" x14ac:dyDescent="0.25">
      <c r="C74" s="13" t="s">
        <v>12</v>
      </c>
      <c r="E74" s="18"/>
      <c r="F74" s="18"/>
      <c r="G74" s="18"/>
      <c r="H74" s="18"/>
      <c r="I74" s="18"/>
      <c r="J74" s="18"/>
      <c r="K74" s="18"/>
    </row>
    <row r="75" spans="3:11" ht="15" customHeight="1" x14ac:dyDescent="0.25">
      <c r="C75" s="17" t="s">
        <v>235</v>
      </c>
      <c r="D75" s="10">
        <v>581257</v>
      </c>
      <c r="E75" s="10">
        <v>602596</v>
      </c>
      <c r="F75" s="10">
        <v>595770</v>
      </c>
      <c r="G75" s="19">
        <f>G288*(1-G289)</f>
        <v>568350.44007639738</v>
      </c>
      <c r="H75" s="19">
        <f t="shared" ref="H75:K75" si="53">H288*(1-H289)</f>
        <v>539408.90086425794</v>
      </c>
      <c r="I75" s="19">
        <f t="shared" si="53"/>
        <v>508696.61094114248</v>
      </c>
      <c r="J75" s="19">
        <f t="shared" si="53"/>
        <v>476245.54388312978</v>
      </c>
      <c r="K75" s="19">
        <f t="shared" si="53"/>
        <v>442127.85563104105</v>
      </c>
    </row>
    <row r="76" spans="3:11" ht="15" customHeight="1" x14ac:dyDescent="0.25">
      <c r="C76" s="17" t="s">
        <v>241</v>
      </c>
      <c r="D76" s="10">
        <v>178265</v>
      </c>
      <c r="E76" s="10">
        <v>185315</v>
      </c>
      <c r="F76" s="10">
        <v>212936</v>
      </c>
      <c r="G76" s="19">
        <f>G263</f>
        <v>232636.04948445948</v>
      </c>
      <c r="H76" s="19">
        <f t="shared" ref="H76:K76" si="54">H263</f>
        <v>254158.6745300742</v>
      </c>
      <c r="I76" s="19">
        <f t="shared" si="54"/>
        <v>277672.49307248648</v>
      </c>
      <c r="J76" s="19">
        <f t="shared" si="54"/>
        <v>303361.72295377112</v>
      </c>
      <c r="K76" s="19">
        <f t="shared" si="54"/>
        <v>331427.62516795838</v>
      </c>
    </row>
    <row r="77" spans="3:11" ht="15" customHeight="1" x14ac:dyDescent="0.25">
      <c r="C77" s="17" t="s">
        <v>238</v>
      </c>
      <c r="D77" s="10">
        <v>4941</v>
      </c>
      <c r="E77" s="10">
        <v>2207</v>
      </c>
      <c r="F77" s="10">
        <v>6121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</row>
    <row r="78" spans="3:11" ht="15" customHeight="1" x14ac:dyDescent="0.25">
      <c r="C78" s="17" t="s">
        <v>239</v>
      </c>
      <c r="D78" s="10">
        <v>2542</v>
      </c>
      <c r="E78" s="10">
        <v>2151</v>
      </c>
      <c r="F78" s="10">
        <v>1760</v>
      </c>
      <c r="G78" s="19">
        <f>F78</f>
        <v>1760</v>
      </c>
      <c r="H78" s="19">
        <f t="shared" ref="H78:K78" si="55">G78</f>
        <v>1760</v>
      </c>
      <c r="I78" s="19">
        <f t="shared" si="55"/>
        <v>1760</v>
      </c>
      <c r="J78" s="19">
        <f t="shared" si="55"/>
        <v>1760</v>
      </c>
      <c r="K78" s="19">
        <f t="shared" si="55"/>
        <v>1760</v>
      </c>
    </row>
    <row r="79" spans="3:11" ht="15" customHeight="1" x14ac:dyDescent="0.25">
      <c r="C79" s="11" t="s">
        <v>13</v>
      </c>
      <c r="D79" s="12">
        <f>SUM(D75:D78)</f>
        <v>767005</v>
      </c>
      <c r="E79" s="12">
        <f t="shared" ref="E79:G79" si="56">SUM(E75:E78)</f>
        <v>792269</v>
      </c>
      <c r="F79" s="12">
        <f t="shared" si="56"/>
        <v>816587</v>
      </c>
      <c r="G79" s="12">
        <f t="shared" si="56"/>
        <v>802746.48956085683</v>
      </c>
      <c r="H79" s="12">
        <f t="shared" ref="H79:K79" si="57">SUM(H75:H78)</f>
        <v>795327.57539433218</v>
      </c>
      <c r="I79" s="12">
        <f t="shared" si="57"/>
        <v>788129.10401362902</v>
      </c>
      <c r="J79" s="12">
        <f t="shared" si="57"/>
        <v>781367.26683690096</v>
      </c>
      <c r="K79" s="12">
        <f t="shared" si="57"/>
        <v>775315.48079899943</v>
      </c>
    </row>
    <row r="80" spans="3:11" ht="15" customHeight="1" x14ac:dyDescent="0.25">
      <c r="E80" s="18"/>
      <c r="F80" s="18"/>
      <c r="G80" s="18"/>
      <c r="H80" s="18"/>
      <c r="I80" s="18"/>
      <c r="J80" s="18"/>
      <c r="K80" s="18"/>
    </row>
    <row r="81" spans="3:11" ht="15" customHeight="1" x14ac:dyDescent="0.25">
      <c r="C81" s="13" t="s">
        <v>14</v>
      </c>
      <c r="D81" s="25">
        <f>D72+D79</f>
        <v>2338916</v>
      </c>
      <c r="E81" s="25">
        <f t="shared" ref="E81:G81" si="58">E72+E79</f>
        <v>2527842</v>
      </c>
      <c r="F81" s="25">
        <f t="shared" si="58"/>
        <v>2653967</v>
      </c>
      <c r="G81" s="25">
        <f t="shared" si="58"/>
        <v>2661260.7444613627</v>
      </c>
      <c r="H81" s="25">
        <f t="shared" ref="H81:K81" si="59">H72+H79</f>
        <v>2741300.716370631</v>
      </c>
      <c r="I81" s="25">
        <f t="shared" si="59"/>
        <v>2836594.1176875038</v>
      </c>
      <c r="J81" s="25">
        <f t="shared" si="59"/>
        <v>2929901.993145505</v>
      </c>
      <c r="K81" s="25">
        <f t="shared" si="59"/>
        <v>3019016.2873112224</v>
      </c>
    </row>
    <row r="82" spans="3:11" ht="15" customHeight="1" x14ac:dyDescent="0.25">
      <c r="E82" s="18"/>
      <c r="F82" s="18"/>
      <c r="G82" s="18"/>
      <c r="H82" s="18"/>
      <c r="I82" s="18"/>
      <c r="J82" s="18"/>
      <c r="K82" s="18"/>
    </row>
    <row r="83" spans="3:11" ht="15" customHeight="1" x14ac:dyDescent="0.25">
      <c r="C83" s="13" t="s">
        <v>15</v>
      </c>
      <c r="E83" s="18"/>
      <c r="F83" s="18"/>
      <c r="G83" s="18"/>
      <c r="H83" s="18"/>
      <c r="I83" s="18"/>
      <c r="J83" s="18"/>
      <c r="K83" s="18"/>
    </row>
    <row r="84" spans="3:11" ht="15" customHeight="1" x14ac:dyDescent="0.25">
      <c r="C84" s="17" t="s">
        <v>214</v>
      </c>
      <c r="D84" s="10">
        <v>1200000</v>
      </c>
      <c r="E84" s="10">
        <v>1200000</v>
      </c>
      <c r="F84" s="10">
        <v>1200000</v>
      </c>
      <c r="G84" s="19">
        <f>F84</f>
        <v>1200000</v>
      </c>
      <c r="H84" s="19">
        <f t="shared" ref="H84:K84" si="60">G84</f>
        <v>1200000</v>
      </c>
      <c r="I84" s="19">
        <f t="shared" si="60"/>
        <v>1200000</v>
      </c>
      <c r="J84" s="19">
        <f t="shared" si="60"/>
        <v>1200000</v>
      </c>
      <c r="K84" s="19">
        <f t="shared" si="60"/>
        <v>1200000</v>
      </c>
    </row>
    <row r="85" spans="3:11" ht="15" customHeight="1" x14ac:dyDescent="0.25">
      <c r="C85" s="17" t="s">
        <v>215</v>
      </c>
      <c r="D85" s="10">
        <v>0</v>
      </c>
      <c r="E85" s="10">
        <v>0</v>
      </c>
      <c r="F85" s="10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</row>
    <row r="86" spans="3:11" ht="15" customHeight="1" x14ac:dyDescent="0.25">
      <c r="C86" s="17" t="s">
        <v>242</v>
      </c>
      <c r="D86" s="10">
        <v>-105937</v>
      </c>
      <c r="E86" s="10">
        <v>-112618</v>
      </c>
      <c r="F86" s="10">
        <v>-111234</v>
      </c>
      <c r="G86" s="19">
        <f>F86</f>
        <v>-111234</v>
      </c>
      <c r="H86" s="19">
        <f t="shared" ref="H86:K86" si="61">G86</f>
        <v>-111234</v>
      </c>
      <c r="I86" s="19">
        <f t="shared" si="61"/>
        <v>-111234</v>
      </c>
      <c r="J86" s="19">
        <f t="shared" si="61"/>
        <v>-111234</v>
      </c>
      <c r="K86" s="19">
        <f t="shared" si="61"/>
        <v>-111234</v>
      </c>
    </row>
    <row r="87" spans="3:11" ht="15" customHeight="1" x14ac:dyDescent="0.25">
      <c r="C87" s="17" t="s">
        <v>216</v>
      </c>
      <c r="D87" s="10">
        <v>677497</v>
      </c>
      <c r="E87" s="10">
        <v>657470</v>
      </c>
      <c r="F87" s="10">
        <v>673295</v>
      </c>
      <c r="G87" s="19">
        <f>G241</f>
        <v>691491.87561155274</v>
      </c>
      <c r="H87" s="19">
        <f t="shared" ref="H87:K87" si="62">H241</f>
        <v>710802.3239180455</v>
      </c>
      <c r="I87" s="19">
        <f t="shared" si="62"/>
        <v>731338.30708959186</v>
      </c>
      <c r="J87" s="19">
        <f t="shared" si="62"/>
        <v>753123.47986557614</v>
      </c>
      <c r="K87" s="19">
        <f t="shared" si="62"/>
        <v>776110.82480122079</v>
      </c>
    </row>
    <row r="88" spans="3:11" ht="15" customHeight="1" x14ac:dyDescent="0.25">
      <c r="C88" s="26" t="s">
        <v>16</v>
      </c>
      <c r="D88" s="12">
        <f>SUM(D84:D87)</f>
        <v>1771560</v>
      </c>
      <c r="E88" s="12">
        <f t="shared" ref="E88:G88" si="63">SUM(E84:E87)</f>
        <v>1744852</v>
      </c>
      <c r="F88" s="12">
        <f t="shared" si="63"/>
        <v>1762061</v>
      </c>
      <c r="G88" s="12">
        <f t="shared" si="63"/>
        <v>1780257.8756115527</v>
      </c>
      <c r="H88" s="12">
        <f t="shared" ref="H88:K88" si="64">SUM(H84:H87)</f>
        <v>1799568.3239180455</v>
      </c>
      <c r="I88" s="12">
        <f t="shared" si="64"/>
        <v>1820104.3070895919</v>
      </c>
      <c r="J88" s="12">
        <f t="shared" si="64"/>
        <v>1841889.4798655761</v>
      </c>
      <c r="K88" s="12">
        <f t="shared" si="64"/>
        <v>1864876.8248012208</v>
      </c>
    </row>
    <row r="89" spans="3:11" ht="15" customHeight="1" x14ac:dyDescent="0.25">
      <c r="E89" s="19"/>
      <c r="F89" s="19"/>
      <c r="G89" s="19"/>
      <c r="H89" s="19"/>
      <c r="I89" s="19"/>
      <c r="J89" s="19"/>
      <c r="K89" s="19"/>
    </row>
    <row r="90" spans="3:11" ht="15" customHeight="1" x14ac:dyDescent="0.25">
      <c r="C90" s="13" t="s">
        <v>17</v>
      </c>
      <c r="D90" s="14">
        <f t="shared" ref="D90:G90" si="65">D81+D88</f>
        <v>4110476</v>
      </c>
      <c r="E90" s="14">
        <f t="shared" si="65"/>
        <v>4272694</v>
      </c>
      <c r="F90" s="14">
        <f t="shared" si="65"/>
        <v>4416028</v>
      </c>
      <c r="G90" s="14">
        <f t="shared" si="65"/>
        <v>4441518.6200729152</v>
      </c>
      <c r="H90" s="14">
        <f t="shared" ref="H90:K90" si="66">H81+H88</f>
        <v>4540869.0402886765</v>
      </c>
      <c r="I90" s="14">
        <f t="shared" si="66"/>
        <v>4656698.4247770961</v>
      </c>
      <c r="J90" s="14">
        <f t="shared" si="66"/>
        <v>4771791.4730110811</v>
      </c>
      <c r="K90" s="14">
        <f t="shared" si="66"/>
        <v>4883893.112112443</v>
      </c>
    </row>
    <row r="91" spans="3:11" ht="15" customHeight="1" x14ac:dyDescent="0.25">
      <c r="E91" s="18"/>
      <c r="F91" s="18"/>
      <c r="G91" s="18"/>
      <c r="H91" s="18"/>
      <c r="I91" s="18"/>
      <c r="J91" s="18"/>
      <c r="K91" s="18"/>
    </row>
    <row r="92" spans="3:11" ht="15" customHeight="1" x14ac:dyDescent="0.25">
      <c r="C92" s="6" t="s">
        <v>18</v>
      </c>
      <c r="D92" s="18">
        <f t="shared" ref="D92:K92" si="67">D60-D90</f>
        <v>0</v>
      </c>
      <c r="E92" s="18">
        <f t="shared" si="67"/>
        <v>0</v>
      </c>
      <c r="F92" s="18">
        <f t="shared" si="67"/>
        <v>0</v>
      </c>
      <c r="G92" s="18">
        <f t="shared" si="67"/>
        <v>0</v>
      </c>
      <c r="H92" s="18">
        <f t="shared" si="67"/>
        <v>0</v>
      </c>
      <c r="I92" s="18">
        <f t="shared" si="67"/>
        <v>0</v>
      </c>
      <c r="J92" s="18">
        <f t="shared" si="67"/>
        <v>0</v>
      </c>
      <c r="K92" s="18">
        <f t="shared" si="67"/>
        <v>0</v>
      </c>
    </row>
    <row r="93" spans="3:11" ht="15" customHeight="1" x14ac:dyDescent="0.25"/>
    <row r="94" spans="3:11" customFormat="1" x14ac:dyDescent="0.25">
      <c r="C94" s="39" t="s">
        <v>45</v>
      </c>
      <c r="D94" s="256"/>
      <c r="E94" s="46"/>
      <c r="F94" s="46"/>
      <c r="G94" s="46"/>
      <c r="H94" s="46"/>
      <c r="I94" s="46"/>
      <c r="J94" s="46"/>
      <c r="K94" s="46"/>
    </row>
    <row r="95" spans="3:11" customFormat="1" x14ac:dyDescent="0.25">
      <c r="C95" t="s">
        <v>42</v>
      </c>
      <c r="D95" s="41"/>
      <c r="E95" s="41"/>
      <c r="F95" s="42"/>
      <c r="G95" s="42">
        <f t="shared" ref="G95:K95" si="68">G$13</f>
        <v>2026</v>
      </c>
      <c r="H95" s="42">
        <f t="shared" si="68"/>
        <v>2027</v>
      </c>
      <c r="I95" s="42">
        <f t="shared" si="68"/>
        <v>2028</v>
      </c>
      <c r="J95" s="42">
        <f t="shared" si="68"/>
        <v>2029</v>
      </c>
      <c r="K95" s="42">
        <f t="shared" si="68"/>
        <v>2030</v>
      </c>
    </row>
    <row r="96" spans="3:11" customFormat="1" x14ac:dyDescent="0.25">
      <c r="C96" s="43" t="s">
        <v>43</v>
      </c>
      <c r="D96" s="258"/>
      <c r="E96" s="44"/>
      <c r="F96" s="234"/>
      <c r="G96" s="234">
        <f t="shared" ref="G96:K96" si="69">G$14</f>
        <v>46387</v>
      </c>
      <c r="H96" s="234">
        <f t="shared" si="69"/>
        <v>46752</v>
      </c>
      <c r="I96" s="234">
        <f t="shared" si="69"/>
        <v>47118</v>
      </c>
      <c r="J96" s="234">
        <f t="shared" si="69"/>
        <v>47483</v>
      </c>
      <c r="K96" s="234">
        <f t="shared" si="69"/>
        <v>47848</v>
      </c>
    </row>
    <row r="97" spans="3:11" ht="15" customHeight="1" x14ac:dyDescent="0.25"/>
    <row r="98" spans="3:11" s="13" customFormat="1" ht="15" customHeight="1" x14ac:dyDescent="0.25">
      <c r="C98" s="17" t="s">
        <v>210</v>
      </c>
      <c r="D98" s="202"/>
      <c r="E98" s="202"/>
      <c r="F98" s="204"/>
      <c r="G98" s="202">
        <f>G28</f>
        <v>1110517.4683943796</v>
      </c>
      <c r="H98" s="202">
        <f t="shared" ref="H98:K98" si="70">H28</f>
        <v>1178476.4936939115</v>
      </c>
      <c r="I98" s="202">
        <f t="shared" si="70"/>
        <v>1253268.3373499955</v>
      </c>
      <c r="J98" s="202">
        <f t="shared" si="70"/>
        <v>1329503.7805479588</v>
      </c>
      <c r="K98" s="202">
        <f t="shared" si="70"/>
        <v>1402869.8468891943</v>
      </c>
    </row>
    <row r="99" spans="3:11" ht="15" customHeight="1" x14ac:dyDescent="0.25">
      <c r="C99" s="17" t="s">
        <v>261</v>
      </c>
      <c r="D99" s="204"/>
      <c r="E99" s="203"/>
      <c r="F99" s="203"/>
      <c r="G99" s="203">
        <f>G143</f>
        <v>203241.74900250271</v>
      </c>
      <c r="H99" s="203">
        <f t="shared" ref="H99:K99" si="71">H143</f>
        <v>214523.10192755578</v>
      </c>
      <c r="I99" s="203">
        <f t="shared" si="71"/>
        <v>227648.42095342465</v>
      </c>
      <c r="J99" s="203">
        <f t="shared" si="71"/>
        <v>240536.74253869831</v>
      </c>
      <c r="K99" s="203">
        <f t="shared" si="71"/>
        <v>252890.22331491893</v>
      </c>
    </row>
    <row r="100" spans="3:11" ht="15" customHeight="1" x14ac:dyDescent="0.25">
      <c r="C100" s="17" t="s">
        <v>217</v>
      </c>
      <c r="D100" s="204"/>
      <c r="E100" s="203"/>
      <c r="F100" s="203"/>
      <c r="G100" s="203">
        <f>G261</f>
        <v>35896.664375630826</v>
      </c>
      <c r="H100" s="203">
        <f t="shared" ref="H100:K100" si="72">H261</f>
        <v>39217.690714657387</v>
      </c>
      <c r="I100" s="203">
        <f t="shared" si="72"/>
        <v>42845.966101369726</v>
      </c>
      <c r="J100" s="203">
        <f t="shared" si="72"/>
        <v>46809.91607885807</v>
      </c>
      <c r="K100" s="203">
        <f t="shared" si="72"/>
        <v>51140.596016101663</v>
      </c>
    </row>
    <row r="101" spans="3:11" ht="15" customHeight="1" x14ac:dyDescent="0.25">
      <c r="C101" s="17" t="s">
        <v>263</v>
      </c>
      <c r="D101" s="204"/>
      <c r="E101" s="203"/>
      <c r="F101" s="203"/>
      <c r="G101" s="203">
        <f>-G262</f>
        <v>-16196.614891171332</v>
      </c>
      <c r="H101" s="203">
        <f t="shared" ref="H101:K101" si="73">-H262</f>
        <v>-17695.065669042659</v>
      </c>
      <c r="I101" s="203">
        <f t="shared" si="73"/>
        <v>-19332.147558957469</v>
      </c>
      <c r="J101" s="203">
        <f t="shared" si="73"/>
        <v>-21120.686197573465</v>
      </c>
      <c r="K101" s="203">
        <f t="shared" si="73"/>
        <v>-23074.693801914385</v>
      </c>
    </row>
    <row r="102" spans="3:11" ht="15" customHeight="1" x14ac:dyDescent="0.25">
      <c r="C102" s="17" t="s">
        <v>273</v>
      </c>
      <c r="D102" s="204"/>
      <c r="E102" s="203"/>
      <c r="F102" s="203"/>
      <c r="G102" s="203">
        <f>G77-F77</f>
        <v>-6121</v>
      </c>
      <c r="H102" s="203">
        <f t="shared" ref="H102:K102" si="74">H77-G77</f>
        <v>0</v>
      </c>
      <c r="I102" s="203">
        <f t="shared" si="74"/>
        <v>0</v>
      </c>
      <c r="J102" s="203">
        <f t="shared" si="74"/>
        <v>0</v>
      </c>
      <c r="K102" s="203">
        <f t="shared" si="74"/>
        <v>0</v>
      </c>
    </row>
    <row r="103" spans="3:11" ht="15" customHeight="1" x14ac:dyDescent="0.25">
      <c r="C103" s="17" t="s">
        <v>267</v>
      </c>
      <c r="D103" s="204"/>
      <c r="E103" s="203"/>
      <c r="F103" s="203"/>
      <c r="G103" s="203">
        <f>G285</f>
        <v>50937.005267782057</v>
      </c>
      <c r="H103" s="203">
        <f t="shared" ref="H103:K103" si="75">H285</f>
        <v>53764.368918170941</v>
      </c>
      <c r="I103" s="203">
        <f t="shared" si="75"/>
        <v>57053.872416557831</v>
      </c>
      <c r="J103" s="203">
        <f t="shared" si="75"/>
        <v>60283.978965551709</v>
      </c>
      <c r="K103" s="203">
        <f t="shared" si="75"/>
        <v>63380.042242226446</v>
      </c>
    </row>
    <row r="104" spans="3:11" s="13" customFormat="1" ht="15" customHeight="1" x14ac:dyDescent="0.25">
      <c r="C104" s="13" t="s">
        <v>172</v>
      </c>
      <c r="D104" s="202"/>
      <c r="E104" s="202"/>
      <c r="F104" s="202"/>
      <c r="G104" s="202">
        <f>SUM(G98:G103)</f>
        <v>1378275.2721491242</v>
      </c>
      <c r="H104" s="202">
        <f t="shared" ref="H104:K104" si="76">SUM(H98:H103)</f>
        <v>1468286.5895852528</v>
      </c>
      <c r="I104" s="202">
        <f t="shared" si="76"/>
        <v>1561484.4492623901</v>
      </c>
      <c r="J104" s="202">
        <f t="shared" si="76"/>
        <v>1656013.7319334932</v>
      </c>
      <c r="K104" s="202">
        <f t="shared" si="76"/>
        <v>1747206.014660527</v>
      </c>
    </row>
    <row r="105" spans="3:11" s="13" customFormat="1" ht="15" customHeight="1" x14ac:dyDescent="0.25">
      <c r="D105" s="202"/>
      <c r="E105" s="206"/>
      <c r="F105" s="206"/>
      <c r="G105" s="207"/>
      <c r="H105" s="207"/>
      <c r="I105" s="207"/>
      <c r="J105" s="207"/>
      <c r="K105" s="207"/>
    </row>
    <row r="106" spans="3:11" ht="15" customHeight="1" x14ac:dyDescent="0.25">
      <c r="C106" s="201" t="s">
        <v>152</v>
      </c>
      <c r="D106" s="203"/>
      <c r="E106" s="203"/>
      <c r="F106" s="203"/>
      <c r="G106" s="203"/>
      <c r="H106" s="203"/>
      <c r="I106" s="203"/>
      <c r="J106" s="203"/>
      <c r="K106" s="203"/>
    </row>
    <row r="107" spans="3:11" ht="15" customHeight="1" x14ac:dyDescent="0.25">
      <c r="C107" s="17" t="s">
        <v>264</v>
      </c>
      <c r="D107" s="203"/>
      <c r="E107" s="203"/>
      <c r="F107" s="203"/>
      <c r="G107" s="203">
        <f>G208</f>
        <v>-219482.09935370437</v>
      </c>
      <c r="H107" s="203">
        <f t="shared" ref="H107:K107" si="77">H208</f>
        <v>-44078.998251546873</v>
      </c>
      <c r="I107" s="203">
        <f t="shared" si="77"/>
        <v>-51283.823689927347</v>
      </c>
      <c r="J107" s="203">
        <f t="shared" si="77"/>
        <v>-50357.816867961548</v>
      </c>
      <c r="K107" s="203">
        <f t="shared" si="77"/>
        <v>-48268.06333895307</v>
      </c>
    </row>
    <row r="108" spans="3:11" ht="15" customHeight="1" x14ac:dyDescent="0.25">
      <c r="C108" s="17" t="s">
        <v>269</v>
      </c>
      <c r="D108" s="203"/>
      <c r="E108" s="203"/>
      <c r="F108" s="203"/>
      <c r="G108" s="203">
        <f>-G287</f>
        <v>-48369.876340772324</v>
      </c>
      <c r="H108" s="203">
        <f t="shared" ref="H108:K108" si="78">-H287</f>
        <v>-51054.746199546797</v>
      </c>
      <c r="I108" s="203">
        <f t="shared" si="78"/>
        <v>-54178.464930222784</v>
      </c>
      <c r="J108" s="203">
        <f t="shared" si="78"/>
        <v>-57245.780205649375</v>
      </c>
      <c r="K108" s="203">
        <f t="shared" si="78"/>
        <v>-60185.807736688483</v>
      </c>
    </row>
    <row r="109" spans="3:11" s="13" customFormat="1" ht="15" customHeight="1" x14ac:dyDescent="0.25">
      <c r="C109" s="13" t="s">
        <v>19</v>
      </c>
      <c r="D109" s="206"/>
      <c r="E109" s="206"/>
      <c r="F109" s="206"/>
      <c r="G109" s="206">
        <f>SUM(G107:G108)</f>
        <v>-267851.97569447669</v>
      </c>
      <c r="H109" s="206">
        <f t="shared" ref="H109:K109" si="79">SUM(H107:H108)</f>
        <v>-95133.744451093662</v>
      </c>
      <c r="I109" s="206">
        <f t="shared" si="79"/>
        <v>-105462.28862015012</v>
      </c>
      <c r="J109" s="206">
        <f t="shared" si="79"/>
        <v>-107603.59707361093</v>
      </c>
      <c r="K109" s="206">
        <f t="shared" si="79"/>
        <v>-108453.87107564155</v>
      </c>
    </row>
    <row r="110" spans="3:11" s="13" customFormat="1" ht="15" customHeight="1" x14ac:dyDescent="0.25">
      <c r="C110" s="13" t="s">
        <v>175</v>
      </c>
      <c r="D110" s="202"/>
      <c r="E110" s="202"/>
      <c r="F110" s="202"/>
      <c r="G110" s="202">
        <f>G104+G109</f>
        <v>1110423.2964546476</v>
      </c>
      <c r="H110" s="202">
        <f t="shared" ref="H110:K110" si="80">H104+H109</f>
        <v>1373152.8451341591</v>
      </c>
      <c r="I110" s="202">
        <f t="shared" si="80"/>
        <v>1456022.16064224</v>
      </c>
      <c r="J110" s="202">
        <f t="shared" si="80"/>
        <v>1548410.1348598823</v>
      </c>
      <c r="K110" s="202">
        <f t="shared" si="80"/>
        <v>1638752.1435848854</v>
      </c>
    </row>
    <row r="111" spans="3:11" ht="15" customHeight="1" x14ac:dyDescent="0.25">
      <c r="D111" s="204"/>
      <c r="E111" s="205"/>
      <c r="F111" s="205"/>
      <c r="G111" s="205"/>
      <c r="H111" s="205"/>
      <c r="I111" s="205"/>
      <c r="J111" s="205"/>
      <c r="K111" s="205"/>
    </row>
    <row r="112" spans="3:11" customFormat="1" x14ac:dyDescent="0.25">
      <c r="C112" s="225" t="s">
        <v>20</v>
      </c>
      <c r="D112" s="259"/>
      <c r="E112" s="226"/>
      <c r="F112" s="226"/>
      <c r="G112" s="226"/>
      <c r="H112" s="226"/>
      <c r="I112" s="226"/>
      <c r="J112" s="226"/>
      <c r="K112" s="226"/>
    </row>
    <row r="113" spans="3:11" ht="14.25" customHeight="1" x14ac:dyDescent="0.25">
      <c r="C113" s="17" t="s">
        <v>203</v>
      </c>
      <c r="D113" s="204"/>
      <c r="E113" s="203"/>
      <c r="F113" s="203"/>
      <c r="G113" s="203">
        <f>-G132</f>
        <v>-69514.115438744935</v>
      </c>
      <c r="H113" s="203">
        <f t="shared" ref="H113:K113" si="81">-H132</f>
        <v>-73372.639946560026</v>
      </c>
      <c r="I113" s="203">
        <f t="shared" si="81"/>
        <v>-77861.850192056241</v>
      </c>
      <c r="J113" s="203">
        <f t="shared" si="81"/>
        <v>-82270.000972530732</v>
      </c>
      <c r="K113" s="203">
        <f t="shared" si="81"/>
        <v>-86495.221887835592</v>
      </c>
    </row>
    <row r="114" spans="3:11" ht="15" customHeight="1" x14ac:dyDescent="0.25">
      <c r="C114" s="13" t="s">
        <v>174</v>
      </c>
      <c r="D114" s="204"/>
      <c r="E114" s="206"/>
      <c r="F114" s="206"/>
      <c r="G114" s="206">
        <f>SUM(G113:G113)</f>
        <v>-69514.115438744935</v>
      </c>
      <c r="H114" s="206">
        <f t="shared" ref="H114:K114" si="82">SUM(H113:H113)</f>
        <v>-73372.639946560026</v>
      </c>
      <c r="I114" s="206">
        <f t="shared" si="82"/>
        <v>-77861.850192056241</v>
      </c>
      <c r="J114" s="206">
        <f t="shared" si="82"/>
        <v>-82270.000972530732</v>
      </c>
      <c r="K114" s="206">
        <f t="shared" si="82"/>
        <v>-86495.221887835592</v>
      </c>
    </row>
    <row r="115" spans="3:11" ht="15" customHeight="1" x14ac:dyDescent="0.25">
      <c r="D115" s="204"/>
      <c r="E115" s="208"/>
      <c r="F115" s="208"/>
      <c r="G115" s="205"/>
      <c r="H115" s="205"/>
      <c r="I115" s="205"/>
      <c r="J115" s="205"/>
      <c r="K115" s="205"/>
    </row>
    <row r="116" spans="3:11" s="35" customFormat="1" ht="15" customHeight="1" x14ac:dyDescent="0.25">
      <c r="C116" s="45" t="s">
        <v>21</v>
      </c>
      <c r="D116" s="260"/>
      <c r="E116" s="209"/>
      <c r="F116" s="209"/>
      <c r="G116" s="209"/>
      <c r="H116" s="209"/>
      <c r="I116" s="209"/>
      <c r="J116" s="209"/>
      <c r="K116" s="209"/>
    </row>
    <row r="117" spans="3:11" ht="15" customHeight="1" x14ac:dyDescent="0.25">
      <c r="C117" s="17" t="s">
        <v>204</v>
      </c>
      <c r="D117" s="204"/>
      <c r="E117" s="203"/>
      <c r="F117" s="203"/>
      <c r="G117" s="203">
        <f>-G286</f>
        <v>-121791.02902443355</v>
      </c>
      <c r="H117" s="203">
        <f t="shared" ref="H117:K117" si="83">-H286</f>
        <v>-128551.29156042017</v>
      </c>
      <c r="I117" s="203">
        <f t="shared" si="83"/>
        <v>-136416.53636509296</v>
      </c>
      <c r="J117" s="203">
        <f t="shared" si="83"/>
        <v>-144139.76230647654</v>
      </c>
      <c r="K117" s="203">
        <f t="shared" si="83"/>
        <v>-151542.48907473977</v>
      </c>
    </row>
    <row r="118" spans="3:11" ht="15" customHeight="1" x14ac:dyDescent="0.25">
      <c r="C118" s="17" t="s">
        <v>205</v>
      </c>
      <c r="D118" s="204"/>
      <c r="E118" s="203"/>
      <c r="F118" s="203"/>
      <c r="G118" s="203">
        <f>-G240</f>
        <v>-1092320.5927828269</v>
      </c>
      <c r="H118" s="203">
        <f t="shared" ref="H118:K118" si="84">-H240</f>
        <v>-1159166.0453874187</v>
      </c>
      <c r="I118" s="203">
        <f t="shared" si="84"/>
        <v>-1232732.3541784491</v>
      </c>
      <c r="J118" s="203">
        <f t="shared" si="84"/>
        <v>-1307718.6077719745</v>
      </c>
      <c r="K118" s="203">
        <f t="shared" si="84"/>
        <v>-1379882.5019535495</v>
      </c>
    </row>
    <row r="119" spans="3:11" ht="15" customHeight="1" x14ac:dyDescent="0.25">
      <c r="C119" s="13" t="s">
        <v>173</v>
      </c>
      <c r="D119" s="202"/>
      <c r="E119" s="206"/>
      <c r="F119" s="206"/>
      <c r="G119" s="206">
        <f>SUM(G117:G118)</f>
        <v>-1214111.6218072604</v>
      </c>
      <c r="H119" s="206">
        <f t="shared" ref="H119:K119" si="85">SUM(H117:H118)</f>
        <v>-1287717.3369478388</v>
      </c>
      <c r="I119" s="206">
        <f t="shared" si="85"/>
        <v>-1369148.8905435421</v>
      </c>
      <c r="J119" s="206">
        <f t="shared" si="85"/>
        <v>-1451858.370078451</v>
      </c>
      <c r="K119" s="206">
        <f t="shared" si="85"/>
        <v>-1531424.9910282893</v>
      </c>
    </row>
    <row r="120" spans="3:11" ht="15" customHeight="1" x14ac:dyDescent="0.25">
      <c r="C120" s="13"/>
      <c r="D120" s="202"/>
      <c r="E120" s="206"/>
      <c r="F120" s="206"/>
      <c r="G120" s="206"/>
      <c r="H120" s="206"/>
      <c r="I120" s="206"/>
      <c r="J120" s="206"/>
      <c r="K120" s="206"/>
    </row>
    <row r="121" spans="3:11" ht="15" customHeight="1" x14ac:dyDescent="0.25">
      <c r="C121" s="13" t="s">
        <v>153</v>
      </c>
      <c r="D121" s="202"/>
      <c r="E121" s="206"/>
      <c r="F121" s="206"/>
      <c r="G121" s="206">
        <f>G110+G114+G119</f>
        <v>-173202.44079135777</v>
      </c>
      <c r="H121" s="206">
        <f t="shared" ref="H121:K121" si="86">H110+H114+H119</f>
        <v>12062.868239760399</v>
      </c>
      <c r="I121" s="206">
        <f t="shared" si="86"/>
        <v>9011.4199066415895</v>
      </c>
      <c r="J121" s="206">
        <f t="shared" si="86"/>
        <v>14281.76380890049</v>
      </c>
      <c r="K121" s="206">
        <f t="shared" si="86"/>
        <v>20831.930668760557</v>
      </c>
    </row>
    <row r="122" spans="3:11" ht="15" customHeight="1" x14ac:dyDescent="0.25">
      <c r="C122" s="6" t="s">
        <v>154</v>
      </c>
      <c r="D122" s="202"/>
      <c r="E122" s="206"/>
      <c r="F122" s="206"/>
      <c r="G122" s="206">
        <f>F47</f>
        <v>270963</v>
      </c>
      <c r="H122" s="206">
        <f t="shared" ref="H122:K122" si="87">G47</f>
        <v>97760.559208642226</v>
      </c>
      <c r="I122" s="206">
        <f t="shared" si="87"/>
        <v>109823.42744840262</v>
      </c>
      <c r="J122" s="206">
        <f t="shared" si="87"/>
        <v>118834.84735504421</v>
      </c>
      <c r="K122" s="206">
        <f t="shared" si="87"/>
        <v>133116.6111639447</v>
      </c>
    </row>
    <row r="123" spans="3:11" ht="15" customHeight="1" x14ac:dyDescent="0.25">
      <c r="C123" s="13" t="s">
        <v>155</v>
      </c>
      <c r="D123" s="204"/>
      <c r="E123" s="206"/>
      <c r="F123" s="206"/>
      <c r="G123" s="206">
        <f>G121+G122</f>
        <v>97760.559208642226</v>
      </c>
      <c r="H123" s="206">
        <f t="shared" ref="H123:K123" si="88">H121+H122</f>
        <v>109823.42744840262</v>
      </c>
      <c r="I123" s="206">
        <f t="shared" si="88"/>
        <v>118834.84735504421</v>
      </c>
      <c r="J123" s="206">
        <f t="shared" si="88"/>
        <v>133116.6111639447</v>
      </c>
      <c r="K123" s="206">
        <f t="shared" si="88"/>
        <v>153948.54183270526</v>
      </c>
    </row>
    <row r="124" spans="3:11" ht="15" customHeight="1" x14ac:dyDescent="0.25">
      <c r="C124" s="13"/>
      <c r="D124" s="204"/>
      <c r="E124" s="207"/>
      <c r="F124" s="206"/>
      <c r="G124" s="207"/>
      <c r="H124" s="207"/>
      <c r="I124" s="207"/>
      <c r="J124" s="207"/>
      <c r="K124" s="207"/>
    </row>
    <row r="125" spans="3:11" ht="15" customHeight="1" x14ac:dyDescent="0.25">
      <c r="C125" s="13" t="s">
        <v>22</v>
      </c>
      <c r="D125" s="239"/>
      <c r="E125" s="239"/>
      <c r="F125" s="203"/>
      <c r="G125" s="203">
        <f>G123-G47</f>
        <v>0</v>
      </c>
      <c r="H125" s="203">
        <f t="shared" ref="H125:K125" si="89">H123-H47</f>
        <v>0</v>
      </c>
      <c r="I125" s="203">
        <f t="shared" si="89"/>
        <v>0</v>
      </c>
      <c r="J125" s="203">
        <f t="shared" si="89"/>
        <v>0</v>
      </c>
      <c r="K125" s="203">
        <f t="shared" si="89"/>
        <v>0</v>
      </c>
    </row>
    <row r="126" spans="3:11" ht="15" customHeight="1" x14ac:dyDescent="0.25"/>
    <row r="127" spans="3:11" customFormat="1" x14ac:dyDescent="0.25">
      <c r="C127" s="39" t="s">
        <v>31</v>
      </c>
      <c r="D127" s="254"/>
      <c r="E127" s="40"/>
      <c r="F127" s="40"/>
      <c r="G127" s="40"/>
      <c r="H127" s="40"/>
      <c r="I127" s="40"/>
      <c r="J127" s="40"/>
      <c r="K127" s="40"/>
    </row>
    <row r="128" spans="3:11" customFormat="1" x14ac:dyDescent="0.25">
      <c r="C128" t="s">
        <v>42</v>
      </c>
      <c r="D128" s="41">
        <f t="shared" ref="D128:K128" si="90">D$13</f>
        <v>2023</v>
      </c>
      <c r="E128" s="41">
        <f t="shared" si="90"/>
        <v>2024</v>
      </c>
      <c r="F128" s="41">
        <f t="shared" si="90"/>
        <v>2025</v>
      </c>
      <c r="G128" s="42">
        <f t="shared" si="90"/>
        <v>2026</v>
      </c>
      <c r="H128" s="42">
        <f t="shared" si="90"/>
        <v>2027</v>
      </c>
      <c r="I128" s="42">
        <f t="shared" si="90"/>
        <v>2028</v>
      </c>
      <c r="J128" s="42">
        <f t="shared" si="90"/>
        <v>2029</v>
      </c>
      <c r="K128" s="42">
        <f t="shared" si="90"/>
        <v>2030</v>
      </c>
    </row>
    <row r="129" spans="1:11" customFormat="1" x14ac:dyDescent="0.25">
      <c r="C129" s="43" t="s">
        <v>43</v>
      </c>
      <c r="D129" s="255">
        <f t="shared" ref="D129:K129" si="91">D$14</f>
        <v>45291</v>
      </c>
      <c r="E129" s="234">
        <f t="shared" si="91"/>
        <v>45657</v>
      </c>
      <c r="F129" s="234">
        <f t="shared" si="91"/>
        <v>46022</v>
      </c>
      <c r="G129" s="234">
        <f t="shared" si="91"/>
        <v>46387</v>
      </c>
      <c r="H129" s="234">
        <f t="shared" si="91"/>
        <v>46752</v>
      </c>
      <c r="I129" s="234">
        <f t="shared" si="91"/>
        <v>47118</v>
      </c>
      <c r="J129" s="234">
        <f t="shared" si="91"/>
        <v>47483</v>
      </c>
      <c r="K129" s="234">
        <f t="shared" si="91"/>
        <v>47848</v>
      </c>
    </row>
    <row r="130" spans="1:11" ht="15" customHeight="1" x14ac:dyDescent="0.25"/>
    <row r="131" spans="1:11" ht="15" customHeight="1" x14ac:dyDescent="0.25">
      <c r="C131" s="17" t="s">
        <v>32</v>
      </c>
      <c r="D131" s="189"/>
      <c r="E131" s="190">
        <f>D134</f>
        <v>994767</v>
      </c>
      <c r="F131" s="190">
        <f t="shared" ref="F131:G131" si="92">E134</f>
        <v>995048</v>
      </c>
      <c r="G131" s="190">
        <f t="shared" si="92"/>
        <v>997080</v>
      </c>
      <c r="H131" s="190">
        <f t="shared" ref="H131:K131" si="93">G134</f>
        <v>1003050.2658607691</v>
      </c>
      <c r="I131" s="190">
        <f t="shared" si="93"/>
        <v>1009351.9236553425</v>
      </c>
      <c r="J131" s="190">
        <f t="shared" si="93"/>
        <v>1016039.1402461596</v>
      </c>
      <c r="K131" s="190">
        <f t="shared" si="93"/>
        <v>1023104.9537873614</v>
      </c>
    </row>
    <row r="132" spans="1:11" ht="15" customHeight="1" x14ac:dyDescent="0.25">
      <c r="C132" s="29" t="s">
        <v>33</v>
      </c>
      <c r="D132" s="239">
        <v>43286</v>
      </c>
      <c r="E132" s="239">
        <v>62718</v>
      </c>
      <c r="F132" s="239">
        <v>83755</v>
      </c>
      <c r="G132" s="188">
        <f>G136*G16</f>
        <v>69514.115438744935</v>
      </c>
      <c r="H132" s="188">
        <f>H136*H16</f>
        <v>73372.639946560026</v>
      </c>
      <c r="I132" s="188">
        <f>I136*I16</f>
        <v>77861.850192056241</v>
      </c>
      <c r="J132" s="188">
        <f>J136*J16</f>
        <v>82270.000972530732</v>
      </c>
      <c r="K132" s="188">
        <f>K136*K16</f>
        <v>86495.221887835592</v>
      </c>
    </row>
    <row r="133" spans="1:11" ht="15" customHeight="1" x14ac:dyDescent="0.25">
      <c r="C133" s="29" t="s">
        <v>34</v>
      </c>
      <c r="D133" s="239">
        <v>60398</v>
      </c>
      <c r="E133" s="239">
        <v>55867</v>
      </c>
      <c r="F133" s="270">
        <v>55785</v>
      </c>
      <c r="G133" s="188">
        <f>G137*G16</f>
        <v>63543.84957797586</v>
      </c>
      <c r="H133" s="188">
        <f>H137*H16</f>
        <v>67070.982151986536</v>
      </c>
      <c r="I133" s="188">
        <f>I137*I16</f>
        <v>71174.633601239155</v>
      </c>
      <c r="J133" s="188">
        <f>J137*J16</f>
        <v>75204.187431329075</v>
      </c>
      <c r="K133" s="188">
        <f>K137*K16</f>
        <v>79066.522448918957</v>
      </c>
    </row>
    <row r="134" spans="1:11" ht="15" customHeight="1" x14ac:dyDescent="0.25">
      <c r="C134" s="16" t="s">
        <v>35</v>
      </c>
      <c r="D134" s="236">
        <f>D57</f>
        <v>994767</v>
      </c>
      <c r="E134" s="236">
        <f>E57</f>
        <v>995048</v>
      </c>
      <c r="F134" s="236">
        <f>F57</f>
        <v>997080</v>
      </c>
      <c r="G134" s="236">
        <f>G131+G132-G133</f>
        <v>1003050.2658607691</v>
      </c>
      <c r="H134" s="236">
        <f t="shared" ref="H134:K134" si="94">H131+H132-H133</f>
        <v>1009351.9236553425</v>
      </c>
      <c r="I134" s="236">
        <f t="shared" si="94"/>
        <v>1016039.1402461596</v>
      </c>
      <c r="J134" s="236">
        <f t="shared" si="94"/>
        <v>1023104.9537873614</v>
      </c>
      <c r="K134" s="236">
        <f t="shared" si="94"/>
        <v>1030533.653226278</v>
      </c>
    </row>
    <row r="135" spans="1:11" ht="15" customHeight="1" x14ac:dyDescent="0.25">
      <c r="C135" s="13"/>
      <c r="D135" s="10"/>
      <c r="E135" s="161"/>
      <c r="F135" s="161"/>
      <c r="G135" s="162"/>
      <c r="H135" s="162"/>
      <c r="I135" s="162"/>
      <c r="J135" s="162"/>
      <c r="K135" s="162"/>
    </row>
    <row r="136" spans="1:11" ht="15" customHeight="1" x14ac:dyDescent="0.25">
      <c r="C136" s="6" t="s">
        <v>148</v>
      </c>
      <c r="D136" s="22">
        <f>D132/D16</f>
        <v>4.0855432684289514E-3</v>
      </c>
      <c r="E136" s="22">
        <f>E132/E16</f>
        <v>5.9060595824776164E-3</v>
      </c>
      <c r="F136" s="22">
        <f>F132/F16</f>
        <v>7.3694564428653095E-3</v>
      </c>
      <c r="G136" s="214">
        <f>AVERAGE(D136:F136)</f>
        <v>5.7870197645906252E-3</v>
      </c>
      <c r="H136" s="214">
        <f>G136</f>
        <v>5.7870197645906252E-3</v>
      </c>
      <c r="I136" s="214">
        <f t="shared" ref="I136:K136" si="95">H136</f>
        <v>5.7870197645906252E-3</v>
      </c>
      <c r="J136" s="214">
        <f t="shared" si="95"/>
        <v>5.7870197645906252E-3</v>
      </c>
      <c r="K136" s="214">
        <f t="shared" si="95"/>
        <v>5.7870197645906252E-3</v>
      </c>
    </row>
    <row r="137" spans="1:11" ht="15" customHeight="1" x14ac:dyDescent="0.25">
      <c r="C137" s="6" t="s">
        <v>176</v>
      </c>
      <c r="D137" s="22">
        <f>D133/D16</f>
        <v>5.700657079114998E-3</v>
      </c>
      <c r="E137" s="22">
        <f>E133/E16</f>
        <v>5.2609112327286741E-3</v>
      </c>
      <c r="F137" s="22">
        <f>F133/F16</f>
        <v>4.908424901978882E-3</v>
      </c>
      <c r="G137" s="214">
        <f t="shared" ref="G137" si="96">AVERAGE(D137:F137)</f>
        <v>5.2899977379408519E-3</v>
      </c>
      <c r="H137" s="214">
        <f t="shared" ref="H137:K137" si="97">G137</f>
        <v>5.2899977379408519E-3</v>
      </c>
      <c r="I137" s="214">
        <f t="shared" si="97"/>
        <v>5.2899977379408519E-3</v>
      </c>
      <c r="J137" s="214">
        <f t="shared" si="97"/>
        <v>5.2899977379408519E-3</v>
      </c>
      <c r="K137" s="214">
        <f t="shared" si="97"/>
        <v>5.2899977379408519E-3</v>
      </c>
    </row>
    <row r="138" spans="1:11" ht="15" customHeight="1" x14ac:dyDescent="0.25">
      <c r="E138" s="1"/>
      <c r="F138" s="1"/>
      <c r="G138" s="1"/>
      <c r="H138" s="1"/>
      <c r="I138" s="1"/>
      <c r="J138" s="1"/>
      <c r="K138" s="1"/>
    </row>
    <row r="139" spans="1:11" s="35" customFormat="1" ht="15" customHeight="1" x14ac:dyDescent="0.25">
      <c r="C139" s="45" t="s">
        <v>36</v>
      </c>
      <c r="D139" s="47"/>
      <c r="E139" s="47"/>
      <c r="F139" s="47"/>
      <c r="G139" s="47"/>
      <c r="H139" s="47"/>
      <c r="I139" s="47"/>
      <c r="J139" s="47"/>
      <c r="K139" s="47"/>
    </row>
    <row r="140" spans="1:11" s="31" customFormat="1" ht="15" customHeight="1" x14ac:dyDescent="0.25">
      <c r="C140" s="32"/>
      <c r="D140" s="33"/>
      <c r="E140" s="34"/>
      <c r="F140" s="34"/>
      <c r="G140" s="34"/>
      <c r="H140" s="34"/>
      <c r="I140" s="34"/>
      <c r="J140" s="34"/>
      <c r="K140" s="34"/>
    </row>
    <row r="141" spans="1:11" s="31" customFormat="1" ht="15" customHeight="1" x14ac:dyDescent="0.25">
      <c r="C141" s="35" t="s">
        <v>37</v>
      </c>
      <c r="D141" s="10">
        <f>109836+6288+6432</f>
        <v>122556</v>
      </c>
      <c r="E141" s="10">
        <f>112952+5816+6452</f>
        <v>125220</v>
      </c>
      <c r="F141" s="10">
        <f>119066+5671+6305</f>
        <v>131042</v>
      </c>
      <c r="G141" s="36">
        <f>G251+G273</f>
        <v>139697.89942452684</v>
      </c>
      <c r="H141" s="36">
        <f>H251+H273</f>
        <v>147452.11977556924</v>
      </c>
      <c r="I141" s="36">
        <f>I251+I273</f>
        <v>156473.78735218549</v>
      </c>
      <c r="J141" s="36">
        <f>J251+J273</f>
        <v>165332.55510736923</v>
      </c>
      <c r="K141" s="36">
        <f>K251+K273</f>
        <v>173823.70086599997</v>
      </c>
    </row>
    <row r="142" spans="1:11" s="31" customFormat="1" ht="15" customHeight="1" x14ac:dyDescent="0.25">
      <c r="A142" s="32"/>
      <c r="B142" s="32"/>
      <c r="C142" s="24" t="s">
        <v>38</v>
      </c>
      <c r="D142" s="37">
        <f t="shared" ref="D142:K142" si="98">D141/D16</f>
        <v>1.1567431520712899E-2</v>
      </c>
      <c r="E142" s="37">
        <f t="shared" si="98"/>
        <v>1.1791778770334627E-2</v>
      </c>
      <c r="F142" s="37">
        <f t="shared" si="98"/>
        <v>1.1530157139107586E-2</v>
      </c>
      <c r="G142" s="37">
        <f t="shared" si="98"/>
        <v>1.162978914338504E-2</v>
      </c>
      <c r="H142" s="37">
        <f t="shared" si="98"/>
        <v>1.162978914338504E-2</v>
      </c>
      <c r="I142" s="37">
        <f t="shared" si="98"/>
        <v>1.1629789143385038E-2</v>
      </c>
      <c r="J142" s="37">
        <f t="shared" si="98"/>
        <v>1.162978914338504E-2</v>
      </c>
      <c r="K142" s="37">
        <f t="shared" si="98"/>
        <v>1.162978914338504E-2</v>
      </c>
    </row>
    <row r="143" spans="1:11" ht="15" customHeight="1" x14ac:dyDescent="0.25">
      <c r="C143" s="38" t="s">
        <v>39</v>
      </c>
      <c r="D143" s="30">
        <f t="shared" ref="D143:E143" si="99">D141+D133</f>
        <v>182954</v>
      </c>
      <c r="E143" s="30">
        <f t="shared" si="99"/>
        <v>181087</v>
      </c>
      <c r="F143" s="30">
        <f>F141+F133</f>
        <v>186827</v>
      </c>
      <c r="G143" s="30">
        <f t="shared" ref="G143:K143" si="100">G141+G133</f>
        <v>203241.74900250271</v>
      </c>
      <c r="H143" s="30">
        <f t="shared" si="100"/>
        <v>214523.10192755578</v>
      </c>
      <c r="I143" s="30">
        <f t="shared" si="100"/>
        <v>227648.42095342465</v>
      </c>
      <c r="J143" s="30">
        <f t="shared" si="100"/>
        <v>240536.74253869831</v>
      </c>
      <c r="K143" s="30">
        <f t="shared" si="100"/>
        <v>252890.22331491893</v>
      </c>
    </row>
    <row r="145" spans="3:11" x14ac:dyDescent="0.25">
      <c r="C145" s="13" t="s">
        <v>220</v>
      </c>
      <c r="D145" s="263"/>
      <c r="E145" s="13"/>
      <c r="F145" s="13"/>
      <c r="G145" s="13"/>
      <c r="H145" s="13"/>
      <c r="I145" s="13"/>
      <c r="J145" s="13"/>
      <c r="K145" s="13"/>
    </row>
    <row r="146" spans="3:11" x14ac:dyDescent="0.25">
      <c r="C146" s="48" t="s">
        <v>42</v>
      </c>
      <c r="D146" s="49">
        <f t="shared" ref="D146:K146" si="101">D$13</f>
        <v>2023</v>
      </c>
      <c r="E146" s="49">
        <f t="shared" si="101"/>
        <v>2024</v>
      </c>
      <c r="F146" s="49">
        <f t="shared" si="101"/>
        <v>2025</v>
      </c>
      <c r="G146" s="50">
        <f t="shared" si="101"/>
        <v>2026</v>
      </c>
      <c r="H146" s="50">
        <f t="shared" si="101"/>
        <v>2027</v>
      </c>
      <c r="I146" s="50">
        <f t="shared" si="101"/>
        <v>2028</v>
      </c>
      <c r="J146" s="50">
        <f t="shared" si="101"/>
        <v>2029</v>
      </c>
      <c r="K146" s="50">
        <f t="shared" si="101"/>
        <v>2030</v>
      </c>
    </row>
    <row r="147" spans="3:11" x14ac:dyDescent="0.25">
      <c r="C147" s="43" t="s">
        <v>43</v>
      </c>
      <c r="D147" s="44">
        <f t="shared" ref="D147:K147" si="102">D$14</f>
        <v>45291</v>
      </c>
      <c r="E147" s="44">
        <f t="shared" si="102"/>
        <v>45657</v>
      </c>
      <c r="F147" s="44">
        <f t="shared" si="102"/>
        <v>46022</v>
      </c>
      <c r="G147" s="44">
        <f t="shared" si="102"/>
        <v>46387</v>
      </c>
      <c r="H147" s="44">
        <f t="shared" si="102"/>
        <v>46752</v>
      </c>
      <c r="I147" s="44">
        <f t="shared" si="102"/>
        <v>47118</v>
      </c>
      <c r="J147" s="44">
        <f t="shared" si="102"/>
        <v>47483</v>
      </c>
      <c r="K147" s="44">
        <f t="shared" si="102"/>
        <v>47848</v>
      </c>
    </row>
    <row r="148" spans="3:11" x14ac:dyDescent="0.25">
      <c r="C148" s="35"/>
      <c r="D148" s="264"/>
      <c r="E148" s="35"/>
      <c r="F148" s="35"/>
      <c r="G148" s="35"/>
      <c r="H148" s="35"/>
    </row>
    <row r="149" spans="3:11" x14ac:dyDescent="0.25">
      <c r="C149" s="201" t="s">
        <v>245</v>
      </c>
      <c r="D149" s="265"/>
      <c r="E149" s="265"/>
      <c r="F149" s="265"/>
      <c r="G149" s="203"/>
      <c r="H149" s="203"/>
      <c r="I149" s="203"/>
      <c r="J149" s="203"/>
      <c r="K149" s="203"/>
    </row>
    <row r="150" spans="3:11" x14ac:dyDescent="0.25">
      <c r="C150" s="17" t="s">
        <v>248</v>
      </c>
      <c r="D150" s="265">
        <v>4759</v>
      </c>
      <c r="E150" s="265">
        <v>4593</v>
      </c>
      <c r="F150" s="265">
        <v>4342</v>
      </c>
      <c r="G150" s="203">
        <f t="shared" ref="G150:K150" si="103">F150*(1+G172)</f>
        <v>4168.32</v>
      </c>
      <c r="H150" s="203">
        <f t="shared" si="103"/>
        <v>4064.1119999999996</v>
      </c>
      <c r="I150" s="203">
        <f t="shared" si="103"/>
        <v>4104.7531199999994</v>
      </c>
      <c r="J150" s="203">
        <f t="shared" si="103"/>
        <v>4145.8006511999993</v>
      </c>
      <c r="K150" s="203">
        <f t="shared" si="103"/>
        <v>4187.2586577119991</v>
      </c>
    </row>
    <row r="151" spans="3:11" x14ac:dyDescent="0.25">
      <c r="C151" s="17" t="s">
        <v>249</v>
      </c>
      <c r="D151" s="265">
        <v>0</v>
      </c>
      <c r="E151" s="265">
        <v>0</v>
      </c>
      <c r="F151" s="265">
        <v>0</v>
      </c>
      <c r="G151" s="203">
        <f t="shared" ref="G151:K153" si="104">F151*(1+G173)</f>
        <v>0</v>
      </c>
      <c r="H151" s="203">
        <f t="shared" si="104"/>
        <v>0</v>
      </c>
      <c r="I151" s="203">
        <f t="shared" si="104"/>
        <v>0</v>
      </c>
      <c r="J151" s="203">
        <f t="shared" si="104"/>
        <v>0</v>
      </c>
      <c r="K151" s="203">
        <f t="shared" si="104"/>
        <v>0</v>
      </c>
    </row>
    <row r="152" spans="3:11" x14ac:dyDescent="0.25">
      <c r="C152" s="17" t="s">
        <v>250</v>
      </c>
      <c r="D152" s="265">
        <v>1280</v>
      </c>
      <c r="E152" s="265">
        <v>1673</v>
      </c>
      <c r="F152" s="265">
        <v>2694</v>
      </c>
      <c r="G152" s="203">
        <f t="shared" si="104"/>
        <v>3502.2000000000003</v>
      </c>
      <c r="H152" s="203">
        <f t="shared" si="104"/>
        <v>4202.6400000000003</v>
      </c>
      <c r="I152" s="203">
        <f t="shared" si="104"/>
        <v>4833.0360000000001</v>
      </c>
      <c r="J152" s="203">
        <f t="shared" si="104"/>
        <v>5413.000320000001</v>
      </c>
      <c r="K152" s="203">
        <f t="shared" si="104"/>
        <v>5954.300352000002</v>
      </c>
    </row>
    <row r="153" spans="3:11" x14ac:dyDescent="0.25">
      <c r="C153" s="17" t="s">
        <v>251</v>
      </c>
      <c r="D153" s="265">
        <v>5</v>
      </c>
      <c r="E153" s="265">
        <v>4</v>
      </c>
      <c r="F153" s="265">
        <v>6</v>
      </c>
      <c r="G153" s="203">
        <f t="shared" si="104"/>
        <v>6.12</v>
      </c>
      <c r="H153" s="203">
        <f t="shared" si="104"/>
        <v>6.2423999999999999</v>
      </c>
      <c r="I153" s="203">
        <f t="shared" si="104"/>
        <v>6.367248</v>
      </c>
      <c r="J153" s="203">
        <f t="shared" si="104"/>
        <v>6.4945929600000003</v>
      </c>
      <c r="K153" s="203">
        <f t="shared" si="104"/>
        <v>6.6244848192000001</v>
      </c>
    </row>
    <row r="154" spans="3:11" x14ac:dyDescent="0.25">
      <c r="C154" s="17" t="s">
        <v>218</v>
      </c>
      <c r="D154" s="203">
        <f>SUM(D150:D153)</f>
        <v>6044</v>
      </c>
      <c r="E154" s="203">
        <f>SUM(E150:E153)</f>
        <v>6270</v>
      </c>
      <c r="F154" s="203">
        <f>SUM(F150:F153)</f>
        <v>7042</v>
      </c>
      <c r="G154" s="203">
        <f t="shared" ref="G154:K154" si="105">SUM(G150:G153)</f>
        <v>7676.64</v>
      </c>
      <c r="H154" s="203">
        <f t="shared" si="105"/>
        <v>8272.9943999999996</v>
      </c>
      <c r="I154" s="203">
        <f t="shared" si="105"/>
        <v>8944.1563679999999</v>
      </c>
      <c r="J154" s="203">
        <f t="shared" si="105"/>
        <v>9565.2955641600001</v>
      </c>
      <c r="K154" s="203">
        <f t="shared" si="105"/>
        <v>10148.1834945312</v>
      </c>
    </row>
    <row r="155" spans="3:11" x14ac:dyDescent="0.25">
      <c r="C155" s="201" t="s">
        <v>246</v>
      </c>
      <c r="D155" s="265"/>
      <c r="E155" s="265"/>
      <c r="F155" s="265"/>
      <c r="G155" s="203"/>
      <c r="H155" s="203"/>
      <c r="I155" s="203"/>
      <c r="J155" s="203"/>
      <c r="K155" s="203"/>
    </row>
    <row r="156" spans="3:11" x14ac:dyDescent="0.25">
      <c r="C156" s="17" t="s">
        <v>248</v>
      </c>
      <c r="D156" s="265">
        <v>2607</v>
      </c>
      <c r="E156" s="265">
        <v>2451</v>
      </c>
      <c r="F156" s="265">
        <v>2301</v>
      </c>
      <c r="G156" s="203">
        <f t="shared" ref="G156:K159" si="106">F156*(1+G178)</f>
        <v>2197.4549999999999</v>
      </c>
      <c r="H156" s="203">
        <f t="shared" si="106"/>
        <v>2142.5186249999997</v>
      </c>
      <c r="I156" s="203">
        <f t="shared" si="106"/>
        <v>2121.0934387499997</v>
      </c>
      <c r="J156" s="203">
        <f t="shared" si="106"/>
        <v>2142.3043731374996</v>
      </c>
      <c r="K156" s="203">
        <f t="shared" si="106"/>
        <v>2163.7274168688746</v>
      </c>
    </row>
    <row r="157" spans="3:11" x14ac:dyDescent="0.25">
      <c r="C157" s="17" t="s">
        <v>249</v>
      </c>
      <c r="D157" s="265">
        <v>0</v>
      </c>
      <c r="E157" s="265">
        <v>0</v>
      </c>
      <c r="F157" s="265">
        <v>0</v>
      </c>
      <c r="G157" s="203">
        <f t="shared" si="106"/>
        <v>0</v>
      </c>
      <c r="H157" s="203">
        <f t="shared" si="106"/>
        <v>0</v>
      </c>
      <c r="I157" s="203">
        <f t="shared" si="106"/>
        <v>0</v>
      </c>
      <c r="J157" s="203">
        <f t="shared" si="106"/>
        <v>0</v>
      </c>
      <c r="K157" s="203">
        <f t="shared" si="106"/>
        <v>0</v>
      </c>
    </row>
    <row r="158" spans="3:11" x14ac:dyDescent="0.25">
      <c r="C158" s="17" t="s">
        <v>250</v>
      </c>
      <c r="D158" s="265">
        <v>687</v>
      </c>
      <c r="E158" s="265">
        <v>774</v>
      </c>
      <c r="F158" s="265">
        <v>922</v>
      </c>
      <c r="G158" s="203">
        <f t="shared" si="106"/>
        <v>1060.3</v>
      </c>
      <c r="H158" s="203">
        <f t="shared" si="106"/>
        <v>1187.5360000000001</v>
      </c>
      <c r="I158" s="203">
        <f t="shared" si="106"/>
        <v>1306.2896000000001</v>
      </c>
      <c r="J158" s="203">
        <f t="shared" si="106"/>
        <v>1410.7927680000003</v>
      </c>
      <c r="K158" s="203">
        <f t="shared" si="106"/>
        <v>1523.6561894400004</v>
      </c>
    </row>
    <row r="159" spans="3:11" x14ac:dyDescent="0.25">
      <c r="C159" s="17" t="s">
        <v>251</v>
      </c>
      <c r="D159" s="265">
        <v>25</v>
      </c>
      <c r="E159" s="265">
        <v>20</v>
      </c>
      <c r="F159" s="265">
        <v>27</v>
      </c>
      <c r="G159" s="203">
        <f t="shared" si="106"/>
        <v>27.54</v>
      </c>
      <c r="H159" s="203">
        <f t="shared" si="106"/>
        <v>28.090799999999998</v>
      </c>
      <c r="I159" s="203">
        <f t="shared" si="106"/>
        <v>28.652615999999998</v>
      </c>
      <c r="J159" s="203">
        <f t="shared" si="106"/>
        <v>29.22566832</v>
      </c>
      <c r="K159" s="203">
        <f t="shared" si="106"/>
        <v>29.8101816864</v>
      </c>
    </row>
    <row r="160" spans="3:11" x14ac:dyDescent="0.25">
      <c r="C160" s="17" t="s">
        <v>218</v>
      </c>
      <c r="D160" s="203">
        <f>SUM(D156:D159)</f>
        <v>3319</v>
      </c>
      <c r="E160" s="203">
        <f>SUM(E156:E159)</f>
        <v>3245</v>
      </c>
      <c r="F160" s="203">
        <f>SUM(F156:F159)</f>
        <v>3250</v>
      </c>
      <c r="G160" s="203">
        <f t="shared" ref="G160:K160" si="107">SUM(G156:G159)</f>
        <v>3285.2950000000001</v>
      </c>
      <c r="H160" s="203">
        <f t="shared" si="107"/>
        <v>3358.1454249999997</v>
      </c>
      <c r="I160" s="203">
        <f t="shared" si="107"/>
        <v>3456.0356547499996</v>
      </c>
      <c r="J160" s="203">
        <f t="shared" si="107"/>
        <v>3582.3228094574997</v>
      </c>
      <c r="K160" s="203">
        <f t="shared" si="107"/>
        <v>3717.1937879952748</v>
      </c>
    </row>
    <row r="161" spans="3:11" x14ac:dyDescent="0.25">
      <c r="C161" s="201" t="s">
        <v>247</v>
      </c>
      <c r="D161" s="265"/>
      <c r="E161" s="265"/>
      <c r="F161" s="265"/>
      <c r="G161" s="203"/>
      <c r="H161" s="203"/>
      <c r="I161" s="203"/>
      <c r="J161" s="203"/>
      <c r="K161" s="203"/>
    </row>
    <row r="162" spans="3:11" x14ac:dyDescent="0.25">
      <c r="C162" s="17" t="s">
        <v>248</v>
      </c>
      <c r="D162" s="265">
        <v>789</v>
      </c>
      <c r="E162" s="265">
        <v>722</v>
      </c>
      <c r="F162" s="265">
        <v>676</v>
      </c>
      <c r="G162" s="203">
        <f t="shared" ref="G162:K165" si="108">F162*(1+G184)</f>
        <v>648.95999999999992</v>
      </c>
      <c r="H162" s="203">
        <f t="shared" si="108"/>
        <v>635.98079999999993</v>
      </c>
      <c r="I162" s="203">
        <f t="shared" si="108"/>
        <v>629.62099199999989</v>
      </c>
      <c r="J162" s="203">
        <f t="shared" si="108"/>
        <v>629.62099199999989</v>
      </c>
      <c r="K162" s="203">
        <f t="shared" si="108"/>
        <v>635.91720191999991</v>
      </c>
    </row>
    <row r="163" spans="3:11" x14ac:dyDescent="0.25">
      <c r="C163" s="17" t="s">
        <v>249</v>
      </c>
      <c r="D163" s="265">
        <v>290</v>
      </c>
      <c r="E163" s="265">
        <v>264</v>
      </c>
      <c r="F163" s="265">
        <v>256</v>
      </c>
      <c r="G163" s="203">
        <f t="shared" si="108"/>
        <v>253.44</v>
      </c>
      <c r="H163" s="203">
        <f t="shared" si="108"/>
        <v>257.24159999999995</v>
      </c>
      <c r="I163" s="203">
        <f t="shared" si="108"/>
        <v>263.67263999999994</v>
      </c>
      <c r="J163" s="203">
        <f t="shared" si="108"/>
        <v>271.58281919999996</v>
      </c>
      <c r="K163" s="203">
        <f t="shared" si="108"/>
        <v>271.58281919999996</v>
      </c>
    </row>
    <row r="164" spans="3:11" x14ac:dyDescent="0.25">
      <c r="C164" s="17" t="s">
        <v>250</v>
      </c>
      <c r="D164" s="265">
        <v>39</v>
      </c>
      <c r="E164" s="265">
        <v>42</v>
      </c>
      <c r="F164" s="265">
        <v>49</v>
      </c>
      <c r="G164" s="203">
        <f t="shared" si="108"/>
        <v>53.900000000000006</v>
      </c>
      <c r="H164" s="203">
        <f t="shared" si="108"/>
        <v>58.751000000000012</v>
      </c>
      <c r="I164" s="203">
        <f t="shared" si="108"/>
        <v>63.451080000000019</v>
      </c>
      <c r="J164" s="203">
        <f t="shared" si="108"/>
        <v>67.892655600000026</v>
      </c>
      <c r="K164" s="203">
        <f t="shared" si="108"/>
        <v>71.966214936000029</v>
      </c>
    </row>
    <row r="165" spans="3:11" x14ac:dyDescent="0.25">
      <c r="C165" s="17" t="s">
        <v>251</v>
      </c>
      <c r="D165" s="265">
        <v>114</v>
      </c>
      <c r="E165" s="265">
        <v>76</v>
      </c>
      <c r="F165" s="265">
        <v>92</v>
      </c>
      <c r="G165" s="203">
        <f t="shared" si="108"/>
        <v>93.84</v>
      </c>
      <c r="H165" s="203">
        <f t="shared" si="108"/>
        <v>95.716800000000006</v>
      </c>
      <c r="I165" s="203">
        <f t="shared" si="108"/>
        <v>97.631136000000012</v>
      </c>
      <c r="J165" s="203">
        <f t="shared" si="108"/>
        <v>99.58375872000002</v>
      </c>
      <c r="K165" s="203">
        <f t="shared" si="108"/>
        <v>101.57543389440002</v>
      </c>
    </row>
    <row r="166" spans="3:11" x14ac:dyDescent="0.25">
      <c r="C166" s="17" t="s">
        <v>218</v>
      </c>
      <c r="D166" s="203">
        <f>SUM(D162:D165)</f>
        <v>1232</v>
      </c>
      <c r="E166" s="203">
        <f>SUM(E162:E165)</f>
        <v>1104</v>
      </c>
      <c r="F166" s="203">
        <f>SUM(F162:F165)</f>
        <v>1073</v>
      </c>
      <c r="G166" s="203">
        <f t="shared" ref="G166:K166" si="109">SUM(G162:G165)</f>
        <v>1050.1399999999999</v>
      </c>
      <c r="H166" s="203">
        <f t="shared" si="109"/>
        <v>1047.6901999999998</v>
      </c>
      <c r="I166" s="203">
        <f t="shared" si="109"/>
        <v>1054.3758479999999</v>
      </c>
      <c r="J166" s="203">
        <f t="shared" si="109"/>
        <v>1068.6802255199998</v>
      </c>
      <c r="K166" s="203">
        <f t="shared" si="109"/>
        <v>1081.0416699503999</v>
      </c>
    </row>
    <row r="167" spans="3:11" x14ac:dyDescent="0.25">
      <c r="C167" s="38" t="s">
        <v>218</v>
      </c>
      <c r="D167" s="266">
        <f>(D154+D160+D166)*1000</f>
        <v>10595000</v>
      </c>
      <c r="E167" s="266">
        <f t="shared" ref="E167:K167" si="110">(E154+E160+E166)*1000</f>
        <v>10619000</v>
      </c>
      <c r="F167" s="266">
        <f t="shared" si="110"/>
        <v>11365000</v>
      </c>
      <c r="G167" s="266">
        <f t="shared" si="110"/>
        <v>12012075</v>
      </c>
      <c r="H167" s="266">
        <f t="shared" si="110"/>
        <v>12678830.024999997</v>
      </c>
      <c r="I167" s="266">
        <f t="shared" si="110"/>
        <v>13454567.870749999</v>
      </c>
      <c r="J167" s="266">
        <f t="shared" si="110"/>
        <v>14216298.5991375</v>
      </c>
      <c r="K167" s="266">
        <f t="shared" si="110"/>
        <v>14946418.952476876</v>
      </c>
    </row>
    <row r="168" spans="3:11" x14ac:dyDescent="0.25">
      <c r="C168" s="201"/>
      <c r="D168" s="206"/>
      <c r="E168" s="206"/>
      <c r="F168" s="206"/>
      <c r="G168" s="206"/>
      <c r="H168" s="206"/>
      <c r="I168" s="206"/>
      <c r="J168" s="206"/>
      <c r="K168" s="206"/>
    </row>
    <row r="169" spans="3:11" x14ac:dyDescent="0.25">
      <c r="C169" s="6" t="s">
        <v>219</v>
      </c>
      <c r="D169" s="203">
        <f t="shared" ref="D169:K169" si="111">D167-D16</f>
        <v>81</v>
      </c>
      <c r="E169" s="203">
        <f t="shared" si="111"/>
        <v>-263</v>
      </c>
      <c r="F169" s="203">
        <f t="shared" si="111"/>
        <v>-153</v>
      </c>
      <c r="G169" s="203">
        <f t="shared" si="111"/>
        <v>0</v>
      </c>
      <c r="H169" s="203">
        <f t="shared" si="111"/>
        <v>0</v>
      </c>
      <c r="I169" s="203">
        <f t="shared" si="111"/>
        <v>0</v>
      </c>
      <c r="J169" s="203">
        <f t="shared" si="111"/>
        <v>0</v>
      </c>
      <c r="K169" s="203">
        <f t="shared" si="111"/>
        <v>0</v>
      </c>
    </row>
    <row r="170" spans="3:11" x14ac:dyDescent="0.25">
      <c r="C170" s="201"/>
      <c r="D170" s="206"/>
      <c r="E170" s="206"/>
      <c r="F170" s="206"/>
      <c r="G170" s="206"/>
      <c r="H170" s="206"/>
      <c r="I170" s="206"/>
      <c r="J170" s="206"/>
      <c r="K170" s="206"/>
    </row>
    <row r="171" spans="3:11" x14ac:dyDescent="0.25">
      <c r="C171" s="201" t="s">
        <v>252</v>
      </c>
      <c r="D171" s="206"/>
      <c r="E171" s="206"/>
      <c r="F171" s="206"/>
      <c r="G171" s="206"/>
      <c r="H171" s="206"/>
      <c r="I171" s="206"/>
      <c r="J171" s="206"/>
      <c r="K171" s="206"/>
    </row>
    <row r="172" spans="3:11" x14ac:dyDescent="0.25">
      <c r="C172" s="17" t="s">
        <v>248</v>
      </c>
      <c r="D172" s="1"/>
      <c r="E172" s="1">
        <f>E150/D150-1</f>
        <v>-3.4881277579323355E-2</v>
      </c>
      <c r="F172" s="1">
        <f>F150/E150-1</f>
        <v>-5.4648377966470707E-2</v>
      </c>
      <c r="G172" s="214">
        <v>-0.04</v>
      </c>
      <c r="H172" s="214">
        <v>-2.5000000000000001E-2</v>
      </c>
      <c r="I172" s="214">
        <v>0.01</v>
      </c>
      <c r="J172" s="214">
        <v>0.01</v>
      </c>
      <c r="K172" s="214">
        <v>0.01</v>
      </c>
    </row>
    <row r="173" spans="3:11" x14ac:dyDescent="0.25">
      <c r="C173" s="17" t="s">
        <v>249</v>
      </c>
      <c r="D173" s="1"/>
      <c r="E173" s="1">
        <v>0</v>
      </c>
      <c r="F173" s="1">
        <v>0</v>
      </c>
      <c r="G173" s="214">
        <v>0</v>
      </c>
      <c r="H173" s="214">
        <v>0</v>
      </c>
      <c r="I173" s="214">
        <v>0</v>
      </c>
      <c r="J173" s="214">
        <v>0</v>
      </c>
      <c r="K173" s="214">
        <v>0</v>
      </c>
    </row>
    <row r="174" spans="3:11" x14ac:dyDescent="0.25">
      <c r="C174" s="17" t="s">
        <v>250</v>
      </c>
      <c r="D174" s="1"/>
      <c r="E174" s="1">
        <f>E152/D152-1</f>
        <v>0.30703125000000009</v>
      </c>
      <c r="F174" s="1">
        <f>F152/E152-1</f>
        <v>0.6102809324566647</v>
      </c>
      <c r="G174" s="214">
        <v>0.3</v>
      </c>
      <c r="H174" s="214">
        <v>0.2</v>
      </c>
      <c r="I174" s="214">
        <v>0.15</v>
      </c>
      <c r="J174" s="214">
        <v>0.12</v>
      </c>
      <c r="K174" s="214">
        <v>0.1</v>
      </c>
    </row>
    <row r="175" spans="3:11" x14ac:dyDescent="0.25">
      <c r="C175" s="17" t="s">
        <v>251</v>
      </c>
      <c r="D175" s="1"/>
      <c r="E175" s="1">
        <f>E153/D153-1</f>
        <v>-0.19999999999999996</v>
      </c>
      <c r="F175" s="1">
        <f>F153/E153-1</f>
        <v>0.5</v>
      </c>
      <c r="G175" s="214">
        <v>0.02</v>
      </c>
      <c r="H175" s="214">
        <f>G175</f>
        <v>0.02</v>
      </c>
      <c r="I175" s="214">
        <f t="shared" ref="I175:K175" si="112">H175</f>
        <v>0.02</v>
      </c>
      <c r="J175" s="214">
        <f t="shared" si="112"/>
        <v>0.02</v>
      </c>
      <c r="K175" s="214">
        <f t="shared" si="112"/>
        <v>0.02</v>
      </c>
    </row>
    <row r="176" spans="3:11" x14ac:dyDescent="0.25">
      <c r="C176" s="17"/>
      <c r="D176" s="1"/>
      <c r="E176" s="1"/>
      <c r="F176" s="1"/>
      <c r="G176" s="214"/>
      <c r="H176" s="214"/>
      <c r="I176" s="214"/>
      <c r="J176" s="214"/>
      <c r="K176" s="214"/>
    </row>
    <row r="177" spans="3:11" x14ac:dyDescent="0.25">
      <c r="C177" s="201" t="s">
        <v>253</v>
      </c>
      <c r="D177" s="1"/>
      <c r="E177" s="1"/>
      <c r="F177" s="1"/>
      <c r="G177" s="214"/>
      <c r="H177" s="214"/>
      <c r="I177" s="214"/>
      <c r="J177" s="214"/>
      <c r="K177" s="214"/>
    </row>
    <row r="178" spans="3:11" x14ac:dyDescent="0.25">
      <c r="C178" s="17" t="s">
        <v>248</v>
      </c>
      <c r="D178" s="1"/>
      <c r="E178" s="1">
        <f>E156/D156-1</f>
        <v>-5.9838895281933202E-2</v>
      </c>
      <c r="F178" s="1">
        <f>F156/E156-1</f>
        <v>-6.1199510403916801E-2</v>
      </c>
      <c r="G178" s="214">
        <v>-4.4999999999999998E-2</v>
      </c>
      <c r="H178" s="214">
        <v>-2.5000000000000001E-2</v>
      </c>
      <c r="I178" s="214">
        <v>-0.01</v>
      </c>
      <c r="J178" s="214">
        <v>0.01</v>
      </c>
      <c r="K178" s="214">
        <v>0.01</v>
      </c>
    </row>
    <row r="179" spans="3:11" x14ac:dyDescent="0.25">
      <c r="C179" s="17" t="s">
        <v>249</v>
      </c>
      <c r="D179" s="1"/>
      <c r="E179" s="1">
        <v>0</v>
      </c>
      <c r="F179" s="1">
        <v>0</v>
      </c>
      <c r="G179" s="214">
        <v>0</v>
      </c>
      <c r="H179" s="214">
        <v>0</v>
      </c>
      <c r="I179" s="214">
        <v>0</v>
      </c>
      <c r="J179" s="214">
        <v>0</v>
      </c>
      <c r="K179" s="214">
        <v>0</v>
      </c>
    </row>
    <row r="180" spans="3:11" x14ac:dyDescent="0.25">
      <c r="C180" s="17" t="s">
        <v>250</v>
      </c>
      <c r="D180" s="1"/>
      <c r="E180" s="1">
        <f>E158/D158-1</f>
        <v>0.1266375545851528</v>
      </c>
      <c r="F180" s="1">
        <f>F158/E158-1</f>
        <v>0.19121447028423777</v>
      </c>
      <c r="G180" s="214">
        <v>0.15</v>
      </c>
      <c r="H180" s="214">
        <v>0.12</v>
      </c>
      <c r="I180" s="214">
        <v>0.1</v>
      </c>
      <c r="J180" s="214">
        <v>0.08</v>
      </c>
      <c r="K180" s="214">
        <v>0.08</v>
      </c>
    </row>
    <row r="181" spans="3:11" x14ac:dyDescent="0.25">
      <c r="C181" s="17" t="s">
        <v>251</v>
      </c>
      <c r="D181" s="1"/>
      <c r="E181" s="1">
        <f>E159/D159-1</f>
        <v>-0.19999999999999996</v>
      </c>
      <c r="F181" s="1">
        <f>F159/E159-1</f>
        <v>0.35000000000000009</v>
      </c>
      <c r="G181" s="214">
        <v>0.02</v>
      </c>
      <c r="H181" s="214">
        <f>G181</f>
        <v>0.02</v>
      </c>
      <c r="I181" s="214">
        <f t="shared" ref="I181:K181" si="113">H181</f>
        <v>0.02</v>
      </c>
      <c r="J181" s="214">
        <f t="shared" si="113"/>
        <v>0.02</v>
      </c>
      <c r="K181" s="214">
        <f t="shared" si="113"/>
        <v>0.02</v>
      </c>
    </row>
    <row r="182" spans="3:11" x14ac:dyDescent="0.25">
      <c r="C182" s="17"/>
      <c r="D182" s="1"/>
      <c r="E182" s="1"/>
      <c r="F182" s="1"/>
      <c r="G182" s="214"/>
      <c r="H182" s="214"/>
      <c r="I182" s="214"/>
      <c r="J182" s="214"/>
      <c r="K182" s="214"/>
    </row>
    <row r="183" spans="3:11" x14ac:dyDescent="0.25">
      <c r="C183" s="201" t="s">
        <v>254</v>
      </c>
      <c r="D183" s="1"/>
      <c r="E183" s="1"/>
      <c r="F183" s="1"/>
      <c r="G183" s="214"/>
      <c r="H183" s="214"/>
      <c r="I183" s="214"/>
      <c r="J183" s="214"/>
      <c r="K183" s="214"/>
    </row>
    <row r="184" spans="3:11" x14ac:dyDescent="0.25">
      <c r="C184" s="17" t="s">
        <v>248</v>
      </c>
      <c r="D184" s="1"/>
      <c r="E184" s="1">
        <f t="shared" ref="E184:F187" si="114">E162/D162-1</f>
        <v>-8.4917617237008858E-2</v>
      </c>
      <c r="F184" s="1">
        <f t="shared" si="114"/>
        <v>-6.3711911357340667E-2</v>
      </c>
      <c r="G184" s="214">
        <v>-0.04</v>
      </c>
      <c r="H184" s="214">
        <v>-0.02</v>
      </c>
      <c r="I184" s="214">
        <v>-0.01</v>
      </c>
      <c r="J184" s="214">
        <v>0</v>
      </c>
      <c r="K184" s="214">
        <v>0.01</v>
      </c>
    </row>
    <row r="185" spans="3:11" x14ac:dyDescent="0.25">
      <c r="C185" s="17" t="s">
        <v>249</v>
      </c>
      <c r="D185" s="1"/>
      <c r="E185" s="1">
        <f t="shared" si="114"/>
        <v>-8.9655172413793061E-2</v>
      </c>
      <c r="F185" s="1">
        <f t="shared" si="114"/>
        <v>-3.0303030303030276E-2</v>
      </c>
      <c r="G185" s="214">
        <v>-0.01</v>
      </c>
      <c r="H185" s="214">
        <v>1.4999999999999999E-2</v>
      </c>
      <c r="I185" s="214">
        <v>2.5000000000000001E-2</v>
      </c>
      <c r="J185" s="214">
        <v>0.03</v>
      </c>
      <c r="K185" s="214"/>
    </row>
    <row r="186" spans="3:11" x14ac:dyDescent="0.25">
      <c r="C186" s="17" t="s">
        <v>250</v>
      </c>
      <c r="D186" s="1"/>
      <c r="E186" s="1">
        <f t="shared" si="114"/>
        <v>7.6923076923076872E-2</v>
      </c>
      <c r="F186" s="1">
        <f t="shared" si="114"/>
        <v>0.16666666666666674</v>
      </c>
      <c r="G186" s="214">
        <v>0.1</v>
      </c>
      <c r="H186" s="214">
        <v>0.09</v>
      </c>
      <c r="I186" s="214">
        <v>0.08</v>
      </c>
      <c r="J186" s="214">
        <v>7.0000000000000007E-2</v>
      </c>
      <c r="K186" s="214">
        <v>0.06</v>
      </c>
    </row>
    <row r="187" spans="3:11" x14ac:dyDescent="0.25">
      <c r="C187" s="17" t="s">
        <v>251</v>
      </c>
      <c r="D187" s="1"/>
      <c r="E187" s="1">
        <f t="shared" si="114"/>
        <v>-0.33333333333333337</v>
      </c>
      <c r="F187" s="1">
        <f t="shared" si="114"/>
        <v>0.21052631578947367</v>
      </c>
      <c r="G187" s="214">
        <v>0.02</v>
      </c>
      <c r="H187" s="214">
        <f>G187</f>
        <v>0.02</v>
      </c>
      <c r="I187" s="214">
        <f t="shared" ref="I187:K187" si="115">H187</f>
        <v>0.02</v>
      </c>
      <c r="J187" s="214">
        <f t="shared" si="115"/>
        <v>0.02</v>
      </c>
      <c r="K187" s="214">
        <f t="shared" si="115"/>
        <v>0.02</v>
      </c>
    </row>
    <row r="189" spans="3:11" x14ac:dyDescent="0.25">
      <c r="C189" s="13" t="s">
        <v>156</v>
      </c>
    </row>
    <row r="190" spans="3:11" x14ac:dyDescent="0.25">
      <c r="C190" s="48" t="s">
        <v>42</v>
      </c>
      <c r="D190" s="49">
        <f t="shared" ref="D190:K190" si="116">D$13</f>
        <v>2023</v>
      </c>
      <c r="E190" s="49">
        <f t="shared" si="116"/>
        <v>2024</v>
      </c>
      <c r="F190" s="49">
        <f t="shared" si="116"/>
        <v>2025</v>
      </c>
      <c r="G190" s="50">
        <f t="shared" si="116"/>
        <v>2026</v>
      </c>
      <c r="H190" s="50">
        <f t="shared" si="116"/>
        <v>2027</v>
      </c>
      <c r="I190" s="50">
        <f t="shared" si="116"/>
        <v>2028</v>
      </c>
      <c r="J190" s="50">
        <f t="shared" si="116"/>
        <v>2029</v>
      </c>
      <c r="K190" s="50">
        <f t="shared" si="116"/>
        <v>2030</v>
      </c>
    </row>
    <row r="191" spans="3:11" x14ac:dyDescent="0.25">
      <c r="C191" s="43" t="s">
        <v>43</v>
      </c>
      <c r="D191" s="255">
        <f t="shared" ref="D191:K191" si="117">D$14</f>
        <v>45291</v>
      </c>
      <c r="E191" s="234">
        <f t="shared" si="117"/>
        <v>45657</v>
      </c>
      <c r="F191" s="234">
        <f t="shared" si="117"/>
        <v>46022</v>
      </c>
      <c r="G191" s="234">
        <f t="shared" si="117"/>
        <v>46387</v>
      </c>
      <c r="H191" s="234">
        <f t="shared" si="117"/>
        <v>46752</v>
      </c>
      <c r="I191" s="234">
        <f t="shared" si="117"/>
        <v>47118</v>
      </c>
      <c r="J191" s="234">
        <f t="shared" si="117"/>
        <v>47483</v>
      </c>
      <c r="K191" s="234">
        <f t="shared" si="117"/>
        <v>47848</v>
      </c>
    </row>
    <row r="192" spans="3:11" x14ac:dyDescent="0.25">
      <c r="D192" s="6"/>
    </row>
    <row r="193" spans="3:11" x14ac:dyDescent="0.25">
      <c r="C193" s="13" t="s">
        <v>157</v>
      </c>
      <c r="D193" s="6"/>
    </row>
    <row r="194" spans="3:11" x14ac:dyDescent="0.25">
      <c r="C194" s="17" t="s">
        <v>201</v>
      </c>
      <c r="D194" s="27">
        <f t="shared" ref="D194:F196" si="118">D48</f>
        <v>220902</v>
      </c>
      <c r="E194" s="27">
        <f t="shared" si="118"/>
        <v>173978</v>
      </c>
      <c r="F194" s="27">
        <f t="shared" si="118"/>
        <v>189043</v>
      </c>
      <c r="G194" s="27">
        <f>G212/365*G16</f>
        <v>215683.27576246302</v>
      </c>
      <c r="H194" s="27">
        <f>H212/365*H16</f>
        <v>227655.22131917012</v>
      </c>
      <c r="I194" s="27">
        <f>I212/365*I16</f>
        <v>241584.01211545442</v>
      </c>
      <c r="J194" s="27">
        <f>J212/365*J16</f>
        <v>255261.29757592175</v>
      </c>
      <c r="K194" s="27">
        <f>K212/365*K16</f>
        <v>268371.0017285418</v>
      </c>
    </row>
    <row r="195" spans="3:11" x14ac:dyDescent="0.25">
      <c r="C195" s="17" t="s">
        <v>230</v>
      </c>
      <c r="D195" s="27">
        <f t="shared" si="118"/>
        <v>1647915</v>
      </c>
      <c r="E195" s="27">
        <f t="shared" si="118"/>
        <v>1816658</v>
      </c>
      <c r="F195" s="27">
        <f t="shared" si="118"/>
        <v>1709401</v>
      </c>
      <c r="G195" s="27">
        <f>G211/365*-G17</f>
        <v>1910071.723281041</v>
      </c>
      <c r="H195" s="27">
        <f>H211/365*-H17</f>
        <v>2016094.1981330577</v>
      </c>
      <c r="I195" s="27">
        <f>I211/365*-I17</f>
        <v>2139446.318715557</v>
      </c>
      <c r="J195" s="27">
        <f>J211/365*-J17</f>
        <v>2260571.1306275073</v>
      </c>
      <c r="K195" s="27">
        <f>K211/365*-K17</f>
        <v>2376669.4934420502</v>
      </c>
    </row>
    <row r="196" spans="3:11" x14ac:dyDescent="0.25">
      <c r="C196" s="17" t="s">
        <v>231</v>
      </c>
      <c r="D196" s="27">
        <f t="shared" si="118"/>
        <v>292317</v>
      </c>
      <c r="E196" s="27">
        <f t="shared" si="118"/>
        <v>325551</v>
      </c>
      <c r="F196" s="27">
        <f t="shared" si="118"/>
        <v>353794</v>
      </c>
      <c r="G196" s="27">
        <f>$F196/$F$16*G$16</f>
        <v>373932.49897735653</v>
      </c>
      <c r="H196" s="27">
        <f t="shared" ref="H196:K196" si="119">$F196/$F$16*H$16</f>
        <v>394688.39441623434</v>
      </c>
      <c r="I196" s="27">
        <f t="shared" si="119"/>
        <v>418836.89425598807</v>
      </c>
      <c r="J196" s="27">
        <f t="shared" si="119"/>
        <v>442549.3564920114</v>
      </c>
      <c r="K196" s="27">
        <f t="shared" si="119"/>
        <v>465277.79668893188</v>
      </c>
    </row>
    <row r="197" spans="3:11" x14ac:dyDescent="0.25">
      <c r="C197" s="13" t="s">
        <v>158</v>
      </c>
      <c r="D197" s="215">
        <f>SUM(D194:D196)</f>
        <v>2161134</v>
      </c>
      <c r="E197" s="215">
        <f t="shared" ref="E197:G197" si="120">SUM(E194:E196)</f>
        <v>2316187</v>
      </c>
      <c r="F197" s="215">
        <f t="shared" si="120"/>
        <v>2252238</v>
      </c>
      <c r="G197" s="215">
        <f t="shared" si="120"/>
        <v>2499687.4980208608</v>
      </c>
      <c r="H197" s="215">
        <f t="shared" ref="H197" si="121">SUM(H194:H196)</f>
        <v>2638437.8138684621</v>
      </c>
      <c r="I197" s="215">
        <f t="shared" ref="I197" si="122">SUM(I194:I196)</f>
        <v>2799867.2250869991</v>
      </c>
      <c r="J197" s="215">
        <f t="shared" ref="J197" si="123">SUM(J194:J196)</f>
        <v>2958381.7846954404</v>
      </c>
      <c r="K197" s="215">
        <f t="shared" ref="K197" si="124">SUM(K194:K196)</f>
        <v>3110318.2918595239</v>
      </c>
    </row>
    <row r="198" spans="3:11" x14ac:dyDescent="0.25">
      <c r="C198" s="13"/>
      <c r="E198" s="28"/>
      <c r="F198" s="28"/>
      <c r="G198" s="7"/>
      <c r="H198" s="7"/>
      <c r="I198" s="7"/>
      <c r="J198" s="7"/>
      <c r="K198" s="7"/>
    </row>
    <row r="199" spans="3:11" x14ac:dyDescent="0.25">
      <c r="C199" s="13" t="s">
        <v>162</v>
      </c>
      <c r="E199" s="28"/>
      <c r="F199" s="28"/>
      <c r="G199" s="7"/>
      <c r="H199" s="7"/>
      <c r="I199" s="7"/>
      <c r="J199" s="7"/>
      <c r="K199" s="7"/>
    </row>
    <row r="200" spans="3:11" x14ac:dyDescent="0.25">
      <c r="C200" s="17" t="s">
        <v>236</v>
      </c>
      <c r="D200" s="19">
        <f t="shared" ref="D200:F202" si="125">D67</f>
        <v>1097050</v>
      </c>
      <c r="E200" s="19">
        <f t="shared" si="125"/>
        <v>1204027</v>
      </c>
      <c r="F200" s="19">
        <f t="shared" si="125"/>
        <v>1328753</v>
      </c>
      <c r="G200" s="27">
        <f>G213/365*-G17</f>
        <v>1336863.2059356552</v>
      </c>
      <c r="H200" s="27">
        <f>H213/365*-H17</f>
        <v>1411068.5584909136</v>
      </c>
      <c r="I200" s="27">
        <f>I213/365*-I17</f>
        <v>1497402.9664458227</v>
      </c>
      <c r="J200" s="27">
        <f>J213/365*-J17</f>
        <v>1582178.4763899262</v>
      </c>
      <c r="K200" s="27">
        <f>K213/365*-K17</f>
        <v>1663435.9640666309</v>
      </c>
    </row>
    <row r="201" spans="3:11" x14ac:dyDescent="0.25">
      <c r="C201" s="17" t="s">
        <v>237</v>
      </c>
      <c r="D201" s="19">
        <f t="shared" si="125"/>
        <v>228115</v>
      </c>
      <c r="E201" s="19">
        <f t="shared" si="125"/>
        <v>246273</v>
      </c>
      <c r="F201" s="19">
        <f t="shared" si="125"/>
        <v>293716</v>
      </c>
      <c r="G201" s="27">
        <f t="shared" ref="G201:K203" si="126">$F201/$F$16*G$16</f>
        <v>310434.76675588969</v>
      </c>
      <c r="H201" s="27">
        <f t="shared" si="126"/>
        <v>327666.08945985144</v>
      </c>
      <c r="I201" s="27">
        <f t="shared" si="126"/>
        <v>347713.9161017196</v>
      </c>
      <c r="J201" s="27">
        <f t="shared" si="126"/>
        <v>367399.74898219761</v>
      </c>
      <c r="K201" s="27">
        <f t="shared" si="126"/>
        <v>386268.65727594675</v>
      </c>
    </row>
    <row r="202" spans="3:11" x14ac:dyDescent="0.25">
      <c r="C202" s="17" t="s">
        <v>238</v>
      </c>
      <c r="D202" s="19">
        <f t="shared" si="125"/>
        <v>23958</v>
      </c>
      <c r="E202" s="19">
        <f t="shared" si="125"/>
        <v>14424</v>
      </c>
      <c r="F202" s="19">
        <f t="shared" si="125"/>
        <v>0</v>
      </c>
      <c r="G202" s="27">
        <f t="shared" si="126"/>
        <v>0</v>
      </c>
      <c r="H202" s="27">
        <f t="shared" si="126"/>
        <v>0</v>
      </c>
      <c r="I202" s="27">
        <f t="shared" si="126"/>
        <v>0</v>
      </c>
      <c r="J202" s="27">
        <f t="shared" si="126"/>
        <v>0</v>
      </c>
      <c r="K202" s="27">
        <f t="shared" si="126"/>
        <v>0</v>
      </c>
    </row>
    <row r="203" spans="3:11" x14ac:dyDescent="0.25">
      <c r="C203" s="17" t="s">
        <v>240</v>
      </c>
      <c r="D203" s="19">
        <f>D71</f>
        <v>73425</v>
      </c>
      <c r="E203" s="19">
        <f>E71</f>
        <v>69003</v>
      </c>
      <c r="F203" s="19">
        <f>F71</f>
        <v>55136</v>
      </c>
      <c r="G203" s="27">
        <f t="shared" si="126"/>
        <v>58274.425975611593</v>
      </c>
      <c r="H203" s="27">
        <f t="shared" si="126"/>
        <v>61509.068312445932</v>
      </c>
      <c r="I203" s="27">
        <f t="shared" si="126"/>
        <v>65272.421244278186</v>
      </c>
      <c r="J203" s="27">
        <f t="shared" si="126"/>
        <v>68967.821160176652</v>
      </c>
      <c r="K203" s="27">
        <f t="shared" si="126"/>
        <v>72509.869014853131</v>
      </c>
    </row>
    <row r="204" spans="3:11" x14ac:dyDescent="0.25">
      <c r="C204" s="13" t="s">
        <v>163</v>
      </c>
      <c r="D204" s="218">
        <f t="shared" ref="D204:K204" si="127">SUM(D200:D203)</f>
        <v>1422548</v>
      </c>
      <c r="E204" s="218">
        <f t="shared" si="127"/>
        <v>1533727</v>
      </c>
      <c r="F204" s="218">
        <f t="shared" si="127"/>
        <v>1677605</v>
      </c>
      <c r="G204" s="218">
        <f t="shared" si="127"/>
        <v>1705572.3986671565</v>
      </c>
      <c r="H204" s="218">
        <f t="shared" si="127"/>
        <v>1800243.7162632109</v>
      </c>
      <c r="I204" s="218">
        <f t="shared" si="127"/>
        <v>1910389.3037918205</v>
      </c>
      <c r="J204" s="218">
        <f t="shared" si="127"/>
        <v>2018546.0465323003</v>
      </c>
      <c r="K204" s="218">
        <f t="shared" si="127"/>
        <v>2122214.4903574307</v>
      </c>
    </row>
    <row r="205" spans="3:11" x14ac:dyDescent="0.25">
      <c r="E205" s="28"/>
      <c r="F205" s="28"/>
      <c r="G205" s="7"/>
      <c r="H205" s="7"/>
      <c r="I205" s="7"/>
      <c r="J205" s="7"/>
      <c r="K205" s="7"/>
    </row>
    <row r="206" spans="3:11" x14ac:dyDescent="0.25">
      <c r="C206" s="6" t="s">
        <v>159</v>
      </c>
      <c r="D206" s="19">
        <f t="shared" ref="D206:K206" si="128">D197-D204</f>
        <v>738586</v>
      </c>
      <c r="E206" s="19">
        <f t="shared" si="128"/>
        <v>782460</v>
      </c>
      <c r="F206" s="19">
        <f t="shared" si="128"/>
        <v>574633</v>
      </c>
      <c r="G206" s="19">
        <f t="shared" si="128"/>
        <v>794115.09935370437</v>
      </c>
      <c r="H206" s="19">
        <f t="shared" si="128"/>
        <v>838194.09760525124</v>
      </c>
      <c r="I206" s="19">
        <f t="shared" si="128"/>
        <v>889477.92129517859</v>
      </c>
      <c r="J206" s="19">
        <f t="shared" si="128"/>
        <v>939835.73816314014</v>
      </c>
      <c r="K206" s="19">
        <f t="shared" si="128"/>
        <v>988103.80150209321</v>
      </c>
    </row>
    <row r="207" spans="3:11" x14ac:dyDescent="0.25">
      <c r="C207" s="6" t="s">
        <v>160</v>
      </c>
      <c r="D207" s="22">
        <f t="shared" ref="D207:K207" si="129">D206/D16</f>
        <v>6.9711339935680489E-2</v>
      </c>
      <c r="E207" s="22">
        <f t="shared" si="129"/>
        <v>7.3683079513145122E-2</v>
      </c>
      <c r="F207" s="22">
        <f t="shared" si="129"/>
        <v>5.0560955932577416E-2</v>
      </c>
      <c r="G207" s="22">
        <f t="shared" si="129"/>
        <v>6.610973535827111E-2</v>
      </c>
      <c r="H207" s="22">
        <f t="shared" si="129"/>
        <v>6.6109735358271082E-2</v>
      </c>
      <c r="I207" s="22">
        <f t="shared" si="129"/>
        <v>6.6109735358271027E-2</v>
      </c>
      <c r="J207" s="22">
        <f t="shared" si="129"/>
        <v>6.6109735358271096E-2</v>
      </c>
      <c r="K207" s="22">
        <f t="shared" si="129"/>
        <v>6.6109735358271055E-2</v>
      </c>
    </row>
    <row r="208" spans="3:11" x14ac:dyDescent="0.25">
      <c r="C208" s="6" t="s">
        <v>161</v>
      </c>
      <c r="D208" s="19"/>
      <c r="E208" s="188">
        <f>D206-E206</f>
        <v>-43874</v>
      </c>
      <c r="F208" s="188">
        <f t="shared" ref="F208:K208" si="130">E206-F206</f>
        <v>207827</v>
      </c>
      <c r="G208" s="188">
        <f t="shared" si="130"/>
        <v>-219482.09935370437</v>
      </c>
      <c r="H208" s="188">
        <f t="shared" si="130"/>
        <v>-44078.998251546873</v>
      </c>
      <c r="I208" s="188">
        <f t="shared" si="130"/>
        <v>-51283.823689927347</v>
      </c>
      <c r="J208" s="188">
        <f t="shared" si="130"/>
        <v>-50357.816867961548</v>
      </c>
      <c r="K208" s="188">
        <f t="shared" si="130"/>
        <v>-48268.06333895307</v>
      </c>
    </row>
    <row r="209" spans="3:11" x14ac:dyDescent="0.25">
      <c r="D209" s="19"/>
      <c r="E209" s="188"/>
      <c r="F209" s="188"/>
      <c r="G209" s="188"/>
      <c r="H209" s="188"/>
      <c r="I209" s="188"/>
      <c r="J209" s="188"/>
      <c r="K209" s="188"/>
    </row>
    <row r="210" spans="3:11" x14ac:dyDescent="0.25">
      <c r="C210" s="13" t="s">
        <v>180</v>
      </c>
      <c r="G210" s="243"/>
      <c r="H210" s="243"/>
      <c r="I210" s="243"/>
      <c r="J210" s="243"/>
      <c r="K210" s="243"/>
    </row>
    <row r="211" spans="3:11" x14ac:dyDescent="0.25">
      <c r="C211" s="17" t="s">
        <v>181</v>
      </c>
      <c r="D211" s="248">
        <f>D195/-D17*365</f>
        <v>64.544431366013768</v>
      </c>
      <c r="E211" s="248">
        <f>E195/-E17*365</f>
        <v>71.338800689073167</v>
      </c>
      <c r="F211" s="248">
        <f>F195/-F17*365</f>
        <v>62.713502154405568</v>
      </c>
      <c r="G211" s="267">
        <f>AVERAGE(D211:F211)</f>
        <v>66.198911403164161</v>
      </c>
      <c r="H211" s="267">
        <f>G211</f>
        <v>66.198911403164161</v>
      </c>
      <c r="I211" s="267">
        <f t="shared" ref="I211:K211" si="131">H211</f>
        <v>66.198911403164161</v>
      </c>
      <c r="J211" s="267">
        <f t="shared" si="131"/>
        <v>66.198911403164161</v>
      </c>
      <c r="K211" s="267">
        <f t="shared" si="131"/>
        <v>66.198911403164161</v>
      </c>
    </row>
    <row r="212" spans="3:11" x14ac:dyDescent="0.25">
      <c r="C212" s="17" t="s">
        <v>182</v>
      </c>
      <c r="D212" s="248">
        <f>D194/D16*365</f>
        <v>7.6101789924019236</v>
      </c>
      <c r="E212" s="248">
        <f>E194/E16*365</f>
        <v>5.9798848564161178</v>
      </c>
      <c r="F212" s="248">
        <f>F194/F16*365</f>
        <v>6.0712508665743439</v>
      </c>
      <c r="G212" s="267">
        <f t="shared" ref="G212:G213" si="132">AVERAGE(D212:F212)</f>
        <v>6.5537715717974621</v>
      </c>
      <c r="H212" s="267">
        <f t="shared" ref="H212:K212" si="133">G212</f>
        <v>6.5537715717974621</v>
      </c>
      <c r="I212" s="267">
        <f t="shared" si="133"/>
        <v>6.5537715717974621</v>
      </c>
      <c r="J212" s="267">
        <f t="shared" si="133"/>
        <v>6.5537715717974621</v>
      </c>
      <c r="K212" s="267">
        <f t="shared" si="133"/>
        <v>6.5537715717974621</v>
      </c>
    </row>
    <row r="213" spans="3:11" x14ac:dyDescent="0.25">
      <c r="C213" s="17" t="s">
        <v>183</v>
      </c>
      <c r="D213" s="248">
        <f>D200/-D17*365</f>
        <v>42.968519875166741</v>
      </c>
      <c r="E213" s="248">
        <f>E200/-E17*365</f>
        <v>47.281239604406935</v>
      </c>
      <c r="F213" s="248">
        <f>F200/-F17*365</f>
        <v>48.748511395613349</v>
      </c>
      <c r="G213" s="267">
        <f t="shared" si="132"/>
        <v>46.33275695839567</v>
      </c>
      <c r="H213" s="267">
        <f t="shared" ref="H213:K213" si="134">G213</f>
        <v>46.33275695839567</v>
      </c>
      <c r="I213" s="267">
        <f t="shared" si="134"/>
        <v>46.33275695839567</v>
      </c>
      <c r="J213" s="267">
        <f t="shared" si="134"/>
        <v>46.33275695839567</v>
      </c>
      <c r="K213" s="267">
        <f t="shared" si="134"/>
        <v>46.33275695839567</v>
      </c>
    </row>
    <row r="214" spans="3:11" x14ac:dyDescent="0.25">
      <c r="D214" s="244"/>
      <c r="E214" s="244"/>
      <c r="F214" s="244"/>
      <c r="G214" s="243"/>
      <c r="H214" s="243"/>
      <c r="I214" s="243"/>
      <c r="J214" s="243"/>
      <c r="K214" s="243"/>
    </row>
    <row r="215" spans="3:11" x14ac:dyDescent="0.25">
      <c r="C215" s="13" t="s">
        <v>164</v>
      </c>
    </row>
    <row r="216" spans="3:11" x14ac:dyDescent="0.25">
      <c r="C216" s="48" t="s">
        <v>42</v>
      </c>
      <c r="D216" s="49">
        <f t="shared" ref="D216:K216" si="135">D$13</f>
        <v>2023</v>
      </c>
      <c r="E216" s="49">
        <f t="shared" si="135"/>
        <v>2024</v>
      </c>
      <c r="F216" s="49">
        <f t="shared" si="135"/>
        <v>2025</v>
      </c>
      <c r="G216" s="50">
        <f t="shared" si="135"/>
        <v>2026</v>
      </c>
      <c r="H216" s="50">
        <f t="shared" si="135"/>
        <v>2027</v>
      </c>
      <c r="I216" s="50">
        <f t="shared" si="135"/>
        <v>2028</v>
      </c>
      <c r="J216" s="50">
        <f t="shared" si="135"/>
        <v>2029</v>
      </c>
      <c r="K216" s="50">
        <f t="shared" si="135"/>
        <v>2030</v>
      </c>
    </row>
    <row r="217" spans="3:11" x14ac:dyDescent="0.25">
      <c r="C217" s="43" t="s">
        <v>43</v>
      </c>
      <c r="D217" s="255">
        <f t="shared" ref="D217:K217" si="136">D$14</f>
        <v>45291</v>
      </c>
      <c r="E217" s="234">
        <f t="shared" si="136"/>
        <v>45657</v>
      </c>
      <c r="F217" s="234">
        <f t="shared" si="136"/>
        <v>46022</v>
      </c>
      <c r="G217" s="234">
        <f t="shared" si="136"/>
        <v>46387</v>
      </c>
      <c r="H217" s="234">
        <f t="shared" si="136"/>
        <v>46752</v>
      </c>
      <c r="I217" s="234">
        <f t="shared" si="136"/>
        <v>47118</v>
      </c>
      <c r="J217" s="234">
        <f t="shared" si="136"/>
        <v>47483</v>
      </c>
      <c r="K217" s="234">
        <f t="shared" si="136"/>
        <v>47848</v>
      </c>
    </row>
    <row r="219" spans="3:11" x14ac:dyDescent="0.25">
      <c r="C219" s="13" t="s">
        <v>211</v>
      </c>
      <c r="D219" s="19"/>
      <c r="E219" s="188"/>
      <c r="F219" s="188"/>
      <c r="G219" s="188"/>
      <c r="H219" s="188"/>
      <c r="I219" s="188"/>
      <c r="J219" s="188"/>
      <c r="K219" s="188"/>
    </row>
    <row r="220" spans="3:11" x14ac:dyDescent="0.25">
      <c r="C220" s="29" t="s">
        <v>32</v>
      </c>
      <c r="D220" s="19"/>
      <c r="E220" s="188">
        <f>D221</f>
        <v>714348</v>
      </c>
      <c r="F220" s="188">
        <f t="shared" ref="F220:K220" si="137">E221</f>
        <v>791756</v>
      </c>
      <c r="G220" s="188">
        <f t="shared" si="137"/>
        <v>744240</v>
      </c>
      <c r="H220" s="188">
        <f t="shared" si="137"/>
        <v>709987.29630974703</v>
      </c>
      <c r="I220" s="188">
        <f t="shared" si="137"/>
        <v>673833.32557734591</v>
      </c>
      <c r="J220" s="188">
        <f t="shared" si="137"/>
        <v>635467.32082319667</v>
      </c>
      <c r="K220" s="188">
        <f t="shared" si="137"/>
        <v>594929.22365943319</v>
      </c>
    </row>
    <row r="221" spans="3:11" x14ac:dyDescent="0.25">
      <c r="C221" s="29" t="s">
        <v>35</v>
      </c>
      <c r="D221" s="19">
        <f t="shared" ref="D221:K221" si="138">D65+D66+D75</f>
        <v>714348</v>
      </c>
      <c r="E221" s="19">
        <f t="shared" si="138"/>
        <v>791756</v>
      </c>
      <c r="F221" s="19">
        <f t="shared" si="138"/>
        <v>744240</v>
      </c>
      <c r="G221" s="19">
        <f t="shared" si="138"/>
        <v>709987.29630974703</v>
      </c>
      <c r="H221" s="19">
        <f t="shared" si="138"/>
        <v>673833.32557734591</v>
      </c>
      <c r="I221" s="19">
        <f t="shared" si="138"/>
        <v>635467.32082319667</v>
      </c>
      <c r="J221" s="19">
        <f t="shared" si="138"/>
        <v>594929.22365943319</v>
      </c>
      <c r="K221" s="19">
        <f t="shared" si="138"/>
        <v>552309.17178583343</v>
      </c>
    </row>
    <row r="222" spans="3:11" x14ac:dyDescent="0.25">
      <c r="C222" s="29" t="s">
        <v>165</v>
      </c>
      <c r="D222" s="19"/>
      <c r="E222" s="188">
        <f>AVERAGE(E220,E221)</f>
        <v>753052</v>
      </c>
      <c r="F222" s="188">
        <f t="shared" ref="F222:K222" si="139">AVERAGE(F220,F221)</f>
        <v>767998</v>
      </c>
      <c r="G222" s="188">
        <f t="shared" si="139"/>
        <v>727113.64815487352</v>
      </c>
      <c r="H222" s="188">
        <f t="shared" si="139"/>
        <v>691910.31094354647</v>
      </c>
      <c r="I222" s="188">
        <f t="shared" si="139"/>
        <v>654650.32320027123</v>
      </c>
      <c r="J222" s="188">
        <f t="shared" si="139"/>
        <v>615198.27224131487</v>
      </c>
      <c r="K222" s="188">
        <f t="shared" si="139"/>
        <v>573619.19772263337</v>
      </c>
    </row>
    <row r="223" spans="3:11" x14ac:dyDescent="0.25">
      <c r="C223" s="29" t="s">
        <v>166</v>
      </c>
      <c r="D223" s="22"/>
      <c r="E223" s="1">
        <f>E230/E222</f>
        <v>-6.8892984813797714E-2</v>
      </c>
      <c r="F223" s="1">
        <f>F230/F222</f>
        <v>-6.7856947544134225E-2</v>
      </c>
      <c r="G223" s="214">
        <f>AVERAGE(E223:F223)</f>
        <v>-6.8374966178965962E-2</v>
      </c>
      <c r="H223" s="214">
        <f>G223</f>
        <v>-6.8374966178965962E-2</v>
      </c>
      <c r="I223" s="214">
        <f t="shared" ref="I223:K223" si="140">H223</f>
        <v>-6.8374966178965962E-2</v>
      </c>
      <c r="J223" s="214">
        <f t="shared" si="140"/>
        <v>-6.8374966178965962E-2</v>
      </c>
      <c r="K223" s="214">
        <f t="shared" si="140"/>
        <v>-6.8374966178965962E-2</v>
      </c>
    </row>
    <row r="224" spans="3:11" x14ac:dyDescent="0.25">
      <c r="C224" s="17"/>
      <c r="D224" s="261"/>
      <c r="E224" s="210"/>
      <c r="F224" s="210"/>
      <c r="G224" s="211"/>
      <c r="H224" s="211"/>
      <c r="I224" s="211"/>
      <c r="J224" s="211"/>
      <c r="K224" s="211"/>
    </row>
    <row r="225" spans="3:11" x14ac:dyDescent="0.25">
      <c r="C225" s="13" t="s">
        <v>255</v>
      </c>
      <c r="D225" s="7"/>
    </row>
    <row r="226" spans="3:11" x14ac:dyDescent="0.25">
      <c r="C226" s="17" t="s">
        <v>256</v>
      </c>
      <c r="D226" s="188">
        <f t="shared" ref="D226:K226" si="141">D47</f>
        <v>50031</v>
      </c>
      <c r="E226" s="188">
        <f t="shared" si="141"/>
        <v>32835</v>
      </c>
      <c r="F226" s="188">
        <f t="shared" si="141"/>
        <v>270963</v>
      </c>
      <c r="G226" s="188">
        <f t="shared" si="141"/>
        <v>97760.559208642226</v>
      </c>
      <c r="H226" s="188">
        <f t="shared" si="141"/>
        <v>109823.42744840262</v>
      </c>
      <c r="I226" s="188">
        <f t="shared" si="141"/>
        <v>118834.84735504421</v>
      </c>
      <c r="J226" s="188">
        <f t="shared" si="141"/>
        <v>133116.6111639447</v>
      </c>
      <c r="K226" s="188">
        <f t="shared" si="141"/>
        <v>153948.54183270526</v>
      </c>
    </row>
    <row r="227" spans="3:11" x14ac:dyDescent="0.25">
      <c r="C227" s="17" t="s">
        <v>257</v>
      </c>
      <c r="D227" s="188"/>
      <c r="E227" s="188">
        <f>AVERAGE(D226,E226)</f>
        <v>41433</v>
      </c>
      <c r="F227" s="188">
        <f t="shared" ref="F227:K227" si="142">AVERAGE(E226,F226)</f>
        <v>151899</v>
      </c>
      <c r="G227" s="188">
        <f t="shared" si="142"/>
        <v>184361.77960432111</v>
      </c>
      <c r="H227" s="188">
        <f t="shared" si="142"/>
        <v>103791.99332852243</v>
      </c>
      <c r="I227" s="188">
        <f t="shared" si="142"/>
        <v>114329.13740172342</v>
      </c>
      <c r="J227" s="188">
        <f t="shared" si="142"/>
        <v>125975.72925949446</v>
      </c>
      <c r="K227" s="188">
        <f t="shared" si="142"/>
        <v>143532.57649832498</v>
      </c>
    </row>
    <row r="228" spans="3:11" x14ac:dyDescent="0.25">
      <c r="C228" s="17" t="s">
        <v>258</v>
      </c>
      <c r="D228" s="188"/>
      <c r="E228" s="1">
        <f>E231/E227</f>
        <v>8.7852677817198854E-2</v>
      </c>
      <c r="F228" s="1">
        <f t="shared" ref="F228" si="143">F231/F227</f>
        <v>2.9921197637904132E-2</v>
      </c>
      <c r="G228" s="214">
        <f>F228</f>
        <v>2.9921197637904132E-2</v>
      </c>
      <c r="H228" s="214">
        <f>G228</f>
        <v>2.9921197637904132E-2</v>
      </c>
      <c r="I228" s="214">
        <f t="shared" ref="I228:K228" si="144">H228</f>
        <v>2.9921197637904132E-2</v>
      </c>
      <c r="J228" s="214">
        <f t="shared" si="144"/>
        <v>2.9921197637904132E-2</v>
      </c>
      <c r="K228" s="214">
        <f t="shared" si="144"/>
        <v>2.9921197637904132E-2</v>
      </c>
    </row>
    <row r="229" spans="3:11" x14ac:dyDescent="0.25">
      <c r="C229" s="17"/>
      <c r="D229" s="261"/>
      <c r="E229" s="210"/>
      <c r="F229" s="210"/>
      <c r="G229" s="211"/>
      <c r="H229" s="211"/>
      <c r="I229" s="211"/>
      <c r="J229" s="211"/>
      <c r="K229" s="211"/>
    </row>
    <row r="230" spans="3:11" x14ac:dyDescent="0.25">
      <c r="C230" s="6" t="s">
        <v>212</v>
      </c>
      <c r="D230" s="19">
        <f t="shared" ref="D230:F231" si="145">D23</f>
        <v>-47258</v>
      </c>
      <c r="E230" s="19">
        <f t="shared" si="145"/>
        <v>-51880</v>
      </c>
      <c r="F230" s="19">
        <f t="shared" si="145"/>
        <v>-52114</v>
      </c>
      <c r="G230" s="188">
        <f>(G223*F222)</f>
        <v>-52511.837275513499</v>
      </c>
      <c r="H230" s="188">
        <f t="shared" ref="H230:K230" si="146">(H223*G222)</f>
        <v>-49716.371100854034</v>
      </c>
      <c r="I230" s="188">
        <f t="shared" si="146"/>
        <v>-47309.344109642814</v>
      </c>
      <c r="J230" s="188">
        <f t="shared" si="146"/>
        <v>-44761.693707867678</v>
      </c>
      <c r="K230" s="188">
        <f t="shared" si="146"/>
        <v>-42064.161057858197</v>
      </c>
    </row>
    <row r="231" spans="3:11" x14ac:dyDescent="0.25">
      <c r="C231" s="6" t="s">
        <v>226</v>
      </c>
      <c r="D231" s="19">
        <f t="shared" si="145"/>
        <v>4377</v>
      </c>
      <c r="E231" s="19">
        <f t="shared" si="145"/>
        <v>3640</v>
      </c>
      <c r="F231" s="19">
        <f t="shared" si="145"/>
        <v>4545</v>
      </c>
      <c r="G231" s="188">
        <f>F227*G228</f>
        <v>4545</v>
      </c>
      <c r="H231" s="188">
        <f t="shared" ref="H231:K231" si="147">G227*H228</f>
        <v>5516.3252444166155</v>
      </c>
      <c r="I231" s="188">
        <f t="shared" si="147"/>
        <v>3105.5807456147468</v>
      </c>
      <c r="J231" s="188">
        <f t="shared" si="147"/>
        <v>3420.8647159680636</v>
      </c>
      <c r="K231" s="188">
        <f t="shared" si="147"/>
        <v>3769.344692752436</v>
      </c>
    </row>
    <row r="233" spans="3:11" x14ac:dyDescent="0.25">
      <c r="C233" s="13" t="s">
        <v>167</v>
      </c>
    </row>
    <row r="234" spans="3:11" x14ac:dyDescent="0.25">
      <c r="C234" s="48" t="s">
        <v>42</v>
      </c>
      <c r="D234" s="49">
        <f t="shared" ref="D234:K234" si="148">D$13</f>
        <v>2023</v>
      </c>
      <c r="E234" s="49">
        <f t="shared" si="148"/>
        <v>2024</v>
      </c>
      <c r="F234" s="49">
        <f t="shared" si="148"/>
        <v>2025</v>
      </c>
      <c r="G234" s="50">
        <f t="shared" si="148"/>
        <v>2026</v>
      </c>
      <c r="H234" s="50">
        <f t="shared" si="148"/>
        <v>2027</v>
      </c>
      <c r="I234" s="50">
        <f t="shared" si="148"/>
        <v>2028</v>
      </c>
      <c r="J234" s="50">
        <f t="shared" si="148"/>
        <v>2029</v>
      </c>
      <c r="K234" s="50">
        <f t="shared" si="148"/>
        <v>2030</v>
      </c>
    </row>
    <row r="235" spans="3:11" x14ac:dyDescent="0.25">
      <c r="C235" s="43" t="s">
        <v>43</v>
      </c>
      <c r="D235" s="255">
        <f t="shared" ref="D235:K235" si="149">D$14</f>
        <v>45291</v>
      </c>
      <c r="E235" s="234">
        <f t="shared" si="149"/>
        <v>45657</v>
      </c>
      <c r="F235" s="234">
        <f t="shared" si="149"/>
        <v>46022</v>
      </c>
      <c r="G235" s="234">
        <f t="shared" si="149"/>
        <v>46387</v>
      </c>
      <c r="H235" s="234">
        <f t="shared" si="149"/>
        <v>46752</v>
      </c>
      <c r="I235" s="234">
        <f t="shared" si="149"/>
        <v>47118</v>
      </c>
      <c r="J235" s="234">
        <f t="shared" si="149"/>
        <v>47483</v>
      </c>
      <c r="K235" s="234">
        <f t="shared" si="149"/>
        <v>47848</v>
      </c>
    </row>
    <row r="237" spans="3:11" x14ac:dyDescent="0.25">
      <c r="C237" s="13" t="s">
        <v>168</v>
      </c>
    </row>
    <row r="238" spans="3:11" x14ac:dyDescent="0.25">
      <c r="C238" s="17" t="s">
        <v>32</v>
      </c>
      <c r="D238" s="19"/>
      <c r="E238" s="188">
        <f>D241</f>
        <v>677497</v>
      </c>
      <c r="F238" s="188">
        <f t="shared" ref="F238:K238" si="150">E241</f>
        <v>657470</v>
      </c>
      <c r="G238" s="188">
        <f t="shared" si="150"/>
        <v>673295</v>
      </c>
      <c r="H238" s="188">
        <f t="shared" si="150"/>
        <v>691491.87561155274</v>
      </c>
      <c r="I238" s="188">
        <f t="shared" si="150"/>
        <v>710802.3239180455</v>
      </c>
      <c r="J238" s="188">
        <f t="shared" si="150"/>
        <v>731338.30708959186</v>
      </c>
      <c r="K238" s="188">
        <f t="shared" si="150"/>
        <v>753123.47986557614</v>
      </c>
    </row>
    <row r="239" spans="3:11" x14ac:dyDescent="0.25">
      <c r="C239" s="17" t="s">
        <v>206</v>
      </c>
      <c r="D239" s="19">
        <f t="shared" ref="D239:K239" si="151">D28</f>
        <v>973043</v>
      </c>
      <c r="E239" s="19">
        <f t="shared" si="151"/>
        <v>973955</v>
      </c>
      <c r="F239" s="19">
        <f t="shared" si="151"/>
        <v>1049192</v>
      </c>
      <c r="G239" s="19">
        <f t="shared" si="151"/>
        <v>1110517.4683943796</v>
      </c>
      <c r="H239" s="19">
        <f t="shared" si="151"/>
        <v>1178476.4936939115</v>
      </c>
      <c r="I239" s="19">
        <f t="shared" si="151"/>
        <v>1253268.3373499955</v>
      </c>
      <c r="J239" s="19">
        <f t="shared" si="151"/>
        <v>1329503.7805479588</v>
      </c>
      <c r="K239" s="19">
        <f t="shared" si="151"/>
        <v>1402869.8468891943</v>
      </c>
    </row>
    <row r="240" spans="3:11" x14ac:dyDescent="0.25">
      <c r="C240" s="17" t="s">
        <v>169</v>
      </c>
      <c r="D240" s="242">
        <v>990000</v>
      </c>
      <c r="E240" s="191">
        <v>996000</v>
      </c>
      <c r="F240" s="191">
        <v>1032000</v>
      </c>
      <c r="G240" s="188">
        <f>G243*G239</f>
        <v>1092320.5927828269</v>
      </c>
      <c r="H240" s="188">
        <f t="shared" ref="H240:K240" si="152">H243*H239</f>
        <v>1159166.0453874187</v>
      </c>
      <c r="I240" s="188">
        <f t="shared" si="152"/>
        <v>1232732.3541784491</v>
      </c>
      <c r="J240" s="188">
        <f t="shared" si="152"/>
        <v>1307718.6077719745</v>
      </c>
      <c r="K240" s="188">
        <f t="shared" si="152"/>
        <v>1379882.5019535495</v>
      </c>
    </row>
    <row r="241" spans="3:11" x14ac:dyDescent="0.25">
      <c r="C241" s="17" t="s">
        <v>170</v>
      </c>
      <c r="D241" s="19">
        <f>D87</f>
        <v>677497</v>
      </c>
      <c r="E241" s="19">
        <f>E87</f>
        <v>657470</v>
      </c>
      <c r="F241" s="19">
        <f>F87</f>
        <v>673295</v>
      </c>
      <c r="G241" s="188">
        <f>G238+G239-G240</f>
        <v>691491.87561155274</v>
      </c>
      <c r="H241" s="188">
        <f t="shared" ref="H241:K241" si="153">H238+H239-H240</f>
        <v>710802.3239180455</v>
      </c>
      <c r="I241" s="188">
        <f t="shared" si="153"/>
        <v>731338.30708959186</v>
      </c>
      <c r="J241" s="188">
        <f t="shared" si="153"/>
        <v>753123.47986557614</v>
      </c>
      <c r="K241" s="188">
        <f t="shared" si="153"/>
        <v>776110.82480122079</v>
      </c>
    </row>
    <row r="242" spans="3:11" x14ac:dyDescent="0.25">
      <c r="D242" s="19"/>
      <c r="E242" s="188"/>
      <c r="F242" s="188"/>
      <c r="G242" s="188"/>
      <c r="H242" s="188"/>
      <c r="I242" s="188"/>
      <c r="J242" s="188"/>
      <c r="K242" s="188"/>
    </row>
    <row r="243" spans="3:11" x14ac:dyDescent="0.25">
      <c r="C243" s="6" t="s">
        <v>207</v>
      </c>
      <c r="D243" s="22">
        <f>D240/D239</f>
        <v>1.0174267735341604</v>
      </c>
      <c r="E243" s="22">
        <f t="shared" ref="E243:F243" si="154">E240/E239</f>
        <v>1.0226345159683969</v>
      </c>
      <c r="F243" s="22">
        <f t="shared" si="154"/>
        <v>0.98361405729361262</v>
      </c>
      <c r="G243" s="214">
        <f>F243</f>
        <v>0.98361405729361262</v>
      </c>
      <c r="H243" s="214">
        <f>G243</f>
        <v>0.98361405729361262</v>
      </c>
      <c r="I243" s="214">
        <f t="shared" ref="I243:K243" si="155">H243</f>
        <v>0.98361405729361262</v>
      </c>
      <c r="J243" s="214">
        <f t="shared" si="155"/>
        <v>0.98361405729361262</v>
      </c>
      <c r="K243" s="214">
        <f t="shared" si="155"/>
        <v>0.98361405729361262</v>
      </c>
    </row>
    <row r="245" spans="3:11" x14ac:dyDescent="0.25">
      <c r="C245" s="13" t="s">
        <v>274</v>
      </c>
    </row>
    <row r="246" spans="3:11" x14ac:dyDescent="0.25">
      <c r="C246" s="48" t="s">
        <v>42</v>
      </c>
      <c r="D246" s="49">
        <f t="shared" ref="D246:K246" si="156">D$13</f>
        <v>2023</v>
      </c>
      <c r="E246" s="49">
        <f t="shared" si="156"/>
        <v>2024</v>
      </c>
      <c r="F246" s="49">
        <f t="shared" si="156"/>
        <v>2025</v>
      </c>
      <c r="G246" s="50">
        <f t="shared" si="156"/>
        <v>2026</v>
      </c>
      <c r="H246" s="50">
        <f t="shared" si="156"/>
        <v>2027</v>
      </c>
      <c r="I246" s="50">
        <f t="shared" si="156"/>
        <v>2028</v>
      </c>
      <c r="J246" s="50">
        <f t="shared" si="156"/>
        <v>2029</v>
      </c>
      <c r="K246" s="50">
        <f t="shared" si="156"/>
        <v>2030</v>
      </c>
    </row>
    <row r="247" spans="3:11" x14ac:dyDescent="0.25">
      <c r="C247" s="43" t="s">
        <v>43</v>
      </c>
      <c r="D247" s="255">
        <f t="shared" ref="D247:K247" si="157">D$14</f>
        <v>45291</v>
      </c>
      <c r="E247" s="234">
        <f t="shared" si="157"/>
        <v>45657</v>
      </c>
      <c r="F247" s="234">
        <f t="shared" si="157"/>
        <v>46022</v>
      </c>
      <c r="G247" s="234">
        <f t="shared" si="157"/>
        <v>46387</v>
      </c>
      <c r="H247" s="234">
        <f t="shared" si="157"/>
        <v>46752</v>
      </c>
      <c r="I247" s="234">
        <f t="shared" si="157"/>
        <v>47118</v>
      </c>
      <c r="J247" s="234">
        <f t="shared" si="157"/>
        <v>47483</v>
      </c>
      <c r="K247" s="234">
        <f t="shared" si="157"/>
        <v>47848</v>
      </c>
    </row>
    <row r="248" spans="3:11" x14ac:dyDescent="0.25">
      <c r="C248" s="245"/>
      <c r="D248" s="262"/>
      <c r="E248" s="246"/>
      <c r="F248" s="246"/>
      <c r="G248" s="246"/>
      <c r="H248" s="246"/>
      <c r="I248" s="246"/>
      <c r="J248" s="246"/>
      <c r="K248" s="246"/>
    </row>
    <row r="249" spans="3:11" x14ac:dyDescent="0.25">
      <c r="C249" s="6" t="s">
        <v>186</v>
      </c>
      <c r="D249" s="19"/>
      <c r="E249" s="188">
        <f>D252</f>
        <v>583038</v>
      </c>
      <c r="F249" s="188">
        <f t="shared" ref="F249:G249" si="158">E252</f>
        <v>627402</v>
      </c>
      <c r="G249" s="188">
        <f t="shared" si="158"/>
        <v>614696</v>
      </c>
      <c r="H249" s="188">
        <f t="shared" ref="H249:K249" si="159">G252</f>
        <v>573621.34825276188</v>
      </c>
      <c r="I249" s="188">
        <f t="shared" si="159"/>
        <v>530266.76315074565</v>
      </c>
      <c r="J249" s="188">
        <f t="shared" si="159"/>
        <v>484259.58373331488</v>
      </c>
      <c r="K249" s="188">
        <f t="shared" si="159"/>
        <v>435647.70659349323</v>
      </c>
    </row>
    <row r="250" spans="3:11" x14ac:dyDescent="0.25">
      <c r="C250" s="6" t="s">
        <v>209</v>
      </c>
      <c r="D250" s="242">
        <v>43212</v>
      </c>
      <c r="E250" s="191">
        <v>125450</v>
      </c>
      <c r="F250" s="191">
        <v>60570</v>
      </c>
      <c r="G250" s="188">
        <f>G253*G16</f>
        <v>84971.196407170937</v>
      </c>
      <c r="H250" s="188">
        <f>H253*H16</f>
        <v>89687.698109394973</v>
      </c>
      <c r="I250" s="188">
        <f>I253*I16</f>
        <v>95175.124124608759</v>
      </c>
      <c r="J250" s="188">
        <f>J253*J16</f>
        <v>100563.46638281076</v>
      </c>
      <c r="K250" s="188">
        <f>K253*K16</f>
        <v>105728.2026956021</v>
      </c>
    </row>
    <row r="251" spans="3:11" x14ac:dyDescent="0.25">
      <c r="C251" s="6" t="s">
        <v>187</v>
      </c>
      <c r="D251" s="242">
        <v>109836</v>
      </c>
      <c r="E251" s="191">
        <v>112952</v>
      </c>
      <c r="F251" s="191">
        <v>119066</v>
      </c>
      <c r="G251" s="188">
        <f>G254*G16</f>
        <v>126045.8481544091</v>
      </c>
      <c r="H251" s="188">
        <f>H254*H16</f>
        <v>133042.28321141124</v>
      </c>
      <c r="I251" s="188">
        <f>I254*I16</f>
        <v>141182.30354203962</v>
      </c>
      <c r="J251" s="188">
        <f>J254*J16</f>
        <v>149175.34352263235</v>
      </c>
      <c r="K251" s="188">
        <f>K254*K16</f>
        <v>156836.68756114849</v>
      </c>
    </row>
    <row r="252" spans="3:11" x14ac:dyDescent="0.25">
      <c r="C252" s="6" t="s">
        <v>188</v>
      </c>
      <c r="D252" s="19">
        <f>D56</f>
        <v>583038</v>
      </c>
      <c r="E252" s="19">
        <f>E56</f>
        <v>627402</v>
      </c>
      <c r="F252" s="19">
        <f>F56</f>
        <v>614696</v>
      </c>
      <c r="G252" s="188">
        <f>G249+G250-G251</f>
        <v>573621.34825276188</v>
      </c>
      <c r="H252" s="188">
        <f t="shared" ref="H252:K252" si="160">H249+H250-H251</f>
        <v>530266.76315074565</v>
      </c>
      <c r="I252" s="188">
        <f t="shared" si="160"/>
        <v>484259.58373331488</v>
      </c>
      <c r="J252" s="188">
        <f t="shared" si="160"/>
        <v>435647.70659349323</v>
      </c>
      <c r="K252" s="188">
        <f t="shared" si="160"/>
        <v>384539.22172794683</v>
      </c>
    </row>
    <row r="253" spans="3:11" x14ac:dyDescent="0.25">
      <c r="C253" s="6" t="s">
        <v>184</v>
      </c>
      <c r="D253" s="22">
        <f>D250/D16</f>
        <v>4.0785587884154661E-3</v>
      </c>
      <c r="E253" s="22">
        <f>E250/E16</f>
        <v>1.1813437523865827E-2</v>
      </c>
      <c r="F253" s="22">
        <f>F250/F16</f>
        <v>5.3294487104573072E-3</v>
      </c>
      <c r="G253" s="214">
        <f>AVERAGE(D253:F253)</f>
        <v>7.073815007579534E-3</v>
      </c>
      <c r="H253" s="214">
        <f t="shared" ref="H253:K254" si="161">G253</f>
        <v>7.073815007579534E-3</v>
      </c>
      <c r="I253" s="214">
        <f t="shared" si="161"/>
        <v>7.073815007579534E-3</v>
      </c>
      <c r="J253" s="214">
        <f t="shared" si="161"/>
        <v>7.073815007579534E-3</v>
      </c>
      <c r="K253" s="214">
        <f t="shared" si="161"/>
        <v>7.073815007579534E-3</v>
      </c>
    </row>
    <row r="254" spans="3:11" x14ac:dyDescent="0.25">
      <c r="C254" s="6" t="s">
        <v>192</v>
      </c>
      <c r="D254" s="22">
        <f>D251/D16</f>
        <v>1.0366856037313734E-2</v>
      </c>
      <c r="E254" s="22">
        <f>E251/E16</f>
        <v>1.06365196906791E-2</v>
      </c>
      <c r="F254" s="22">
        <f>F251/F16</f>
        <v>1.0476409776445596E-2</v>
      </c>
      <c r="G254" s="214">
        <f>AVERAGE(D254:F254)</f>
        <v>1.0493261834812811E-2</v>
      </c>
      <c r="H254" s="214">
        <f t="shared" si="161"/>
        <v>1.0493261834812811E-2</v>
      </c>
      <c r="I254" s="214">
        <f t="shared" si="161"/>
        <v>1.0493261834812811E-2</v>
      </c>
      <c r="J254" s="214">
        <f t="shared" si="161"/>
        <v>1.0493261834812811E-2</v>
      </c>
      <c r="K254" s="214">
        <f t="shared" si="161"/>
        <v>1.0493261834812811E-2</v>
      </c>
    </row>
    <row r="256" spans="3:11" x14ac:dyDescent="0.25">
      <c r="C256" s="13" t="s">
        <v>241</v>
      </c>
    </row>
    <row r="257" spans="3:11" x14ac:dyDescent="0.25">
      <c r="C257" s="48" t="s">
        <v>42</v>
      </c>
      <c r="D257" s="49">
        <f t="shared" ref="D257:K257" si="162">D$13</f>
        <v>2023</v>
      </c>
      <c r="E257" s="49">
        <f t="shared" si="162"/>
        <v>2024</v>
      </c>
      <c r="F257" s="49">
        <f t="shared" si="162"/>
        <v>2025</v>
      </c>
      <c r="G257" s="50">
        <f t="shared" si="162"/>
        <v>2026</v>
      </c>
      <c r="H257" s="50">
        <f t="shared" si="162"/>
        <v>2027</v>
      </c>
      <c r="I257" s="50">
        <f t="shared" si="162"/>
        <v>2028</v>
      </c>
      <c r="J257" s="50">
        <f t="shared" si="162"/>
        <v>2029</v>
      </c>
      <c r="K257" s="50">
        <f t="shared" si="162"/>
        <v>2030</v>
      </c>
    </row>
    <row r="258" spans="3:11" x14ac:dyDescent="0.25">
      <c r="C258" s="43" t="s">
        <v>43</v>
      </c>
      <c r="D258" s="255">
        <f t="shared" ref="D258:K258" si="163">D$14</f>
        <v>45291</v>
      </c>
      <c r="E258" s="234">
        <f t="shared" si="163"/>
        <v>45657</v>
      </c>
      <c r="F258" s="234">
        <f t="shared" si="163"/>
        <v>46022</v>
      </c>
      <c r="G258" s="234">
        <f t="shared" si="163"/>
        <v>46387</v>
      </c>
      <c r="H258" s="234">
        <f t="shared" si="163"/>
        <v>46752</v>
      </c>
      <c r="I258" s="234">
        <f t="shared" si="163"/>
        <v>47118</v>
      </c>
      <c r="J258" s="234">
        <f t="shared" si="163"/>
        <v>47483</v>
      </c>
      <c r="K258" s="234">
        <f t="shared" si="163"/>
        <v>47848</v>
      </c>
    </row>
    <row r="260" spans="3:11" x14ac:dyDescent="0.25">
      <c r="C260" s="6" t="s">
        <v>32</v>
      </c>
      <c r="D260" s="19">
        <v>163466</v>
      </c>
      <c r="E260" s="188">
        <f>D263</f>
        <v>178265</v>
      </c>
      <c r="F260" s="188">
        <f t="shared" ref="F260:G260" si="164">E263</f>
        <v>185315</v>
      </c>
      <c r="G260" s="188">
        <f t="shared" si="164"/>
        <v>212936</v>
      </c>
      <c r="H260" s="188">
        <f t="shared" ref="H260:K260" si="165">G263</f>
        <v>232636.04948445948</v>
      </c>
      <c r="I260" s="188">
        <f t="shared" si="165"/>
        <v>254158.6745300742</v>
      </c>
      <c r="J260" s="188">
        <f t="shared" si="165"/>
        <v>277672.49307248648</v>
      </c>
      <c r="K260" s="188">
        <f t="shared" si="165"/>
        <v>303361.72295377112</v>
      </c>
    </row>
    <row r="261" spans="3:11" x14ac:dyDescent="0.25">
      <c r="C261" s="6" t="s">
        <v>194</v>
      </c>
      <c r="D261" s="242">
        <v>26934</v>
      </c>
      <c r="E261" s="191">
        <v>28041</v>
      </c>
      <c r="F261" s="191">
        <v>34037</v>
      </c>
      <c r="G261" s="188">
        <f>G264*G260</f>
        <v>35896.664375630826</v>
      </c>
      <c r="H261" s="188">
        <f t="shared" ref="H261:K261" si="166">H264*H260</f>
        <v>39217.690714657387</v>
      </c>
      <c r="I261" s="188">
        <f t="shared" si="166"/>
        <v>42845.966101369726</v>
      </c>
      <c r="J261" s="188">
        <f t="shared" si="166"/>
        <v>46809.91607885807</v>
      </c>
      <c r="K261" s="188">
        <f t="shared" si="166"/>
        <v>51140.596016101663</v>
      </c>
    </row>
    <row r="262" spans="3:11" x14ac:dyDescent="0.25">
      <c r="C262" s="6" t="s">
        <v>208</v>
      </c>
      <c r="D262" s="242">
        <v>13038</v>
      </c>
      <c r="E262" s="191">
        <v>18973</v>
      </c>
      <c r="F262" s="191">
        <v>7783</v>
      </c>
      <c r="G262" s="188">
        <f>G265*G260</f>
        <v>16196.614891171332</v>
      </c>
      <c r="H262" s="188">
        <f t="shared" ref="H262:K262" si="167">H265*H260</f>
        <v>17695.065669042659</v>
      </c>
      <c r="I262" s="188">
        <f t="shared" si="167"/>
        <v>19332.147558957469</v>
      </c>
      <c r="J262" s="188">
        <f t="shared" si="167"/>
        <v>21120.686197573465</v>
      </c>
      <c r="K262" s="188">
        <f t="shared" si="167"/>
        <v>23074.693801914385</v>
      </c>
    </row>
    <row r="263" spans="3:11" x14ac:dyDescent="0.25">
      <c r="C263" s="6" t="s">
        <v>35</v>
      </c>
      <c r="D263" s="19">
        <f>D76</f>
        <v>178265</v>
      </c>
      <c r="E263" s="19">
        <f>E76</f>
        <v>185315</v>
      </c>
      <c r="F263" s="19">
        <f>F76</f>
        <v>212936</v>
      </c>
      <c r="G263" s="188">
        <f>G260+G261-G262</f>
        <v>232636.04948445948</v>
      </c>
      <c r="H263" s="188">
        <f t="shared" ref="H263:K263" si="168">H260+H261-H262</f>
        <v>254158.6745300742</v>
      </c>
      <c r="I263" s="188">
        <f t="shared" si="168"/>
        <v>277672.49307248648</v>
      </c>
      <c r="J263" s="188">
        <f t="shared" si="168"/>
        <v>303361.72295377112</v>
      </c>
      <c r="K263" s="188">
        <f t="shared" si="168"/>
        <v>331427.62516795838</v>
      </c>
    </row>
    <row r="264" spans="3:11" x14ac:dyDescent="0.25">
      <c r="C264" s="6" t="s">
        <v>195</v>
      </c>
      <c r="D264" s="261">
        <f>D261/D260</f>
        <v>0.16476820867948075</v>
      </c>
      <c r="E264" s="261">
        <f t="shared" ref="E264:F264" si="169">E261/E260</f>
        <v>0.157299525986593</v>
      </c>
      <c r="F264" s="261">
        <f t="shared" si="169"/>
        <v>0.18367104659633596</v>
      </c>
      <c r="G264" s="214">
        <f t="shared" ref="G264:G265" si="170">AVERAGE(D264:F264)</f>
        <v>0.16857959375413656</v>
      </c>
      <c r="H264" s="214">
        <f t="shared" ref="H264:H265" si="171">G264</f>
        <v>0.16857959375413656</v>
      </c>
      <c r="I264" s="214">
        <f t="shared" ref="I264:I265" si="172">H264</f>
        <v>0.16857959375413656</v>
      </c>
      <c r="J264" s="214">
        <f t="shared" ref="J264:J265" si="173">I264</f>
        <v>0.16857959375413656</v>
      </c>
      <c r="K264" s="214">
        <f t="shared" ref="K264:K265" si="174">J264</f>
        <v>0.16857959375413656</v>
      </c>
    </row>
    <row r="265" spans="3:11" x14ac:dyDescent="0.25">
      <c r="C265" s="6" t="s">
        <v>196</v>
      </c>
      <c r="D265" s="261">
        <f>D262/D260</f>
        <v>7.9759705382158985E-2</v>
      </c>
      <c r="E265" s="261">
        <f t="shared" ref="E265:F265" si="175">E262/E260</f>
        <v>0.10643143634476762</v>
      </c>
      <c r="F265" s="261">
        <f t="shared" si="175"/>
        <v>4.1998758870032106E-2</v>
      </c>
      <c r="G265" s="214">
        <f t="shared" si="170"/>
        <v>7.6063300198986231E-2</v>
      </c>
      <c r="H265" s="214">
        <f t="shared" si="171"/>
        <v>7.6063300198986231E-2</v>
      </c>
      <c r="I265" s="214">
        <f t="shared" si="172"/>
        <v>7.6063300198986231E-2</v>
      </c>
      <c r="J265" s="214">
        <f t="shared" si="173"/>
        <v>7.6063300198986231E-2</v>
      </c>
      <c r="K265" s="214">
        <f t="shared" si="174"/>
        <v>7.6063300198986231E-2</v>
      </c>
    </row>
    <row r="267" spans="3:11" x14ac:dyDescent="0.25">
      <c r="C267" s="13" t="s">
        <v>233</v>
      </c>
    </row>
    <row r="268" spans="3:11" x14ac:dyDescent="0.25">
      <c r="C268" s="48" t="s">
        <v>42</v>
      </c>
      <c r="D268" s="49">
        <f t="shared" ref="D268:K268" si="176">D$13</f>
        <v>2023</v>
      </c>
      <c r="E268" s="49">
        <f t="shared" si="176"/>
        <v>2024</v>
      </c>
      <c r="F268" s="49">
        <f t="shared" si="176"/>
        <v>2025</v>
      </c>
      <c r="G268" s="50">
        <f t="shared" si="176"/>
        <v>2026</v>
      </c>
      <c r="H268" s="50">
        <f t="shared" si="176"/>
        <v>2027</v>
      </c>
      <c r="I268" s="50">
        <f t="shared" si="176"/>
        <v>2028</v>
      </c>
      <c r="J268" s="50">
        <f t="shared" si="176"/>
        <v>2029</v>
      </c>
      <c r="K268" s="50">
        <f t="shared" si="176"/>
        <v>2030</v>
      </c>
    </row>
    <row r="269" spans="3:11" x14ac:dyDescent="0.25">
      <c r="C269" s="43" t="s">
        <v>43</v>
      </c>
      <c r="D269" s="255">
        <f t="shared" ref="D269:K269" si="177">D$14</f>
        <v>45291</v>
      </c>
      <c r="E269" s="234">
        <f t="shared" si="177"/>
        <v>45657</v>
      </c>
      <c r="F269" s="234">
        <f t="shared" si="177"/>
        <v>46022</v>
      </c>
      <c r="G269" s="234">
        <f t="shared" si="177"/>
        <v>46387</v>
      </c>
      <c r="H269" s="234">
        <f t="shared" si="177"/>
        <v>46752</v>
      </c>
      <c r="I269" s="234">
        <f t="shared" si="177"/>
        <v>47118</v>
      </c>
      <c r="J269" s="234">
        <f t="shared" si="177"/>
        <v>47483</v>
      </c>
      <c r="K269" s="234">
        <f t="shared" si="177"/>
        <v>47848</v>
      </c>
    </row>
    <row r="270" spans="3:11" x14ac:dyDescent="0.25">
      <c r="C270" s="245"/>
      <c r="D270" s="262"/>
      <c r="E270" s="246"/>
      <c r="F270" s="246"/>
      <c r="G270" s="246"/>
      <c r="H270" s="246"/>
      <c r="I270" s="246"/>
      <c r="J270" s="246"/>
      <c r="K270" s="246"/>
    </row>
    <row r="271" spans="3:11" x14ac:dyDescent="0.25">
      <c r="C271" s="230" t="s">
        <v>32</v>
      </c>
      <c r="D271" s="19"/>
      <c r="E271" s="188">
        <f>D274</f>
        <v>281046</v>
      </c>
      <c r="F271" s="188">
        <f t="shared" ref="F271:G271" si="178">E274</f>
        <v>260762</v>
      </c>
      <c r="G271" s="188">
        <f t="shared" si="178"/>
        <v>240591</v>
      </c>
      <c r="H271" s="188">
        <f t="shared" ref="H271" si="179">G274</f>
        <v>226938.94872988225</v>
      </c>
      <c r="I271" s="188">
        <f t="shared" ref="I271" si="180">H274</f>
        <v>212529.11216572425</v>
      </c>
      <c r="J271" s="188">
        <f t="shared" ref="J271" si="181">I274</f>
        <v>197237.62835557837</v>
      </c>
      <c r="K271" s="188">
        <f t="shared" ref="K271" si="182">J274</f>
        <v>181080.41677084149</v>
      </c>
    </row>
    <row r="272" spans="3:11" x14ac:dyDescent="0.25">
      <c r="C272" s="230" t="s">
        <v>209</v>
      </c>
      <c r="D272" s="242">
        <v>3980</v>
      </c>
      <c r="E272" s="242">
        <v>393</v>
      </c>
      <c r="F272" s="242">
        <v>0</v>
      </c>
      <c r="G272" s="188">
        <f>F272</f>
        <v>0</v>
      </c>
      <c r="H272" s="188">
        <f t="shared" ref="H272:K272" si="183">G272</f>
        <v>0</v>
      </c>
      <c r="I272" s="188">
        <f t="shared" si="183"/>
        <v>0</v>
      </c>
      <c r="J272" s="188">
        <f t="shared" si="183"/>
        <v>0</v>
      </c>
      <c r="K272" s="188">
        <f t="shared" si="183"/>
        <v>0</v>
      </c>
    </row>
    <row r="273" spans="3:11" x14ac:dyDescent="0.25">
      <c r="C273" s="230" t="s">
        <v>259</v>
      </c>
      <c r="D273" s="242">
        <f>6288+6432</f>
        <v>12720</v>
      </c>
      <c r="E273" s="242">
        <f>5816+6452</f>
        <v>12268</v>
      </c>
      <c r="F273" s="242">
        <f>5671+6305</f>
        <v>11976</v>
      </c>
      <c r="G273" s="188">
        <f>G277*G16</f>
        <v>13652.051270117741</v>
      </c>
      <c r="H273" s="188">
        <f>H277*H16</f>
        <v>14409.836564157997</v>
      </c>
      <c r="I273" s="188">
        <f>I277*I16</f>
        <v>15291.483810145864</v>
      </c>
      <c r="J273" s="188">
        <f>J277*J16</f>
        <v>16157.211584736873</v>
      </c>
      <c r="K273" s="188">
        <f>K277*K16</f>
        <v>16987.01330485148</v>
      </c>
    </row>
    <row r="274" spans="3:11" x14ac:dyDescent="0.25">
      <c r="C274" s="230" t="s">
        <v>35</v>
      </c>
      <c r="D274" s="19">
        <f>D55</f>
        <v>281046</v>
      </c>
      <c r="E274" s="19">
        <f>E55</f>
        <v>260762</v>
      </c>
      <c r="F274" s="19">
        <f>F55</f>
        <v>240591</v>
      </c>
      <c r="G274" s="188">
        <f>G271+G272-G273</f>
        <v>226938.94872988225</v>
      </c>
      <c r="H274" s="188">
        <f t="shared" ref="H274:K274" si="184">H271+H272-H273</f>
        <v>212529.11216572425</v>
      </c>
      <c r="I274" s="188">
        <f t="shared" si="184"/>
        <v>197237.62835557837</v>
      </c>
      <c r="J274" s="188">
        <f t="shared" si="184"/>
        <v>181080.41677084149</v>
      </c>
      <c r="K274" s="188">
        <f t="shared" si="184"/>
        <v>164093.40346599001</v>
      </c>
    </row>
    <row r="276" spans="3:11" x14ac:dyDescent="0.25">
      <c r="C276" s="6" t="s">
        <v>184</v>
      </c>
      <c r="D276" s="272">
        <f>D272/D16</f>
        <v>3.7565176288747467E-4</v>
      </c>
      <c r="E276" s="272">
        <f>E272/E16</f>
        <v>3.7008217990269196E-5</v>
      </c>
      <c r="F276" s="272">
        <f>F272/F16</f>
        <v>0</v>
      </c>
      <c r="G276" s="214">
        <f>AVERAGE(D276:F276)</f>
        <v>1.3755332695924795E-4</v>
      </c>
      <c r="H276" s="214">
        <f>G276</f>
        <v>1.3755332695924795E-4</v>
      </c>
      <c r="I276" s="214">
        <f t="shared" ref="I276:K276" si="185">H276</f>
        <v>1.3755332695924795E-4</v>
      </c>
      <c r="J276" s="214">
        <f t="shared" si="185"/>
        <v>1.3755332695924795E-4</v>
      </c>
      <c r="K276" s="214">
        <f t="shared" si="185"/>
        <v>1.3755332695924795E-4</v>
      </c>
    </row>
    <row r="277" spans="3:11" x14ac:dyDescent="0.25">
      <c r="C277" s="6" t="s">
        <v>260</v>
      </c>
      <c r="D277" s="272">
        <f>D273/D16</f>
        <v>1.2005754833991653E-3</v>
      </c>
      <c r="E277" s="272">
        <f>E273/E16</f>
        <v>1.1552590796555279E-3</v>
      </c>
      <c r="F277" s="272">
        <f>F273/F16</f>
        <v>1.0537473626619897E-3</v>
      </c>
      <c r="G277" s="214">
        <f t="shared" ref="G277" si="186">AVERAGE(D277:F277)</f>
        <v>1.1365273085722277E-3</v>
      </c>
      <c r="H277" s="214">
        <f t="shared" ref="H277:K277" si="187">G277</f>
        <v>1.1365273085722277E-3</v>
      </c>
      <c r="I277" s="214">
        <f t="shared" si="187"/>
        <v>1.1365273085722277E-3</v>
      </c>
      <c r="J277" s="214">
        <f t="shared" si="187"/>
        <v>1.1365273085722277E-3</v>
      </c>
      <c r="K277" s="214">
        <f t="shared" si="187"/>
        <v>1.1365273085722277E-3</v>
      </c>
    </row>
    <row r="279" spans="3:11" x14ac:dyDescent="0.25">
      <c r="C279" s="13" t="s">
        <v>185</v>
      </c>
    </row>
    <row r="280" spans="3:11" x14ac:dyDescent="0.25">
      <c r="C280" s="48" t="s">
        <v>42</v>
      </c>
      <c r="D280" s="49">
        <f t="shared" ref="D280:K280" si="188">D$13</f>
        <v>2023</v>
      </c>
      <c r="E280" s="49">
        <f t="shared" si="188"/>
        <v>2024</v>
      </c>
      <c r="F280" s="49">
        <f t="shared" si="188"/>
        <v>2025</v>
      </c>
      <c r="G280" s="50">
        <f t="shared" si="188"/>
        <v>2026</v>
      </c>
      <c r="H280" s="50">
        <f t="shared" si="188"/>
        <v>2027</v>
      </c>
      <c r="I280" s="50">
        <f t="shared" si="188"/>
        <v>2028</v>
      </c>
      <c r="J280" s="50">
        <f t="shared" si="188"/>
        <v>2029</v>
      </c>
      <c r="K280" s="50">
        <f t="shared" si="188"/>
        <v>2030</v>
      </c>
    </row>
    <row r="281" spans="3:11" x14ac:dyDescent="0.25">
      <c r="C281" s="43" t="s">
        <v>43</v>
      </c>
      <c r="D281" s="271">
        <f t="shared" ref="D281:K281" si="189">D$14</f>
        <v>45291</v>
      </c>
      <c r="E281" s="234">
        <f t="shared" si="189"/>
        <v>45657</v>
      </c>
      <c r="F281" s="234">
        <f t="shared" si="189"/>
        <v>46022</v>
      </c>
      <c r="G281" s="234">
        <f t="shared" si="189"/>
        <v>46387</v>
      </c>
      <c r="H281" s="234">
        <f t="shared" si="189"/>
        <v>46752</v>
      </c>
      <c r="I281" s="234">
        <f t="shared" si="189"/>
        <v>47118</v>
      </c>
      <c r="J281" s="234">
        <f t="shared" si="189"/>
        <v>47483</v>
      </c>
      <c r="K281" s="234">
        <f t="shared" si="189"/>
        <v>47848</v>
      </c>
    </row>
    <row r="282" spans="3:11" x14ac:dyDescent="0.25">
      <c r="D282" s="19"/>
      <c r="E282" s="19"/>
      <c r="F282" s="19"/>
      <c r="G282" s="188"/>
      <c r="H282" s="188"/>
      <c r="I282" s="188"/>
      <c r="J282" s="188"/>
      <c r="K282" s="188"/>
    </row>
    <row r="283" spans="3:11" x14ac:dyDescent="0.25">
      <c r="C283" s="6" t="s">
        <v>189</v>
      </c>
      <c r="E283" s="188">
        <f>D288</f>
        <v>708932</v>
      </c>
      <c r="F283" s="188">
        <f t="shared" ref="F283:K283" si="190">E288</f>
        <v>752060</v>
      </c>
      <c r="G283" s="188">
        <f t="shared" si="190"/>
        <v>744240</v>
      </c>
      <c r="H283" s="188">
        <f t="shared" si="190"/>
        <v>709987.29630974703</v>
      </c>
      <c r="I283" s="188">
        <f t="shared" si="190"/>
        <v>673833.32557734591</v>
      </c>
      <c r="J283" s="188">
        <f t="shared" si="190"/>
        <v>635467.32082319667</v>
      </c>
      <c r="K283" s="188">
        <f t="shared" si="190"/>
        <v>594929.22365943319</v>
      </c>
    </row>
    <row r="284" spans="3:11" x14ac:dyDescent="0.25">
      <c r="C284" s="6" t="s">
        <v>265</v>
      </c>
      <c r="D284" s="242">
        <f>D250</f>
        <v>43212</v>
      </c>
      <c r="E284" s="242">
        <f t="shared" ref="E284:K284" si="191">E250</f>
        <v>125450</v>
      </c>
      <c r="F284" s="242">
        <f t="shared" si="191"/>
        <v>60570</v>
      </c>
      <c r="G284" s="242">
        <f t="shared" si="191"/>
        <v>84971.196407170937</v>
      </c>
      <c r="H284" s="242">
        <f t="shared" si="191"/>
        <v>89687.698109394973</v>
      </c>
      <c r="I284" s="242">
        <f t="shared" si="191"/>
        <v>95175.124124608759</v>
      </c>
      <c r="J284" s="242">
        <f t="shared" si="191"/>
        <v>100563.46638281076</v>
      </c>
      <c r="K284" s="242">
        <f t="shared" si="191"/>
        <v>105728.2026956021</v>
      </c>
    </row>
    <row r="285" spans="3:11" x14ac:dyDescent="0.25">
      <c r="C285" s="6" t="s">
        <v>267</v>
      </c>
      <c r="D285" s="191">
        <v>42629</v>
      </c>
      <c r="E285" s="191">
        <v>48209</v>
      </c>
      <c r="F285" s="191">
        <v>47258</v>
      </c>
      <c r="G285" s="188">
        <f t="shared" ref="G285:K285" si="192">G292*G$16</f>
        <v>50937.005267782057</v>
      </c>
      <c r="H285" s="188">
        <f t="shared" si="192"/>
        <v>53764.368918170941</v>
      </c>
      <c r="I285" s="188">
        <f t="shared" si="192"/>
        <v>57053.872416557831</v>
      </c>
      <c r="J285" s="188">
        <f t="shared" si="192"/>
        <v>60283.978965551709</v>
      </c>
      <c r="K285" s="188">
        <f t="shared" si="192"/>
        <v>63380.042242226446</v>
      </c>
    </row>
    <row r="286" spans="3:11" x14ac:dyDescent="0.25">
      <c r="C286" s="6" t="s">
        <v>268</v>
      </c>
      <c r="D286" s="191">
        <v>113107</v>
      </c>
      <c r="E286" s="191">
        <v>107388</v>
      </c>
      <c r="F286" s="191">
        <v>109435</v>
      </c>
      <c r="G286" s="188">
        <f t="shared" ref="G286:K286" si="193">G293*G$16</f>
        <v>121791.02902443355</v>
      </c>
      <c r="H286" s="188">
        <f t="shared" si="193"/>
        <v>128551.29156042017</v>
      </c>
      <c r="I286" s="188">
        <f t="shared" si="193"/>
        <v>136416.53636509296</v>
      </c>
      <c r="J286" s="188">
        <f t="shared" si="193"/>
        <v>144139.76230647654</v>
      </c>
      <c r="K286" s="188">
        <f t="shared" si="193"/>
        <v>151542.48907473977</v>
      </c>
    </row>
    <row r="287" spans="3:11" x14ac:dyDescent="0.25">
      <c r="C287" s="6" t="s">
        <v>269</v>
      </c>
      <c r="D287" s="191">
        <v>39452</v>
      </c>
      <c r="E287" s="191">
        <v>46420</v>
      </c>
      <c r="F287" s="191">
        <v>45294</v>
      </c>
      <c r="G287" s="188">
        <f t="shared" ref="G287:K287" si="194">G294*G$16</f>
        <v>48369.876340772324</v>
      </c>
      <c r="H287" s="188">
        <f t="shared" si="194"/>
        <v>51054.746199546797</v>
      </c>
      <c r="I287" s="188">
        <f t="shared" si="194"/>
        <v>54178.464930222784</v>
      </c>
      <c r="J287" s="188">
        <f t="shared" si="194"/>
        <v>57245.780205649375</v>
      </c>
      <c r="K287" s="188">
        <f t="shared" si="194"/>
        <v>60185.807736688483</v>
      </c>
    </row>
    <row r="288" spans="3:11" x14ac:dyDescent="0.25">
      <c r="C288" s="6" t="s">
        <v>190</v>
      </c>
      <c r="D288" s="19">
        <f>D66+D75</f>
        <v>708932</v>
      </c>
      <c r="E288" s="19">
        <f>E66+E75</f>
        <v>752060</v>
      </c>
      <c r="F288" s="19">
        <f>F66+F75</f>
        <v>744240</v>
      </c>
      <c r="G288" s="188">
        <f>G283+G284+G285-G286-G287</f>
        <v>709987.29630974703</v>
      </c>
      <c r="H288" s="188">
        <f t="shared" ref="H288:K288" si="195">H283+H284+H285-H286-H287</f>
        <v>673833.32557734591</v>
      </c>
      <c r="I288" s="188">
        <f t="shared" si="195"/>
        <v>635467.32082319667</v>
      </c>
      <c r="J288" s="188">
        <f t="shared" si="195"/>
        <v>594929.22365943319</v>
      </c>
      <c r="K288" s="188">
        <f t="shared" si="195"/>
        <v>552309.17178583343</v>
      </c>
    </row>
    <row r="289" spans="3:11" x14ac:dyDescent="0.25">
      <c r="C289" s="6" t="s">
        <v>191</v>
      </c>
      <c r="D289" s="261">
        <f>D66/(D66+D75)</f>
        <v>0.18009484689645833</v>
      </c>
      <c r="E289" s="261">
        <f>E66/(E66+E75)</f>
        <v>0.198739462276946</v>
      </c>
      <c r="F289" s="261">
        <f>F66/(F66+F75)</f>
        <v>0.1994920993227991</v>
      </c>
      <c r="G289" s="211">
        <f>F289</f>
        <v>0.1994920993227991</v>
      </c>
      <c r="H289" s="211">
        <f t="shared" ref="H289:K289" si="196">G289</f>
        <v>0.1994920993227991</v>
      </c>
      <c r="I289" s="211">
        <f t="shared" si="196"/>
        <v>0.1994920993227991</v>
      </c>
      <c r="J289" s="211">
        <f t="shared" si="196"/>
        <v>0.1994920993227991</v>
      </c>
      <c r="K289" s="211">
        <f t="shared" si="196"/>
        <v>0.1994920993227991</v>
      </c>
    </row>
    <row r="290" spans="3:11" x14ac:dyDescent="0.25">
      <c r="D290" s="261"/>
      <c r="E290" s="210"/>
      <c r="F290" s="210"/>
      <c r="G290" s="210"/>
      <c r="H290" s="210"/>
      <c r="I290" s="210"/>
      <c r="J290" s="210"/>
      <c r="K290" s="210"/>
    </row>
    <row r="291" spans="3:11" x14ac:dyDescent="0.25">
      <c r="C291" s="6" t="s">
        <v>266</v>
      </c>
      <c r="D291" s="272">
        <f>D284/D$16</f>
        <v>4.0785587884154661E-3</v>
      </c>
      <c r="E291" s="272">
        <f t="shared" ref="E291:F291" si="197">E284/E$16</f>
        <v>1.1813437523865827E-2</v>
      </c>
      <c r="F291" s="272">
        <f t="shared" si="197"/>
        <v>5.3294487104573072E-3</v>
      </c>
      <c r="G291" s="214">
        <f>AVERAGE(D291:F291)</f>
        <v>7.073815007579534E-3</v>
      </c>
      <c r="H291" s="214">
        <f>G291</f>
        <v>7.073815007579534E-3</v>
      </c>
      <c r="I291" s="214">
        <f t="shared" ref="I291:K291" si="198">H291</f>
        <v>7.073815007579534E-3</v>
      </c>
      <c r="J291" s="214">
        <f t="shared" si="198"/>
        <v>7.073815007579534E-3</v>
      </c>
      <c r="K291" s="214">
        <f t="shared" si="198"/>
        <v>7.073815007579534E-3</v>
      </c>
    </row>
    <row r="292" spans="3:11" x14ac:dyDescent="0.25">
      <c r="C292" s="6" t="s">
        <v>270</v>
      </c>
      <c r="D292" s="272">
        <f t="shared" ref="D292:F292" si="199">D285/D$16</f>
        <v>4.0235324120930045E-3</v>
      </c>
      <c r="E292" s="272">
        <f t="shared" si="199"/>
        <v>4.5397689086333019E-3</v>
      </c>
      <c r="F292" s="272">
        <f t="shared" si="199"/>
        <v>4.1581490367969525E-3</v>
      </c>
      <c r="G292" s="214">
        <f t="shared" ref="G292:G294" si="200">AVERAGE(D292:F292)</f>
        <v>4.2404834525077524E-3</v>
      </c>
      <c r="H292" s="214">
        <f t="shared" ref="H292:K292" si="201">G292</f>
        <v>4.2404834525077524E-3</v>
      </c>
      <c r="I292" s="214">
        <f t="shared" si="201"/>
        <v>4.2404834525077524E-3</v>
      </c>
      <c r="J292" s="214">
        <f t="shared" si="201"/>
        <v>4.2404834525077524E-3</v>
      </c>
      <c r="K292" s="214">
        <f t="shared" si="201"/>
        <v>4.2404834525077524E-3</v>
      </c>
    </row>
    <row r="293" spans="3:11" x14ac:dyDescent="0.25">
      <c r="C293" s="6" t="s">
        <v>271</v>
      </c>
      <c r="D293" s="272">
        <f t="shared" ref="D293:F293" si="202">D286/D$16</f>
        <v>1.0675588930882813E-2</v>
      </c>
      <c r="E293" s="272">
        <f t="shared" si="202"/>
        <v>1.0112566192211268E-2</v>
      </c>
      <c r="F293" s="272">
        <f t="shared" si="202"/>
        <v>9.6289948758278929E-3</v>
      </c>
      <c r="G293" s="214">
        <f t="shared" si="200"/>
        <v>1.0139049999640657E-2</v>
      </c>
      <c r="H293" s="214">
        <f t="shared" ref="H293:K293" si="203">G293</f>
        <v>1.0139049999640657E-2</v>
      </c>
      <c r="I293" s="214">
        <f t="shared" si="203"/>
        <v>1.0139049999640657E-2</v>
      </c>
      <c r="J293" s="214">
        <f t="shared" si="203"/>
        <v>1.0139049999640657E-2</v>
      </c>
      <c r="K293" s="214">
        <f t="shared" si="203"/>
        <v>1.0139049999640657E-2</v>
      </c>
    </row>
    <row r="294" spans="3:11" x14ac:dyDescent="0.25">
      <c r="C294" s="6" t="s">
        <v>272</v>
      </c>
      <c r="D294" s="272">
        <f t="shared" ref="D294:F294" si="204">D287/D$16</f>
        <v>3.7236716958383544E-3</v>
      </c>
      <c r="E294" s="272">
        <f t="shared" si="204"/>
        <v>4.3713014735580046E-3</v>
      </c>
      <c r="F294" s="272">
        <f t="shared" si="204"/>
        <v>3.9853401005688176E-3</v>
      </c>
      <c r="G294" s="214">
        <f t="shared" si="200"/>
        <v>4.0267710899883928E-3</v>
      </c>
      <c r="H294" s="214">
        <f t="shared" ref="H294:K294" si="205">G294</f>
        <v>4.0267710899883928E-3</v>
      </c>
      <c r="I294" s="214">
        <f t="shared" si="205"/>
        <v>4.0267710899883928E-3</v>
      </c>
      <c r="J294" s="214">
        <f t="shared" si="205"/>
        <v>4.0267710899883928E-3</v>
      </c>
      <c r="K294" s="214">
        <f t="shared" si="205"/>
        <v>4.0267710899883928E-3</v>
      </c>
    </row>
    <row r="295" spans="3:11" x14ac:dyDescent="0.25">
      <c r="D295" s="214"/>
      <c r="E295" s="214"/>
      <c r="F295" s="214"/>
    </row>
  </sheetData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BFB8B-B60E-497E-A730-4D15A5E1DAC7}">
  <dimension ref="B1:Q132"/>
  <sheetViews>
    <sheetView showGridLines="0" tabSelected="1" zoomScale="85" zoomScaleNormal="85" workbookViewId="0">
      <selection activeCell="H8" sqref="H8"/>
    </sheetView>
  </sheetViews>
  <sheetFormatPr defaultColWidth="9.140625" defaultRowHeight="15" x14ac:dyDescent="0.25"/>
  <cols>
    <col min="1" max="1" width="1.42578125" style="51" customWidth="1"/>
    <col min="2" max="2" width="54.42578125" style="51" customWidth="1"/>
    <col min="3" max="3" width="16.7109375" style="51" customWidth="1"/>
    <col min="4" max="4" width="15.5703125" style="51" bestFit="1" customWidth="1"/>
    <col min="5" max="9" width="16.42578125" style="51" customWidth="1"/>
    <col min="10" max="10" width="1.7109375" style="51" customWidth="1"/>
    <col min="11" max="11" width="12.140625" style="51" bestFit="1" customWidth="1"/>
    <col min="12" max="16" width="9.42578125" style="51" customWidth="1"/>
    <col min="17" max="16384" width="9.140625" style="51"/>
  </cols>
  <sheetData>
    <row r="1" spans="2:10" ht="15.75" thickBot="1" x14ac:dyDescent="0.3"/>
    <row r="2" spans="2:10" ht="15.75" thickBot="1" x14ac:dyDescent="0.3">
      <c r="B2" s="52" t="s">
        <v>46</v>
      </c>
      <c r="C2" s="53"/>
      <c r="D2" s="53"/>
      <c r="E2" s="53"/>
      <c r="F2" s="53"/>
      <c r="G2" s="53"/>
      <c r="H2" s="53"/>
      <c r="I2" s="53"/>
    </row>
    <row r="3" spans="2:10" x14ac:dyDescent="0.25">
      <c r="B3" s="187" t="str">
        <f>FSM!C3</f>
        <v>All amounts are shown in Saudi riyal, except per-share data, ratios, and shares outstanding</v>
      </c>
    </row>
    <row r="4" spans="2:10" x14ac:dyDescent="0.25">
      <c r="B4" s="51" t="s">
        <v>47</v>
      </c>
      <c r="C4" s="55"/>
      <c r="D4" s="55">
        <v>46022</v>
      </c>
      <c r="F4" s="51" t="s">
        <v>48</v>
      </c>
      <c r="H4" s="56">
        <f>+WACC!E21</f>
        <v>8.1035409776724354E-2</v>
      </c>
      <c r="I4" s="51" t="s">
        <v>49</v>
      </c>
    </row>
    <row r="5" spans="2:10" x14ac:dyDescent="0.25">
      <c r="B5" s="51" t="s">
        <v>50</v>
      </c>
      <c r="C5" s="57"/>
      <c r="D5" s="57">
        <f>EOMONTH(D4,12)</f>
        <v>46387</v>
      </c>
      <c r="F5" s="51" t="s">
        <v>51</v>
      </c>
      <c r="H5" s="249">
        <v>16.34</v>
      </c>
    </row>
    <row r="6" spans="2:10" x14ac:dyDescent="0.25">
      <c r="B6" s="51" t="s">
        <v>52</v>
      </c>
      <c r="C6" s="55"/>
      <c r="D6" s="55">
        <v>46022</v>
      </c>
      <c r="F6" s="51" t="s">
        <v>53</v>
      </c>
      <c r="H6" s="58">
        <v>46202</v>
      </c>
      <c r="J6" s="59"/>
    </row>
    <row r="7" spans="2:10" x14ac:dyDescent="0.25">
      <c r="B7" s="51" t="s">
        <v>54</v>
      </c>
      <c r="C7" s="55"/>
      <c r="D7" s="55">
        <v>46203</v>
      </c>
      <c r="E7" s="59"/>
      <c r="F7" s="216" t="s">
        <v>150</v>
      </c>
      <c r="G7" s="59"/>
      <c r="H7" s="249">
        <f>C73</f>
        <v>23.206287567722299</v>
      </c>
    </row>
    <row r="8" spans="2:10" x14ac:dyDescent="0.25">
      <c r="B8" s="51" t="s">
        <v>55</v>
      </c>
      <c r="C8" s="138"/>
      <c r="D8" s="138">
        <f>YEARFRAC(D7,D5)</f>
        <v>0.5</v>
      </c>
      <c r="F8" s="216" t="s">
        <v>151</v>
      </c>
      <c r="H8" s="210">
        <f>H7/H5-1</f>
        <v>0.42021343743710515</v>
      </c>
    </row>
    <row r="9" spans="2:10" x14ac:dyDescent="0.25">
      <c r="D9" s="61"/>
      <c r="F9" t="s">
        <v>179</v>
      </c>
      <c r="G9"/>
      <c r="H9" s="250">
        <v>1</v>
      </c>
    </row>
    <row r="10" spans="2:10" x14ac:dyDescent="0.25">
      <c r="B10" s="62" t="s">
        <v>56</v>
      </c>
      <c r="C10" s="63"/>
      <c r="D10" s="64"/>
      <c r="F10" s="63"/>
      <c r="G10" s="63"/>
      <c r="H10" s="63"/>
      <c r="I10" s="63"/>
    </row>
    <row r="11" spans="2:10" ht="17.25" customHeight="1" x14ac:dyDescent="0.4">
      <c r="C11" s="65" t="s">
        <v>57</v>
      </c>
      <c r="D11" s="65" t="s">
        <v>58</v>
      </c>
      <c r="E11" s="66" t="s">
        <v>59</v>
      </c>
      <c r="F11" s="65"/>
      <c r="G11" s="65"/>
      <c r="H11" s="65"/>
      <c r="I11" s="65"/>
    </row>
    <row r="12" spans="2:10" x14ac:dyDescent="0.25">
      <c r="B12" s="67" t="s">
        <v>60</v>
      </c>
      <c r="C12" s="68">
        <f>D7</f>
        <v>46203</v>
      </c>
      <c r="D12" s="235">
        <f>D4</f>
        <v>46022</v>
      </c>
      <c r="E12" s="235">
        <f>EOMONTH(D12,12)</f>
        <v>46387</v>
      </c>
      <c r="F12" s="235">
        <f>EOMONTH(E12,12)</f>
        <v>46752</v>
      </c>
      <c r="G12" s="235">
        <f t="shared" ref="G12:I12" si="0">EOMONTH(F12,12)</f>
        <v>47118</v>
      </c>
      <c r="H12" s="235">
        <f t="shared" si="0"/>
        <v>47483</v>
      </c>
      <c r="I12" s="235">
        <f t="shared" si="0"/>
        <v>47848</v>
      </c>
    </row>
    <row r="13" spans="2:10" x14ac:dyDescent="0.25">
      <c r="B13" s="67"/>
      <c r="D13" s="179"/>
      <c r="E13" s="186"/>
      <c r="F13" s="186"/>
      <c r="G13" s="186"/>
      <c r="H13" s="186"/>
      <c r="I13" s="185"/>
    </row>
    <row r="14" spans="2:10" x14ac:dyDescent="0.25">
      <c r="B14" s="51" t="s">
        <v>61</v>
      </c>
      <c r="C14" s="158">
        <f>E14*(1-$D$8)+D14*$D$8</f>
        <v>11688614</v>
      </c>
      <c r="D14" s="180">
        <f>FSM!F16</f>
        <v>11365153</v>
      </c>
      <c r="E14" s="180">
        <f>FSM!G16</f>
        <v>12012075</v>
      </c>
      <c r="F14" s="180">
        <f>FSM!H16</f>
        <v>12678830.024999997</v>
      </c>
      <c r="G14" s="180">
        <f>FSM!I16</f>
        <v>13454567.870749999</v>
      </c>
      <c r="H14" s="180">
        <f>FSM!J16</f>
        <v>14216298.5991375</v>
      </c>
      <c r="I14" s="180">
        <f>FSM!K16</f>
        <v>14946418.952476876</v>
      </c>
    </row>
    <row r="15" spans="2:10" x14ac:dyDescent="0.25">
      <c r="B15" s="71" t="s">
        <v>40</v>
      </c>
      <c r="C15"/>
      <c r="D15" s="181"/>
      <c r="E15" s="181">
        <f>E14/D14-1</f>
        <v>5.6921539023715662E-2</v>
      </c>
      <c r="F15" s="181">
        <f t="shared" ref="F15:I15" si="1">F14/E14-1</f>
        <v>5.5507064766078917E-2</v>
      </c>
      <c r="G15" s="181">
        <f t="shared" si="1"/>
        <v>6.1183708924278379E-2</v>
      </c>
      <c r="H15" s="181">
        <f t="shared" si="1"/>
        <v>5.6615027379919747E-2</v>
      </c>
      <c r="I15" s="181">
        <f t="shared" si="1"/>
        <v>5.1357978185944342E-2</v>
      </c>
    </row>
    <row r="16" spans="2:10" x14ac:dyDescent="0.25">
      <c r="B16" s="51" t="s">
        <v>24</v>
      </c>
      <c r="C16" s="158">
        <f>E16*(1-$D$8)+D16*$D$8</f>
        <v>1351617.7172105378</v>
      </c>
      <c r="D16" s="180">
        <f>FSM!F30</f>
        <v>1311753</v>
      </c>
      <c r="E16" s="180">
        <f>FSM!G30</f>
        <v>1391482.4344210755</v>
      </c>
      <c r="F16" s="180">
        <f>FSM!H30</f>
        <v>1468719.5400293467</v>
      </c>
      <c r="G16" s="180">
        <f>FSM!I30</f>
        <v>1558581.2488579033</v>
      </c>
      <c r="H16" s="180">
        <f>FSM!J30</f>
        <v>1646820.3689358218</v>
      </c>
      <c r="I16" s="180">
        <f>FSM!K30</f>
        <v>1731397.7335197972</v>
      </c>
    </row>
    <row r="17" spans="2:13" x14ac:dyDescent="0.25">
      <c r="B17" s="71" t="s">
        <v>62</v>
      </c>
      <c r="C17"/>
      <c r="D17" s="181">
        <f>D16/D14</f>
        <v>0.11541885973730402</v>
      </c>
      <c r="E17" s="181">
        <f t="shared" ref="E17:I17" si="2">E16/E14</f>
        <v>0.11584030522795399</v>
      </c>
      <c r="F17" s="181">
        <f t="shared" si="2"/>
        <v>0.11584030522795395</v>
      </c>
      <c r="G17" s="181">
        <f t="shared" si="2"/>
        <v>0.11584030522795402</v>
      </c>
      <c r="H17" s="181">
        <f t="shared" si="2"/>
        <v>0.11584030522795392</v>
      </c>
      <c r="I17" s="181">
        <f t="shared" si="2"/>
        <v>0.11584030522795397</v>
      </c>
    </row>
    <row r="18" spans="2:13" x14ac:dyDescent="0.25">
      <c r="B18" s="51" t="s">
        <v>63</v>
      </c>
      <c r="C18" s="158">
        <f>E18*(1-$D$8)+D18*$D$8</f>
        <v>1156583.3427092864</v>
      </c>
      <c r="D18" s="180">
        <f>FSM!F22</f>
        <v>1124926</v>
      </c>
      <c r="E18" s="180">
        <f>FSM!G22</f>
        <v>1188240.6854185727</v>
      </c>
      <c r="F18" s="180">
        <f>FSM!H22</f>
        <v>1254196.4381017908</v>
      </c>
      <c r="G18" s="180">
        <f>FSM!I22</f>
        <v>1330932.8279044786</v>
      </c>
      <c r="H18" s="180">
        <f>FSM!J22</f>
        <v>1406283.6263971236</v>
      </c>
      <c r="I18" s="180">
        <f>FSM!K22</f>
        <v>1478507.5102048782</v>
      </c>
    </row>
    <row r="19" spans="2:13" x14ac:dyDescent="0.25">
      <c r="B19" s="71" t="s">
        <v>62</v>
      </c>
      <c r="D19" s="181">
        <f>D18/D14</f>
        <v>9.8980277696217547E-2</v>
      </c>
      <c r="E19" s="181">
        <f t="shared" ref="E19:I19" si="3">E18/E14</f>
        <v>9.89205183466281E-2</v>
      </c>
      <c r="F19" s="181">
        <f t="shared" si="3"/>
        <v>9.8920518346628059E-2</v>
      </c>
      <c r="G19" s="181">
        <f t="shared" si="3"/>
        <v>9.8920518346628128E-2</v>
      </c>
      <c r="H19" s="181">
        <f t="shared" si="3"/>
        <v>9.8920518346628045E-2</v>
      </c>
      <c r="I19" s="181">
        <f t="shared" si="3"/>
        <v>9.8920518346628059E-2</v>
      </c>
    </row>
    <row r="20" spans="2:13" x14ac:dyDescent="0.25">
      <c r="B20" s="71"/>
      <c r="D20" s="180"/>
      <c r="E20" s="180"/>
      <c r="F20" s="180"/>
      <c r="G20" s="180"/>
      <c r="H20" s="180"/>
      <c r="I20" s="180"/>
    </row>
    <row r="21" spans="2:13" x14ac:dyDescent="0.25">
      <c r="B21" s="51" t="s">
        <v>64</v>
      </c>
      <c r="D21" s="182">
        <f>D18*D22</f>
        <v>28453.180793367475</v>
      </c>
      <c r="E21" s="182">
        <f t="shared" ref="E21:I21" si="4">E18*E22</f>
        <v>30054.623191436182</v>
      </c>
      <c r="F21" s="182">
        <f t="shared" si="4"/>
        <v>31722.867107443311</v>
      </c>
      <c r="G21" s="182">
        <f t="shared" si="4"/>
        <v>33663.789774788711</v>
      </c>
      <c r="H21" s="182">
        <f t="shared" si="4"/>
        <v>35569.666154600207</v>
      </c>
      <c r="I21" s="182">
        <f t="shared" si="4"/>
        <v>37396.4522930495</v>
      </c>
    </row>
    <row r="22" spans="2:13" ht="15" customHeight="1" x14ac:dyDescent="0.25">
      <c r="B22" s="71" t="s">
        <v>26</v>
      </c>
      <c r="D22" s="183">
        <f>-FSM!F39</f>
        <v>2.5293380003100181E-2</v>
      </c>
      <c r="E22" s="183">
        <f>-FSM!G39</f>
        <v>2.5293380003100181E-2</v>
      </c>
      <c r="F22" s="183">
        <f>-FSM!H39</f>
        <v>2.5293380003100181E-2</v>
      </c>
      <c r="G22" s="183">
        <f>-FSM!I39</f>
        <v>2.5293380003100181E-2</v>
      </c>
      <c r="H22" s="183">
        <f>-FSM!J39</f>
        <v>2.5293380003100181E-2</v>
      </c>
      <c r="I22" s="183">
        <f>-FSM!K39</f>
        <v>2.5293380003100181E-2</v>
      </c>
    </row>
    <row r="23" spans="2:13" x14ac:dyDescent="0.25">
      <c r="B23" s="72" t="s">
        <v>65</v>
      </c>
      <c r="C23" s="72"/>
      <c r="D23" s="184">
        <f>D18*(1-D22)</f>
        <v>1096472.8192066324</v>
      </c>
      <c r="E23" s="184">
        <f t="shared" ref="E23:I23" si="5">E18*(1-E22)</f>
        <v>1158186.0622271365</v>
      </c>
      <c r="F23" s="184">
        <f t="shared" si="5"/>
        <v>1222473.5709943476</v>
      </c>
      <c r="G23" s="184">
        <f t="shared" si="5"/>
        <v>1297269.0381296899</v>
      </c>
      <c r="H23" s="184">
        <f t="shared" si="5"/>
        <v>1370713.9602425233</v>
      </c>
      <c r="I23" s="184">
        <f t="shared" si="5"/>
        <v>1441111.0579118286</v>
      </c>
    </row>
    <row r="24" spans="2:13" x14ac:dyDescent="0.25">
      <c r="D24" s="69"/>
      <c r="E24" s="69"/>
      <c r="F24" s="69"/>
      <c r="G24" s="69"/>
      <c r="H24" s="69"/>
      <c r="I24" s="69"/>
    </row>
    <row r="25" spans="2:13" x14ac:dyDescent="0.25">
      <c r="B25" s="51" t="s">
        <v>23</v>
      </c>
      <c r="D25" s="70"/>
      <c r="E25" s="70">
        <f>FSM!G143</f>
        <v>203241.74900250271</v>
      </c>
      <c r="F25" s="70">
        <f>FSM!H143</f>
        <v>214523.10192755578</v>
      </c>
      <c r="G25" s="70">
        <f>FSM!I143</f>
        <v>227648.42095342465</v>
      </c>
      <c r="H25" s="70">
        <f>FSM!J143</f>
        <v>240536.74253869831</v>
      </c>
      <c r="I25" s="70">
        <f>FSM!K143</f>
        <v>252890.22331491893</v>
      </c>
      <c r="M25" s="74"/>
    </row>
    <row r="26" spans="2:13" x14ac:dyDescent="0.25">
      <c r="B26" s="51" t="s">
        <v>66</v>
      </c>
      <c r="D26" s="69"/>
      <c r="E26" s="69">
        <f>D32-E32</f>
        <v>-219482.09935370437</v>
      </c>
      <c r="F26" s="69">
        <f t="shared" ref="F26:I26" si="6">E32-F32</f>
        <v>-44078.998251546873</v>
      </c>
      <c r="G26" s="69">
        <f t="shared" si="6"/>
        <v>-51283.823689927347</v>
      </c>
      <c r="H26" s="69">
        <f t="shared" si="6"/>
        <v>-50357.816867961548</v>
      </c>
      <c r="I26" s="69">
        <f t="shared" si="6"/>
        <v>-48268.06333895307</v>
      </c>
      <c r="M26" s="74"/>
    </row>
    <row r="27" spans="2:13" x14ac:dyDescent="0.25">
      <c r="B27" s="51" t="s">
        <v>67</v>
      </c>
      <c r="D27" s="70"/>
      <c r="E27" s="70">
        <f>-FSM!G132</f>
        <v>-69514.115438744935</v>
      </c>
      <c r="F27" s="70">
        <f>-FSM!H132</f>
        <v>-73372.639946560026</v>
      </c>
      <c r="G27" s="70">
        <f>-FSM!I132</f>
        <v>-77861.850192056241</v>
      </c>
      <c r="H27" s="70">
        <f>-FSM!J132</f>
        <v>-82270.000972530732</v>
      </c>
      <c r="I27" s="70">
        <f>-FSM!K132</f>
        <v>-86495.221887835592</v>
      </c>
      <c r="M27" s="74"/>
    </row>
    <row r="28" spans="2:13" x14ac:dyDescent="0.25">
      <c r="B28" s="71" t="s">
        <v>38</v>
      </c>
      <c r="D28" s="1"/>
      <c r="E28" s="1">
        <f>E27/E14</f>
        <v>-5.7870197645906252E-3</v>
      </c>
      <c r="F28" s="1">
        <f t="shared" ref="F28:I28" si="7">F27/F14</f>
        <v>-5.7870197645906252E-3</v>
      </c>
      <c r="G28" s="1">
        <f t="shared" si="7"/>
        <v>-5.7870197645906243E-3</v>
      </c>
      <c r="H28" s="1">
        <f t="shared" si="7"/>
        <v>-5.7870197645906252E-3</v>
      </c>
      <c r="I28" s="1">
        <f t="shared" si="7"/>
        <v>-5.7870197645906252E-3</v>
      </c>
      <c r="M28" s="74"/>
    </row>
    <row r="29" spans="2:13" x14ac:dyDescent="0.25">
      <c r="B29" s="216"/>
      <c r="D29" s="70"/>
      <c r="E29" s="70"/>
      <c r="F29" s="70"/>
      <c r="G29" s="70"/>
      <c r="H29" s="70"/>
      <c r="I29" s="70"/>
      <c r="M29" s="74"/>
    </row>
    <row r="30" spans="2:13" x14ac:dyDescent="0.25">
      <c r="B30" s="72" t="s">
        <v>68</v>
      </c>
      <c r="C30" s="72"/>
      <c r="D30" s="73"/>
      <c r="E30" s="73">
        <f>E23+E25+E26+E27</f>
        <v>1072431.59643719</v>
      </c>
      <c r="F30" s="73">
        <f t="shared" ref="F30:I30" si="8">F23+F25+F26+F27</f>
        <v>1319545.0347237964</v>
      </c>
      <c r="G30" s="73">
        <f t="shared" si="8"/>
        <v>1395771.7852011309</v>
      </c>
      <c r="H30" s="73">
        <f t="shared" si="8"/>
        <v>1478622.8849407292</v>
      </c>
      <c r="I30" s="73">
        <f t="shared" si="8"/>
        <v>1559237.9959999591</v>
      </c>
      <c r="M30" s="73"/>
    </row>
    <row r="31" spans="2:13" x14ac:dyDescent="0.25">
      <c r="D31" s="70"/>
      <c r="E31" s="70"/>
      <c r="F31" s="70"/>
      <c r="G31" s="70"/>
      <c r="H31" s="70"/>
      <c r="I31" s="70"/>
      <c r="M31" s="74"/>
    </row>
    <row r="32" spans="2:13" x14ac:dyDescent="0.25">
      <c r="B32" s="51" t="s">
        <v>69</v>
      </c>
      <c r="C32" s="70"/>
      <c r="D32" s="70">
        <f>FSM!F206</f>
        <v>574633</v>
      </c>
      <c r="E32" s="70">
        <f>FSM!G206</f>
        <v>794115.09935370437</v>
      </c>
      <c r="F32" s="70">
        <f>FSM!H206</f>
        <v>838194.09760525124</v>
      </c>
      <c r="G32" s="70">
        <f>FSM!I206</f>
        <v>889477.92129517859</v>
      </c>
      <c r="H32" s="70">
        <f>FSM!J206</f>
        <v>939835.73816314014</v>
      </c>
      <c r="I32" s="70">
        <f>FSM!K206</f>
        <v>988103.80150209321</v>
      </c>
    </row>
    <row r="33" spans="2:13" x14ac:dyDescent="0.25">
      <c r="B33" s="71" t="s">
        <v>38</v>
      </c>
      <c r="D33" s="60">
        <f>D32/D14</f>
        <v>5.0560955932577416E-2</v>
      </c>
      <c r="E33" s="60">
        <f t="shared" ref="E33:I33" si="9">E32/E14</f>
        <v>6.610973535827111E-2</v>
      </c>
      <c r="F33" s="60">
        <f t="shared" si="9"/>
        <v>6.6109735358271082E-2</v>
      </c>
      <c r="G33" s="60">
        <f t="shared" si="9"/>
        <v>6.6109735358271027E-2</v>
      </c>
      <c r="H33" s="60">
        <f t="shared" si="9"/>
        <v>6.6109735358271096E-2</v>
      </c>
      <c r="I33" s="60">
        <f t="shared" si="9"/>
        <v>6.6109735358271055E-2</v>
      </c>
      <c r="J33" s="70"/>
    </row>
    <row r="34" spans="2:13" x14ac:dyDescent="0.25">
      <c r="D34"/>
      <c r="E34" s="60"/>
      <c r="F34" s="60"/>
      <c r="G34" s="60"/>
      <c r="H34" s="60"/>
      <c r="I34" s="60"/>
      <c r="J34" s="70"/>
      <c r="K34" s="75"/>
      <c r="M34" s="60"/>
    </row>
    <row r="35" spans="2:13" x14ac:dyDescent="0.25">
      <c r="B35" s="62" t="str">
        <f>"Present value of UFCF on "&amp;TEXT(D7,"mmm dd, yyyy")&amp;" valuation date"</f>
        <v>Present value of UFCF on Jun 30, 2026 valuation date</v>
      </c>
      <c r="C35" s="63"/>
      <c r="D35" s="76"/>
      <c r="E35" s="63"/>
      <c r="F35" s="76"/>
      <c r="G35" s="76"/>
      <c r="H35" s="76"/>
      <c r="I35" s="76"/>
      <c r="J35" s="70"/>
    </row>
    <row r="36" spans="2:13" ht="17.25" x14ac:dyDescent="0.4">
      <c r="B36" s="72"/>
      <c r="D36" s="77" t="s">
        <v>70</v>
      </c>
      <c r="E36" s="77" t="s">
        <v>71</v>
      </c>
      <c r="F36" s="78" t="s">
        <v>72</v>
      </c>
      <c r="G36" s="78" t="s">
        <v>73</v>
      </c>
      <c r="H36" s="78" t="s">
        <v>74</v>
      </c>
      <c r="I36" s="78" t="s">
        <v>75</v>
      </c>
      <c r="J36" s="70"/>
    </row>
    <row r="37" spans="2:13" x14ac:dyDescent="0.25">
      <c r="B37" s="51" t="s">
        <v>76</v>
      </c>
      <c r="D37" s="79">
        <f>D7</f>
        <v>46203</v>
      </c>
      <c r="E37" s="159">
        <f>IF($H$9=1,AVERAGE(E12,D37),E12)</f>
        <v>46295</v>
      </c>
      <c r="F37" s="159">
        <f>IF($H$9=1,AVERAGE(F12,E12),F12)</f>
        <v>46569.5</v>
      </c>
      <c r="G37" s="159">
        <f>IF($H$9=1,AVERAGE(G12,F12),G12)</f>
        <v>46935</v>
      </c>
      <c r="H37" s="159">
        <f>IF($H$9=1,AVERAGE(H12,G12),H12)</f>
        <v>47300.5</v>
      </c>
      <c r="I37" s="159">
        <f>IF($H$9=1,AVERAGE(I12,H12),I12)</f>
        <v>47665.5</v>
      </c>
      <c r="J37" s="70"/>
    </row>
    <row r="38" spans="2:13" x14ac:dyDescent="0.25">
      <c r="B38" s="51" t="s">
        <v>77</v>
      </c>
      <c r="C38" s="80">
        <f>D8</f>
        <v>0.5</v>
      </c>
      <c r="D38" s="74"/>
      <c r="E38" s="81">
        <f>E30*C38</f>
        <v>536215.79821859498</v>
      </c>
      <c r="F38" s="81">
        <f>F30</f>
        <v>1319545.0347237964</v>
      </c>
      <c r="G38" s="81">
        <f t="shared" ref="G38:I38" si="10">G30</f>
        <v>1395771.7852011309</v>
      </c>
      <c r="H38" s="81">
        <f t="shared" si="10"/>
        <v>1478622.8849407292</v>
      </c>
      <c r="I38" s="81">
        <f t="shared" si="10"/>
        <v>1559237.9959999591</v>
      </c>
      <c r="J38" s="69"/>
    </row>
    <row r="39" spans="2:13" ht="15" customHeight="1" x14ac:dyDescent="0.25">
      <c r="B39" s="72" t="s">
        <v>78</v>
      </c>
      <c r="C39" s="82"/>
      <c r="D39" s="73"/>
      <c r="E39" s="73">
        <f>E38/(1+$H$4)^((E37-$D$37)/365)</f>
        <v>525787.29922928603</v>
      </c>
      <c r="F39" s="73">
        <f t="shared" ref="F39:I39" si="11">F38/(1+$H$4)^((F37-$D$37)/365)</f>
        <v>1220239.9205773911</v>
      </c>
      <c r="G39" s="73">
        <f t="shared" si="11"/>
        <v>1193848.3168018516</v>
      </c>
      <c r="H39" s="73">
        <f t="shared" si="11"/>
        <v>1169784.5584749079</v>
      </c>
      <c r="I39" s="73">
        <f t="shared" si="11"/>
        <v>1141092.7609769318</v>
      </c>
      <c r="J39" s="69"/>
    </row>
    <row r="41" spans="2:13" x14ac:dyDescent="0.25">
      <c r="B41" s="62" t="s">
        <v>79</v>
      </c>
      <c r="C41" s="62"/>
      <c r="E41" s="62" t="s">
        <v>80</v>
      </c>
      <c r="F41" s="63"/>
      <c r="G41" s="63"/>
      <c r="H41" s="63"/>
      <c r="I41" s="63"/>
    </row>
    <row r="42" spans="2:13" x14ac:dyDescent="0.25">
      <c r="B42" s="51" t="s">
        <v>81</v>
      </c>
      <c r="C42" s="83">
        <v>0.03</v>
      </c>
      <c r="E42" s="51" t="s">
        <v>82</v>
      </c>
      <c r="I42" s="74">
        <f>I16</f>
        <v>1731397.7335197972</v>
      </c>
      <c r="J42" s="74"/>
    </row>
    <row r="43" spans="2:13" x14ac:dyDescent="0.25">
      <c r="B43" s="84" t="str">
        <f>YEAR(I12)&amp;" FCF x (1+g)"</f>
        <v>2030 FCF x (1+g)</v>
      </c>
      <c r="C43" s="74">
        <f>I38*(1+C42)</f>
        <v>1606015.1358799578</v>
      </c>
      <c r="E43" s="51" t="s">
        <v>83</v>
      </c>
      <c r="I43" s="85">
        <v>13.5</v>
      </c>
      <c r="J43" s="85"/>
    </row>
    <row r="44" spans="2:13" x14ac:dyDescent="0.25">
      <c r="B44" s="51" t="str">
        <f>"Terminal value in "&amp;YEAR(I12)</f>
        <v>Terminal value in 2030</v>
      </c>
      <c r="C44" s="74">
        <f>C43/(H4-C42)</f>
        <v>31468643.886786439</v>
      </c>
      <c r="E44" s="51" t="str">
        <f>"Terminal value in "&amp;YEAR(I12)</f>
        <v>Terminal value in 2030</v>
      </c>
      <c r="I44" s="74">
        <f>I42*I43</f>
        <v>23373869.402517263</v>
      </c>
      <c r="J44" s="74"/>
    </row>
    <row r="45" spans="2:13" x14ac:dyDescent="0.25">
      <c r="B45" s="51" t="s">
        <v>84</v>
      </c>
      <c r="C45" s="74">
        <f>C44/(1+$H$4)^((I37-$D$37)/365)</f>
        <v>23029609.22520639</v>
      </c>
      <c r="E45" s="51" t="s">
        <v>84</v>
      </c>
      <c r="I45" s="74">
        <f>I44/(1+H4)^((I37-D37)/365)</f>
        <v>17105633.161618613</v>
      </c>
      <c r="J45" s="74"/>
    </row>
    <row r="46" spans="2:13" x14ac:dyDescent="0.25">
      <c r="B46" s="51" t="s">
        <v>85</v>
      </c>
      <c r="C46" s="69">
        <f>SUM(E39:I39)</f>
        <v>5250752.8560603689</v>
      </c>
      <c r="E46" s="51" t="s">
        <v>85</v>
      </c>
      <c r="I46" s="74">
        <f>C46</f>
        <v>5250752.8560603689</v>
      </c>
      <c r="J46" s="74"/>
    </row>
    <row r="47" spans="2:13" x14ac:dyDescent="0.25">
      <c r="B47" s="72" t="s">
        <v>86</v>
      </c>
      <c r="C47" s="86">
        <f>C45+C46</f>
        <v>28280362.081266761</v>
      </c>
      <c r="E47" s="72" t="s">
        <v>87</v>
      </c>
      <c r="I47" s="86">
        <f>I45+I46</f>
        <v>22356386.017678984</v>
      </c>
      <c r="J47" s="86"/>
    </row>
    <row r="49" spans="2:10" x14ac:dyDescent="0.25">
      <c r="B49" s="87" t="s">
        <v>88</v>
      </c>
      <c r="C49" s="88">
        <f>C45/C47</f>
        <v>0.81433219132867718</v>
      </c>
      <c r="E49" s="87" t="s">
        <v>88</v>
      </c>
      <c r="I49" s="88">
        <f>I45/I47</f>
        <v>0.76513409403880484</v>
      </c>
      <c r="J49" s="88"/>
    </row>
    <row r="50" spans="2:10" x14ac:dyDescent="0.25">
      <c r="B50" s="87" t="s">
        <v>89</v>
      </c>
      <c r="C50" s="88">
        <f>1-C49</f>
        <v>0.18566780867132282</v>
      </c>
      <c r="E50" s="87" t="s">
        <v>90</v>
      </c>
      <c r="G50" s="89"/>
      <c r="I50" s="90">
        <f>1-I49</f>
        <v>0.23486590596119516</v>
      </c>
      <c r="J50" s="90"/>
    </row>
    <row r="51" spans="2:10" x14ac:dyDescent="0.25">
      <c r="B51" s="87" t="s">
        <v>91</v>
      </c>
      <c r="C51" s="91">
        <f>C44/I16</f>
        <v>18.175283054583378</v>
      </c>
      <c r="E51" s="51" t="s">
        <v>92</v>
      </c>
      <c r="I51" s="221">
        <f>(H4-I38/I44)/(1+I38/I44)</f>
        <v>1.3430860572179683E-2</v>
      </c>
      <c r="J51" s="92"/>
    </row>
    <row r="52" spans="2:10" x14ac:dyDescent="0.25">
      <c r="B52" s="87"/>
      <c r="C52" s="67"/>
      <c r="D52" s="91"/>
      <c r="I52" s="92"/>
      <c r="J52" s="92"/>
    </row>
    <row r="53" spans="2:10" x14ac:dyDescent="0.25">
      <c r="B53" s="62" t="s">
        <v>93</v>
      </c>
      <c r="C53" s="63"/>
      <c r="E53" s="62" t="s">
        <v>30</v>
      </c>
      <c r="F53" s="63"/>
      <c r="G53" s="62"/>
      <c r="H53" s="63"/>
      <c r="I53" s="63"/>
    </row>
    <row r="54" spans="2:10" x14ac:dyDescent="0.25">
      <c r="B54" s="51" t="s">
        <v>94</v>
      </c>
      <c r="C54" s="194" t="s">
        <v>177</v>
      </c>
    </row>
    <row r="55" spans="2:10" x14ac:dyDescent="0.25">
      <c r="B55" s="93" t="s">
        <v>95</v>
      </c>
      <c r="C55" s="58" t="s">
        <v>178</v>
      </c>
      <c r="G55" s="94" t="s">
        <v>94</v>
      </c>
      <c r="H55" s="95" t="s">
        <v>96</v>
      </c>
      <c r="I55" s="95" t="s">
        <v>97</v>
      </c>
    </row>
    <row r="56" spans="2:10" x14ac:dyDescent="0.25">
      <c r="B56" s="96" t="s">
        <v>98</v>
      </c>
      <c r="C56" s="97"/>
      <c r="E56" s="51" t="s">
        <v>99</v>
      </c>
      <c r="G56" s="195" t="s">
        <v>177</v>
      </c>
      <c r="H56" s="58" t="s">
        <v>178</v>
      </c>
      <c r="I56" s="192">
        <v>1200000</v>
      </c>
      <c r="J56" s="98"/>
    </row>
    <row r="57" spans="2:10" x14ac:dyDescent="0.25">
      <c r="B57" s="71" t="s">
        <v>100</v>
      </c>
      <c r="C57" s="100">
        <f>FSM!F65+FSM!F66+FSM!F75</f>
        <v>744240</v>
      </c>
      <c r="E57" s="93" t="s">
        <v>101</v>
      </c>
      <c r="G57" s="195"/>
      <c r="H57" s="58"/>
      <c r="I57" s="192"/>
      <c r="J57" s="99"/>
    </row>
    <row r="58" spans="2:10" x14ac:dyDescent="0.25">
      <c r="B58" s="71" t="s">
        <v>102</v>
      </c>
      <c r="C58" s="100"/>
      <c r="E58" s="93" t="s">
        <v>103</v>
      </c>
      <c r="G58" s="58"/>
      <c r="H58" s="58"/>
      <c r="I58" s="101"/>
    </row>
    <row r="59" spans="2:10" ht="15" customHeight="1" x14ac:dyDescent="0.25">
      <c r="B59" s="71" t="s">
        <v>104</v>
      </c>
      <c r="C59" s="100"/>
      <c r="E59" s="51" t="s">
        <v>102</v>
      </c>
      <c r="G59" s="58"/>
      <c r="H59" s="58"/>
      <c r="I59" s="101"/>
    </row>
    <row r="60" spans="2:10" x14ac:dyDescent="0.25">
      <c r="B60" s="102" t="s">
        <v>105</v>
      </c>
      <c r="C60" s="100"/>
      <c r="E60" s="51" t="s">
        <v>106</v>
      </c>
      <c r="G60" s="58"/>
      <c r="H60" s="58"/>
      <c r="I60" s="101"/>
    </row>
    <row r="61" spans="2:10" ht="15" customHeight="1" x14ac:dyDescent="0.25">
      <c r="B61" s="96" t="s">
        <v>107</v>
      </c>
      <c r="C61" s="100"/>
      <c r="E61" s="103" t="s">
        <v>108</v>
      </c>
      <c r="I61" s="193">
        <f>SUM(I56:I60)</f>
        <v>1200000</v>
      </c>
      <c r="J61" s="104"/>
    </row>
    <row r="62" spans="2:10" x14ac:dyDescent="0.25">
      <c r="B62" s="105" t="s">
        <v>109</v>
      </c>
      <c r="C62" s="100">
        <f>FSM!F47</f>
        <v>270963</v>
      </c>
      <c r="J62" s="106"/>
    </row>
    <row r="63" spans="2:10" x14ac:dyDescent="0.25">
      <c r="B63" s="105" t="s">
        <v>110</v>
      </c>
      <c r="C63" s="100">
        <f>FSM!F54</f>
        <v>40460</v>
      </c>
      <c r="J63" s="106"/>
    </row>
    <row r="64" spans="2:10" x14ac:dyDescent="0.25">
      <c r="B64" s="105" t="s">
        <v>171</v>
      </c>
      <c r="C64" s="100"/>
      <c r="J64" s="107"/>
    </row>
    <row r="65" spans="2:6" x14ac:dyDescent="0.25">
      <c r="B65" s="108" t="s">
        <v>93</v>
      </c>
      <c r="C65" s="14">
        <f>SUM(C57:C60)-SUM(C62:C64)</f>
        <v>432817</v>
      </c>
    </row>
    <row r="67" spans="2:6" x14ac:dyDescent="0.25">
      <c r="B67" s="62" t="s">
        <v>111</v>
      </c>
      <c r="C67" s="63"/>
      <c r="D67" s="63"/>
    </row>
    <row r="68" spans="2:6" ht="17.25" x14ac:dyDescent="0.4">
      <c r="C68" s="109" t="s">
        <v>112</v>
      </c>
      <c r="D68" s="109" t="s">
        <v>24</v>
      </c>
    </row>
    <row r="69" spans="2:6" x14ac:dyDescent="0.25">
      <c r="B69" s="51" t="s">
        <v>113</v>
      </c>
      <c r="C69" s="110">
        <f>C47</f>
        <v>28280362.081266761</v>
      </c>
      <c r="D69" s="110">
        <f>I47</f>
        <v>22356386.017678984</v>
      </c>
    </row>
    <row r="70" spans="2:6" x14ac:dyDescent="0.25">
      <c r="B70" s="51" t="s">
        <v>93</v>
      </c>
      <c r="C70" s="111">
        <f>$C$65</f>
        <v>432817</v>
      </c>
      <c r="D70" s="111">
        <f>$C$65</f>
        <v>432817</v>
      </c>
    </row>
    <row r="71" spans="2:6" x14ac:dyDescent="0.25">
      <c r="B71" s="51" t="s">
        <v>114</v>
      </c>
      <c r="C71" s="112">
        <f>C69-C70</f>
        <v>27847545.081266761</v>
      </c>
      <c r="D71" s="112">
        <f t="shared" ref="D71" si="12">D69-D70</f>
        <v>21923569.017678984</v>
      </c>
    </row>
    <row r="72" spans="2:6" x14ac:dyDescent="0.25">
      <c r="B72" s="51" t="s">
        <v>30</v>
      </c>
      <c r="C72" s="217">
        <f>$I$61</f>
        <v>1200000</v>
      </c>
      <c r="D72" s="217">
        <f t="shared" ref="D72" si="13">$I$61</f>
        <v>1200000</v>
      </c>
    </row>
    <row r="73" spans="2:6" x14ac:dyDescent="0.25">
      <c r="B73" s="72" t="s">
        <v>115</v>
      </c>
      <c r="C73" s="251">
        <f>C71/C72</f>
        <v>23.206287567722299</v>
      </c>
      <c r="D73" s="251">
        <f t="shared" ref="D73" si="14">D71/D72</f>
        <v>18.269640848065819</v>
      </c>
    </row>
    <row r="75" spans="2:6" ht="17.25" x14ac:dyDescent="0.4">
      <c r="C75" s="65" t="s">
        <v>116</v>
      </c>
      <c r="D75" s="65"/>
    </row>
    <row r="76" spans="2:6" x14ac:dyDescent="0.25">
      <c r="B76" s="94"/>
      <c r="C76" s="95" t="s">
        <v>112</v>
      </c>
      <c r="D76" s="95" t="s">
        <v>24</v>
      </c>
    </row>
    <row r="77" spans="2:6" x14ac:dyDescent="0.25">
      <c r="B77" s="51" t="s">
        <v>117</v>
      </c>
      <c r="C77" s="240">
        <f>C69/$C$14</f>
        <v>2.4194795106816565</v>
      </c>
      <c r="D77" s="240">
        <f>D69/$C$14</f>
        <v>1.9126635559766951</v>
      </c>
    </row>
    <row r="78" spans="2:6" x14ac:dyDescent="0.25">
      <c r="B78" s="51" t="s">
        <v>118</v>
      </c>
      <c r="C78" s="241">
        <f>C69/$C$16</f>
        <v>20.923343724460523</v>
      </c>
      <c r="D78" s="241">
        <f t="shared" ref="D78" si="15">D69/$C$16</f>
        <v>16.54046534978691</v>
      </c>
    </row>
    <row r="79" spans="2:6" x14ac:dyDescent="0.25">
      <c r="B79" s="69" t="s">
        <v>119</v>
      </c>
      <c r="C79" s="241">
        <f>C69/$C$18</f>
        <v>24.451642209389131</v>
      </c>
      <c r="D79" s="241">
        <f t="shared" ref="D79" si="16">D69/$C$18</f>
        <v>19.329680094915897</v>
      </c>
    </row>
    <row r="80" spans="2:6" ht="17.25" x14ac:dyDescent="0.4">
      <c r="B80" s="69"/>
      <c r="C80" s="65" t="s">
        <v>120</v>
      </c>
      <c r="D80" s="65"/>
      <c r="E80" s="113"/>
      <c r="F80" s="113"/>
    </row>
    <row r="81" spans="2:17" x14ac:dyDescent="0.25">
      <c r="B81" s="94"/>
      <c r="C81" s="95" t="s">
        <v>112</v>
      </c>
      <c r="D81" s="95" t="s">
        <v>24</v>
      </c>
      <c r="E81" s="113"/>
      <c r="F81" s="113"/>
    </row>
    <row r="82" spans="2:17" x14ac:dyDescent="0.25">
      <c r="B82" s="51" t="s">
        <v>117</v>
      </c>
      <c r="C82" s="240">
        <f>C69/$D$14</f>
        <v>2.4883397593738299</v>
      </c>
      <c r="D82" s="240">
        <f>D69/$D$14</f>
        <v>1.9670994325970783</v>
      </c>
      <c r="E82" s="113"/>
      <c r="F82" s="113"/>
    </row>
    <row r="83" spans="2:17" x14ac:dyDescent="0.25">
      <c r="B83" s="51" t="s">
        <v>118</v>
      </c>
      <c r="C83" s="241">
        <f>C69/$D$16</f>
        <v>21.559212810084489</v>
      </c>
      <c r="D83" s="241">
        <f t="shared" ref="D83" si="17">D69/$D$16</f>
        <v>17.043136945506497</v>
      </c>
      <c r="E83" s="113"/>
      <c r="F83" s="113"/>
    </row>
    <row r="84" spans="2:17" x14ac:dyDescent="0.25">
      <c r="B84" s="69" t="s">
        <v>119</v>
      </c>
      <c r="C84" s="241">
        <f>C69/$D$18</f>
        <v>25.139753264896324</v>
      </c>
      <c r="D84" s="241">
        <f t="shared" ref="D84" si="18">D69/$D$18</f>
        <v>19.873650371383526</v>
      </c>
      <c r="E84" s="113"/>
      <c r="F84" s="113"/>
    </row>
    <row r="86" spans="2:17" x14ac:dyDescent="0.25">
      <c r="B86" s="62" t="s">
        <v>121</v>
      </c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</row>
    <row r="87" spans="2:17" x14ac:dyDescent="0.25">
      <c r="B87" s="72"/>
    </row>
    <row r="88" spans="2:17" ht="17.25" customHeight="1" x14ac:dyDescent="0.4">
      <c r="B88" s="114"/>
      <c r="C88" s="72"/>
      <c r="D88" s="115" t="s">
        <v>115</v>
      </c>
      <c r="E88" s="65"/>
      <c r="F88" s="65"/>
      <c r="G88" s="65"/>
      <c r="H88" s="65"/>
      <c r="I88" s="65"/>
      <c r="J88" s="116"/>
      <c r="L88" s="115" t="s">
        <v>122</v>
      </c>
      <c r="M88" s="65"/>
      <c r="N88" s="65"/>
      <c r="O88" s="65"/>
      <c r="P88" s="65"/>
      <c r="Q88" s="65"/>
    </row>
    <row r="89" spans="2:17" ht="15" customHeight="1" x14ac:dyDescent="0.25">
      <c r="B89" s="114"/>
      <c r="D89" s="93"/>
      <c r="E89" s="117" t="s">
        <v>123</v>
      </c>
      <c r="F89" s="117"/>
      <c r="G89" s="117"/>
      <c r="H89" s="117"/>
      <c r="I89" s="117"/>
      <c r="J89" s="118"/>
      <c r="L89" s="117" t="s">
        <v>123</v>
      </c>
      <c r="M89" s="117"/>
      <c r="N89" s="117"/>
      <c r="O89" s="117"/>
      <c r="P89" s="117"/>
      <c r="Q89" s="117"/>
    </row>
    <row r="90" spans="2:17" ht="15" customHeight="1" x14ac:dyDescent="0.25">
      <c r="B90" s="114"/>
      <c r="C90" s="119"/>
      <c r="D90" s="163">
        <f>C73</f>
        <v>23.206287567722299</v>
      </c>
      <c r="E90" s="198">
        <f>F90-0.005</f>
        <v>1.9999999999999997E-2</v>
      </c>
      <c r="F90" s="199">
        <f>G90-0.005</f>
        <v>2.4999999999999998E-2</v>
      </c>
      <c r="G90" s="120">
        <f>$C$42</f>
        <v>0.03</v>
      </c>
      <c r="H90" s="199">
        <f>G90+0.005</f>
        <v>3.4999999999999996E-2</v>
      </c>
      <c r="I90" s="222">
        <f>H90+0.005</f>
        <v>3.9999999999999994E-2</v>
      </c>
      <c r="K90" s="124"/>
      <c r="L90" s="121">
        <f>C78</f>
        <v>20.923343724460523</v>
      </c>
      <c r="M90" s="198">
        <f>N90-0.005</f>
        <v>1.9999999999999997E-2</v>
      </c>
      <c r="N90" s="199">
        <f>O90-0.005</f>
        <v>2.4999999999999998E-2</v>
      </c>
      <c r="O90" s="120">
        <f>$C$42</f>
        <v>0.03</v>
      </c>
      <c r="P90" s="199">
        <f>O90+0.005</f>
        <v>3.4999999999999996E-2</v>
      </c>
      <c r="Q90" s="222">
        <f>P90+0.005</f>
        <v>3.9999999999999994E-2</v>
      </c>
    </row>
    <row r="91" spans="2:17" ht="15" customHeight="1" x14ac:dyDescent="0.25">
      <c r="B91" s="114"/>
      <c r="D91" s="196">
        <f>D92+0.01</f>
        <v>0.10103540977672434</v>
      </c>
      <c r="E91" s="122">
        <f t="dataTable" ref="E91:I95" dt2D="1" dtr="1" r1="C42" r2="H4" ca="1"/>
        <v>14.960390196573977</v>
      </c>
      <c r="F91" s="122">
        <v>14.262705921949577</v>
      </c>
      <c r="G91" s="122">
        <v>14.262705921949577</v>
      </c>
      <c r="H91" s="122">
        <v>14.960390196573977</v>
      </c>
      <c r="I91" s="122">
        <v>16.650407968013795</v>
      </c>
      <c r="J91" s="123"/>
      <c r="L91" s="196">
        <f>L92+0.01</f>
        <v>0.10103540977672434</v>
      </c>
      <c r="M91" s="124">
        <f t="dataTable" ref="M91:Q95" dt2D="1" dtr="1" r1="C42" r2="H4" ca="1"/>
        <v>13.602429889593514</v>
      </c>
      <c r="N91" s="124">
        <v>12.983008348362807</v>
      </c>
      <c r="O91" s="124">
        <v>12.983008348362807</v>
      </c>
      <c r="P91" s="124">
        <v>13.602429889593514</v>
      </c>
      <c r="Q91" s="124">
        <v>15.102869917794093</v>
      </c>
    </row>
    <row r="92" spans="2:17" ht="15" customHeight="1" x14ac:dyDescent="0.25">
      <c r="B92" s="114"/>
      <c r="D92" s="196">
        <f>D93+0.01</f>
        <v>9.1035409776724349E-2</v>
      </c>
      <c r="E92" s="122">
        <v>17.084881947249762</v>
      </c>
      <c r="F92" s="122">
        <v>16.159257793816991</v>
      </c>
      <c r="G92" s="122">
        <v>16.159257793816991</v>
      </c>
      <c r="H92" s="122">
        <v>17.084881947249762</v>
      </c>
      <c r="I92" s="122">
        <v>19.391091148202257</v>
      </c>
      <c r="J92" s="123"/>
      <c r="L92" s="196">
        <f>L93+0.01</f>
        <v>9.1035409776724349E-2</v>
      </c>
      <c r="M92" s="124">
        <v>15.4886067784792</v>
      </c>
      <c r="N92" s="124">
        <v>14.666814514308761</v>
      </c>
      <c r="O92" s="124">
        <v>14.666814514308761</v>
      </c>
      <c r="P92" s="124">
        <v>15.4886067784792</v>
      </c>
      <c r="Q92" s="124">
        <v>17.536116962686052</v>
      </c>
    </row>
    <row r="93" spans="2:17" ht="15" customHeight="1" x14ac:dyDescent="0.25">
      <c r="B93" s="114"/>
      <c r="C93" s="119" t="s">
        <v>124</v>
      </c>
      <c r="D93" s="125">
        <f>WACC!$E$21</f>
        <v>8.1035409776724354E-2</v>
      </c>
      <c r="E93" s="122">
        <v>19.906194764407669</v>
      </c>
      <c r="F93" s="122">
        <v>18.630957818897368</v>
      </c>
      <c r="G93" s="122">
        <v>18.630957818897368</v>
      </c>
      <c r="H93" s="122">
        <v>19.906194764407669</v>
      </c>
      <c r="I93" s="122">
        <v>23.206287567722299</v>
      </c>
      <c r="J93" s="123"/>
      <c r="K93" s="119" t="s">
        <v>124</v>
      </c>
      <c r="L93" s="125">
        <f>WACC!$E$21</f>
        <v>8.1035409776724354E-2</v>
      </c>
      <c r="M93" s="124">
        <v>17.993438830826531</v>
      </c>
      <c r="N93" s="124">
        <v>16.861251589473586</v>
      </c>
      <c r="O93" s="124">
        <v>16.861251589473586</v>
      </c>
      <c r="P93" s="124">
        <v>17.993438830826531</v>
      </c>
      <c r="Q93" s="124">
        <v>20.923343724460523</v>
      </c>
    </row>
    <row r="94" spans="2:17" ht="15" customHeight="1" x14ac:dyDescent="0.25">
      <c r="B94" s="114"/>
      <c r="D94" s="196">
        <f t="shared" ref="D94:D95" si="19">D93-0.01</f>
        <v>7.1035409776724359E-2</v>
      </c>
      <c r="E94" s="122">
        <v>23.833981835220595</v>
      </c>
      <c r="F94" s="122">
        <v>21.985771539654635</v>
      </c>
      <c r="G94" s="122">
        <v>21.985771539654635</v>
      </c>
      <c r="H94" s="122">
        <v>23.833981835220595</v>
      </c>
      <c r="I94" s="122">
        <v>28.881584470559332</v>
      </c>
      <c r="J94" s="123"/>
      <c r="L94" s="196">
        <f t="shared" ref="L94:L95" si="20">L93-0.01</f>
        <v>7.1035409776724359E-2</v>
      </c>
      <c r="M94" s="124">
        <v>21.480626387603227</v>
      </c>
      <c r="N94" s="124">
        <v>19.839739081644893</v>
      </c>
      <c r="O94" s="124">
        <v>19.839739081644893</v>
      </c>
      <c r="P94" s="124">
        <v>21.480626387603227</v>
      </c>
      <c r="Q94" s="124">
        <v>25.962014198135297</v>
      </c>
    </row>
    <row r="95" spans="2:17" ht="15" customHeight="1" x14ac:dyDescent="0.25">
      <c r="B95" s="126" t="s">
        <v>125</v>
      </c>
      <c r="D95" s="197">
        <f t="shared" si="19"/>
        <v>6.1035409776724357E-2</v>
      </c>
      <c r="E95" s="122">
        <v>29.677216135809104</v>
      </c>
      <c r="F95" s="122">
        <v>26.799257721419391</v>
      </c>
      <c r="G95" s="122">
        <v>26.799257721419391</v>
      </c>
      <c r="H95" s="122">
        <v>29.677216135809104</v>
      </c>
      <c r="I95" s="122">
        <v>38.215076333560667</v>
      </c>
      <c r="J95" s="123"/>
      <c r="L95" s="197">
        <f t="shared" si="20"/>
        <v>6.1035409776724357E-2</v>
      </c>
      <c r="M95" s="124">
        <v>26.668395881463738</v>
      </c>
      <c r="N95" s="124">
        <v>24.113272451744958</v>
      </c>
      <c r="O95" s="124">
        <v>24.113272451744958</v>
      </c>
      <c r="P95" s="124">
        <v>26.668395881463738</v>
      </c>
      <c r="Q95" s="124">
        <v>34.248521612906764</v>
      </c>
    </row>
    <row r="96" spans="2:17" ht="15" customHeight="1" x14ac:dyDescent="0.25">
      <c r="B96" s="126" t="s">
        <v>126</v>
      </c>
      <c r="E96" s="127"/>
      <c r="F96" s="127"/>
      <c r="G96" s="127"/>
      <c r="H96" s="127"/>
      <c r="I96" s="127"/>
      <c r="J96" s="127"/>
    </row>
    <row r="97" spans="2:17" ht="17.25" customHeight="1" x14ac:dyDescent="0.4">
      <c r="B97" s="114"/>
      <c r="D97" s="115" t="s">
        <v>115</v>
      </c>
      <c r="E97" s="65"/>
      <c r="F97" s="65"/>
      <c r="G97" s="65"/>
      <c r="H97" s="65"/>
      <c r="I97" s="65"/>
      <c r="J97" s="116"/>
      <c r="L97" s="115" t="s">
        <v>122</v>
      </c>
      <c r="M97" s="65"/>
      <c r="N97" s="65"/>
      <c r="O97" s="65"/>
      <c r="P97" s="65"/>
      <c r="Q97" s="65"/>
    </row>
    <row r="98" spans="2:17" ht="15" customHeight="1" x14ac:dyDescent="0.25">
      <c r="B98" s="114"/>
      <c r="E98" s="117" t="s">
        <v>127</v>
      </c>
      <c r="F98" s="117"/>
      <c r="G98" s="117"/>
      <c r="H98" s="117"/>
      <c r="I98" s="117"/>
      <c r="J98" s="118"/>
      <c r="M98" s="117" t="s">
        <v>127</v>
      </c>
      <c r="N98" s="117"/>
      <c r="O98" s="117"/>
      <c r="P98" s="117"/>
      <c r="Q98" s="117"/>
    </row>
    <row r="99" spans="2:17" ht="15" customHeight="1" x14ac:dyDescent="0.25">
      <c r="B99" s="114"/>
      <c r="D99" s="164">
        <f>D73</f>
        <v>18.269640848065819</v>
      </c>
      <c r="E99" s="165">
        <f>+F99-0.5</f>
        <v>12.5</v>
      </c>
      <c r="F99" s="165">
        <f>+G99-0.5</f>
        <v>13</v>
      </c>
      <c r="G99" s="128">
        <f>$I$43</f>
        <v>13.5</v>
      </c>
      <c r="H99" s="165">
        <f>+G99+0.5</f>
        <v>14</v>
      </c>
      <c r="I99" s="224">
        <f>+H99+0.5</f>
        <v>14.5</v>
      </c>
      <c r="J99" s="223"/>
      <c r="L99" s="121">
        <f>D78</f>
        <v>16.54046534978691</v>
      </c>
      <c r="M99" s="165">
        <f>+N99-0.5</f>
        <v>12.5</v>
      </c>
      <c r="N99" s="165">
        <f>+O99-0.5</f>
        <v>13</v>
      </c>
      <c r="O99" s="128">
        <f>$I$43</f>
        <v>13.5</v>
      </c>
      <c r="P99" s="165">
        <f>+O99+0.5</f>
        <v>14</v>
      </c>
      <c r="Q99" s="224">
        <f>+P99+0.5</f>
        <v>14.5</v>
      </c>
    </row>
    <row r="100" spans="2:17" ht="15" customHeight="1" x14ac:dyDescent="0.25">
      <c r="B100" s="114"/>
      <c r="D100" s="196">
        <f>D101+0.01</f>
        <v>0.10103540977672434</v>
      </c>
      <c r="E100" s="122">
        <f t="dataTable" ref="E100:I104" dt2D="1" dtr="1" r1="I43" r2="H4" ca="1"/>
        <v>16.102904038268893</v>
      </c>
      <c r="F100" s="122">
        <v>15.612341762860504</v>
      </c>
      <c r="G100" s="122">
        <v>15.612341762860504</v>
      </c>
      <c r="H100" s="122">
        <v>16.102904038268893</v>
      </c>
      <c r="I100" s="122">
        <v>17.084028589085662</v>
      </c>
      <c r="J100" s="123"/>
      <c r="L100" s="196">
        <f>L101+0.01</f>
        <v>0.10103540977672434</v>
      </c>
      <c r="M100" s="124">
        <f t="dataTable" ref="M100:Q104" dt2D="1" dtr="1" r1="I43" r2="H4" ca="1"/>
        <v>14.6167822412802</v>
      </c>
      <c r="N100" s="124">
        <v>14.181248789036788</v>
      </c>
      <c r="O100" s="124">
        <v>14.181248789036788</v>
      </c>
      <c r="P100" s="124">
        <v>14.6167822412802</v>
      </c>
      <c r="Q100" s="124">
        <v>15.487849145767019</v>
      </c>
    </row>
    <row r="101" spans="2:17" ht="15" customHeight="1" x14ac:dyDescent="0.25">
      <c r="B101" s="114"/>
      <c r="D101" s="196">
        <f>D102+0.01</f>
        <v>9.1035409776724349E-2</v>
      </c>
      <c r="E101" s="122">
        <v>16.646007499981657</v>
      </c>
      <c r="F101" s="122">
        <v>16.137179444666923</v>
      </c>
      <c r="G101" s="122">
        <v>16.137179444666923</v>
      </c>
      <c r="H101" s="122">
        <v>16.646007499981657</v>
      </c>
      <c r="I101" s="122">
        <v>17.663663610611117</v>
      </c>
      <c r="J101" s="123"/>
      <c r="L101" s="196">
        <f>L102+0.01</f>
        <v>9.1035409776724349E-2</v>
      </c>
      <c r="M101" s="124">
        <v>15.098963072262752</v>
      </c>
      <c r="N101" s="124">
        <v>14.647212803971049</v>
      </c>
      <c r="O101" s="124">
        <v>14.647212803971049</v>
      </c>
      <c r="P101" s="124">
        <v>15.098963072262752</v>
      </c>
      <c r="Q101" s="124">
        <v>16.002463608846153</v>
      </c>
    </row>
    <row r="102" spans="2:17" ht="15" customHeight="1" x14ac:dyDescent="0.25">
      <c r="B102" s="114"/>
      <c r="C102" s="119" t="s">
        <v>124</v>
      </c>
      <c r="D102" s="125">
        <f>WACC!$E$21</f>
        <v>8.1035409776724354E-2</v>
      </c>
      <c r="E102" s="122">
        <v>17.213737566484426</v>
      </c>
      <c r="F102" s="122">
        <v>16.685785925693722</v>
      </c>
      <c r="G102" s="122">
        <v>16.685785925693722</v>
      </c>
      <c r="H102" s="122">
        <v>17.213737566484426</v>
      </c>
      <c r="I102" s="122">
        <v>18.269640848065819</v>
      </c>
      <c r="J102" s="123"/>
      <c r="K102" s="119" t="s">
        <v>124</v>
      </c>
      <c r="L102" s="125">
        <f>WACC!$E$21</f>
        <v>8.1035409776724354E-2</v>
      </c>
      <c r="M102" s="124">
        <v>15.603008018646952</v>
      </c>
      <c r="N102" s="124">
        <v>15.13427935307697</v>
      </c>
      <c r="O102" s="124">
        <v>15.13427935307697</v>
      </c>
      <c r="P102" s="124">
        <v>15.603008018646952</v>
      </c>
      <c r="Q102" s="124">
        <v>16.54046534978691</v>
      </c>
    </row>
    <row r="103" spans="2:17" ht="15" customHeight="1" x14ac:dyDescent="0.25">
      <c r="B103" s="114"/>
      <c r="D103" s="196">
        <f t="shared" ref="D103:D104" si="21">D102-0.01</f>
        <v>7.1035409776724359E-2</v>
      </c>
      <c r="E103" s="122">
        <v>17.807470685114993</v>
      </c>
      <c r="F103" s="122">
        <v>17.259488866210845</v>
      </c>
      <c r="G103" s="122">
        <v>17.259488866210845</v>
      </c>
      <c r="H103" s="122">
        <v>17.807470685114993</v>
      </c>
      <c r="I103" s="122">
        <v>18.903434322923282</v>
      </c>
      <c r="J103" s="123"/>
      <c r="L103" s="196">
        <f t="shared" ref="L103:L104" si="22">L102-0.01</f>
        <v>7.1035409776724359E-2</v>
      </c>
      <c r="M103" s="124">
        <v>16.130139124790702</v>
      </c>
      <c r="N103" s="124">
        <v>15.643627166333925</v>
      </c>
      <c r="O103" s="124">
        <v>15.643627166333925</v>
      </c>
      <c r="P103" s="124">
        <v>16.130139124790702</v>
      </c>
      <c r="Q103" s="124">
        <v>17.103163041704253</v>
      </c>
    </row>
    <row r="104" spans="2:17" ht="15" customHeight="1" x14ac:dyDescent="0.25">
      <c r="B104" s="114"/>
      <c r="D104" s="197">
        <f t="shared" si="21"/>
        <v>6.1035409776724357E-2</v>
      </c>
      <c r="E104" s="122">
        <v>18.428674533464793</v>
      </c>
      <c r="F104" s="122">
        <v>17.859703889221745</v>
      </c>
      <c r="G104" s="122">
        <v>17.859703889221745</v>
      </c>
      <c r="H104" s="122">
        <v>18.428674533464793</v>
      </c>
      <c r="I104" s="122">
        <v>19.56661582195089</v>
      </c>
      <c r="J104" s="123"/>
      <c r="L104" s="197">
        <f t="shared" si="22"/>
        <v>6.1035409776724357E-2</v>
      </c>
      <c r="M104" s="124">
        <v>16.681659431551854</v>
      </c>
      <c r="N104" s="124">
        <v>16.176513069235188</v>
      </c>
      <c r="O104" s="124">
        <v>16.176513069235188</v>
      </c>
      <c r="P104" s="124">
        <v>16.681659431551854</v>
      </c>
      <c r="Q104" s="124">
        <v>17.691952156185181</v>
      </c>
    </row>
    <row r="105" spans="2:17" x14ac:dyDescent="0.25">
      <c r="J105" s="129"/>
    </row>
    <row r="106" spans="2:17" x14ac:dyDescent="0.25">
      <c r="B106" s="130" t="s">
        <v>128</v>
      </c>
      <c r="C106" s="130"/>
      <c r="D106" s="130"/>
      <c r="E106" s="130"/>
      <c r="G106" s="130" t="s">
        <v>129</v>
      </c>
      <c r="H106" s="130"/>
      <c r="I106" s="130"/>
      <c r="J106" s="131"/>
      <c r="K106" s="130"/>
      <c r="L106" s="130"/>
      <c r="M106" s="130"/>
      <c r="N106" s="130"/>
      <c r="O106" s="130"/>
      <c r="P106" s="130"/>
    </row>
    <row r="107" spans="2:17" x14ac:dyDescent="0.25">
      <c r="J107" s="129"/>
    </row>
    <row r="108" spans="2:17" x14ac:dyDescent="0.25">
      <c r="J108" s="129"/>
    </row>
    <row r="109" spans="2:17" x14ac:dyDescent="0.25">
      <c r="J109" s="129"/>
    </row>
    <row r="110" spans="2:17" x14ac:dyDescent="0.25">
      <c r="J110" s="129"/>
    </row>
    <row r="111" spans="2:17" x14ac:dyDescent="0.25">
      <c r="J111" s="129"/>
    </row>
    <row r="112" spans="2:17" x14ac:dyDescent="0.25">
      <c r="J112" s="129"/>
    </row>
    <row r="113" spans="2:17" x14ac:dyDescent="0.25">
      <c r="J113" s="129"/>
    </row>
    <row r="114" spans="2:17" x14ac:dyDescent="0.25">
      <c r="J114" s="129"/>
    </row>
    <row r="115" spans="2:17" x14ac:dyDescent="0.25">
      <c r="J115" s="129"/>
    </row>
    <row r="116" spans="2:17" x14ac:dyDescent="0.25">
      <c r="J116" s="129"/>
    </row>
    <row r="117" spans="2:17" x14ac:dyDescent="0.25">
      <c r="J117" s="129"/>
    </row>
    <row r="118" spans="2:17" x14ac:dyDescent="0.25">
      <c r="J118" s="129"/>
    </row>
    <row r="119" spans="2:17" x14ac:dyDescent="0.25">
      <c r="J119" s="129"/>
    </row>
    <row r="120" spans="2:17" x14ac:dyDescent="0.25">
      <c r="J120" s="129"/>
      <c r="M120" s="132"/>
    </row>
    <row r="121" spans="2:17" x14ac:dyDescent="0.25">
      <c r="J121" s="129"/>
    </row>
    <row r="122" spans="2:17" x14ac:dyDescent="0.25">
      <c r="J122" s="129"/>
    </row>
    <row r="123" spans="2:17" x14ac:dyDescent="0.25">
      <c r="J123" s="129"/>
    </row>
    <row r="124" spans="2:17" x14ac:dyDescent="0.25">
      <c r="J124" s="129"/>
    </row>
    <row r="125" spans="2:17" x14ac:dyDescent="0.25">
      <c r="J125" s="129"/>
    </row>
    <row r="126" spans="2:17" x14ac:dyDescent="0.25">
      <c r="J126" s="129"/>
    </row>
    <row r="127" spans="2:17" x14ac:dyDescent="0.25">
      <c r="B127" s="133"/>
      <c r="C127" s="134" t="s">
        <v>130</v>
      </c>
      <c r="D127" s="134" t="s">
        <v>131</v>
      </c>
      <c r="E127" s="135" t="s">
        <v>132</v>
      </c>
      <c r="G127" s="133"/>
      <c r="H127" s="136"/>
      <c r="I127" s="136"/>
      <c r="J127" s="137"/>
      <c r="K127" s="136"/>
      <c r="L127" s="136"/>
      <c r="M127" s="136"/>
      <c r="N127" s="136"/>
      <c r="O127" s="134" t="s">
        <v>130</v>
      </c>
      <c r="P127" s="134" t="s">
        <v>131</v>
      </c>
      <c r="Q127" s="135" t="s">
        <v>132</v>
      </c>
    </row>
    <row r="128" spans="2:17" x14ac:dyDescent="0.25">
      <c r="B128" s="166" t="str">
        <f>"DCF Value at "&amp;TEXT(E99,"0.0x")&amp;"-"&amp;TEXT(I99,"0.0x")&amp;" Exit EBITDA Range at "&amp;TEXT(D102,"0.0%")&amp;" WACC"</f>
        <v>DCF Value at 12.5x-14.5x Exit EBITDA Range at 8.1% WACC</v>
      </c>
      <c r="C128" s="167">
        <f>E102</f>
        <v>17.213737566484426</v>
      </c>
      <c r="D128" s="167">
        <f>E128-C128</f>
        <v>1.0559032815813936</v>
      </c>
      <c r="E128" s="168">
        <f>I102</f>
        <v>18.269640848065819</v>
      </c>
      <c r="G128" s="166" t="str">
        <f>"LTM EBITDA Purchase Multiple at "&amp;TEXT(M90,"0.0%")&amp;"-"&amp;TEXT(Q90,"0.0%")&amp;" Perpetuity Growth at "&amp;TEXT(L93,"0.0%")&amp;" WACC"</f>
        <v>LTM EBITDA Purchase Multiple at 2.0%-4.0% Perpetuity Growth at 8.1% WACC</v>
      </c>
      <c r="H128"/>
      <c r="I128"/>
      <c r="J128" s="174"/>
      <c r="K128"/>
      <c r="L128"/>
      <c r="M128"/>
      <c r="N128"/>
      <c r="O128" s="175">
        <f>M93</f>
        <v>17.993438830826531</v>
      </c>
      <c r="P128" s="175">
        <f>Q128-O128</f>
        <v>2.9299048936339922</v>
      </c>
      <c r="Q128" s="176">
        <f>Q93</f>
        <v>20.923343724460523</v>
      </c>
    </row>
    <row r="129" spans="2:17" x14ac:dyDescent="0.25">
      <c r="B129" s="169" t="str">
        <f>"DCF Value at "&amp;TEXT(E90,"0.0%")&amp;"-"&amp;TEXT(I90,"0.0%")&amp;" Perpetuity Range at "&amp;TEXT(D102,"0.0%")&amp;" WACC"</f>
        <v>DCF Value at 2.0%-4.0% Perpetuity Range at 8.1% WACC</v>
      </c>
      <c r="C129" s="167">
        <f>E93</f>
        <v>19.906194764407669</v>
      </c>
      <c r="D129" s="167">
        <f>E129-C129</f>
        <v>3.3000928033146302</v>
      </c>
      <c r="E129" s="168">
        <f>I93</f>
        <v>23.206287567722299</v>
      </c>
      <c r="G129" s="169" t="str">
        <f>"LTM EBITDA Purchase Multiple at "&amp;TEXT(M102,"0.0x")&amp;"-"&amp;TEXT(Q102,"0.0x")&amp;" Exit EBITDA Multiple at "&amp;TEXT(L102,"0.0%")&amp;" WACC"</f>
        <v>LTM EBITDA Purchase Multiple at 15.6x-16.5x Exit EBITDA Multiple at 8.1% WACC</v>
      </c>
      <c r="H129"/>
      <c r="I129"/>
      <c r="J129" s="174"/>
      <c r="K129"/>
      <c r="L129"/>
      <c r="M129"/>
      <c r="N129"/>
      <c r="O129" s="175">
        <f>M102</f>
        <v>15.603008018646952</v>
      </c>
      <c r="P129" s="175">
        <f>Q129-O129</f>
        <v>0.93745733113995833</v>
      </c>
      <c r="Q129" s="176">
        <f>Q102</f>
        <v>16.54046534978691</v>
      </c>
    </row>
    <row r="130" spans="2:17" x14ac:dyDescent="0.25">
      <c r="B130" s="170" t="s">
        <v>133</v>
      </c>
      <c r="C130" s="171">
        <v>12.26</v>
      </c>
      <c r="D130" s="172">
        <f>E130-C130</f>
        <v>4.67</v>
      </c>
      <c r="E130" s="173">
        <v>16.93</v>
      </c>
      <c r="G130" s="170" t="str">
        <f>"LTM EBITDA Purchase Multiple at "&amp;TEXT(L104,"0.0%")&amp;"-"&amp;TEXT(L100,"0.0%")&amp;" WACC at "&amp;TEXT(O99,"0.0x")&amp;" Exit EBITDA"</f>
        <v>LTM EBITDA Purchase Multiple at 6.1%-10.1% WACC at 13.5x Exit EBITDA</v>
      </c>
      <c r="H130" s="40"/>
      <c r="I130" s="40"/>
      <c r="J130" s="177"/>
      <c r="K130" s="40"/>
      <c r="L130" s="40"/>
      <c r="M130" s="40"/>
      <c r="N130" s="40"/>
      <c r="O130" s="172">
        <f>O100</f>
        <v>14.181248789036788</v>
      </c>
      <c r="P130" s="172">
        <f>Q130-O130</f>
        <v>1.9952642801984002</v>
      </c>
      <c r="Q130" s="178">
        <f>O104</f>
        <v>16.176513069235188</v>
      </c>
    </row>
    <row r="131" spans="2:17" x14ac:dyDescent="0.25">
      <c r="J131" s="129"/>
    </row>
    <row r="132" spans="2:17" x14ac:dyDescent="0.25">
      <c r="J132" s="129"/>
    </row>
  </sheetData>
  <conditionalFormatting sqref="E91:J95 E100:J104">
    <cfRule type="cellIs" dxfId="1" priority="2" operator="lessThan">
      <formula>#REF!</formula>
    </cfRule>
  </conditionalFormatting>
  <dataValidations disablePrompts="1" count="1">
    <dataValidation type="list" allowBlank="1" showInputMessage="1" showErrorMessage="1" sqref="H9" xr:uid="{CB45C56C-AFB1-4E43-A477-1FC1C59EBD22}">
      <formula1>"0,1"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F4E94-4BEA-4BEC-A3D4-AE92824096F5}">
  <dimension ref="B1:I24"/>
  <sheetViews>
    <sheetView zoomScale="85" zoomScaleNormal="85" workbookViewId="0">
      <selection activeCell="C11" sqref="C11"/>
    </sheetView>
  </sheetViews>
  <sheetFormatPr defaultColWidth="9.140625" defaultRowHeight="15" x14ac:dyDescent="0.25"/>
  <cols>
    <col min="1" max="1" width="1.42578125" style="51" customWidth="1"/>
    <col min="2" max="2" width="50.28515625" style="51" customWidth="1"/>
    <col min="3" max="3" width="15.5703125" style="51" bestFit="1" customWidth="1"/>
    <col min="4" max="9" width="12.7109375" style="51" customWidth="1"/>
    <col min="10" max="10" width="1.7109375" style="51" customWidth="1"/>
    <col min="11" max="11" width="11" style="51" bestFit="1" customWidth="1"/>
    <col min="12" max="16" width="9.42578125" style="51" customWidth="1"/>
    <col min="17" max="16384" width="9.140625" style="51"/>
  </cols>
  <sheetData>
    <row r="1" spans="2:9" ht="15.75" thickBot="1" x14ac:dyDescent="0.3"/>
    <row r="2" spans="2:9" ht="15.75" thickBot="1" x14ac:dyDescent="0.3">
      <c r="B2" s="52" t="s">
        <v>134</v>
      </c>
      <c r="C2" s="53"/>
      <c r="D2" s="53"/>
      <c r="E2" s="53"/>
      <c r="F2" s="53"/>
      <c r="G2" s="53"/>
      <c r="H2" s="53"/>
      <c r="I2" s="53"/>
    </row>
    <row r="3" spans="2:9" x14ac:dyDescent="0.25">
      <c r="B3" s="54" t="str">
        <f>DCF!B3</f>
        <v>All amounts are shown in Saudi riyal, except per-share data, ratios, and shares outstanding</v>
      </c>
    </row>
    <row r="4" spans="2:9" ht="15" customHeight="1" x14ac:dyDescent="0.25">
      <c r="B4" s="139" t="s">
        <v>135</v>
      </c>
      <c r="C4" s="140"/>
      <c r="D4" s="140"/>
      <c r="E4" s="141"/>
      <c r="F4" s="142"/>
    </row>
    <row r="5" spans="2:9" x14ac:dyDescent="0.25">
      <c r="E5" s="94"/>
    </row>
    <row r="6" spans="2:9" ht="15" customHeight="1" x14ac:dyDescent="0.25">
      <c r="B6" s="51" t="s">
        <v>136</v>
      </c>
      <c r="C6" s="146">
        <f>-FSM!F223</f>
        <v>6.7856947544134225E-2</v>
      </c>
    </row>
    <row r="7" spans="2:9" ht="15" customHeight="1" x14ac:dyDescent="0.25">
      <c r="B7" s="51" t="s">
        <v>26</v>
      </c>
      <c r="C7" s="273">
        <v>2.5000000000000001E-2</v>
      </c>
    </row>
    <row r="8" spans="2:9" ht="15" customHeight="1" x14ac:dyDescent="0.25">
      <c r="B8" s="51" t="s">
        <v>137</v>
      </c>
      <c r="C8" s="147">
        <f>C6*(1-C7)</f>
        <v>6.6160523855530867E-2</v>
      </c>
    </row>
    <row r="10" spans="2:9" x14ac:dyDescent="0.25">
      <c r="B10" s="51" t="s">
        <v>138</v>
      </c>
      <c r="C10" s="145">
        <v>5.0799999999999998E-2</v>
      </c>
    </row>
    <row r="11" spans="2:9" x14ac:dyDescent="0.25">
      <c r="B11" s="51" t="s">
        <v>139</v>
      </c>
      <c r="C11" s="160">
        <f>(2/3*0.34)+1/3</f>
        <v>0.56000000000000005</v>
      </c>
      <c r="D11" s="274">
        <f>C11/(1+(1-C7)*(C19/C18))</f>
        <v>0.54001562140835235</v>
      </c>
      <c r="E11" s="51">
        <f>D11*(1+(1-C7)*(C19/C18))</f>
        <v>0.56000000000000005</v>
      </c>
    </row>
    <row r="12" spans="2:9" ht="15" customHeight="1" x14ac:dyDescent="0.25">
      <c r="B12" s="51" t="s">
        <v>140</v>
      </c>
      <c r="C12" s="148">
        <v>5.5E-2</v>
      </c>
    </row>
    <row r="13" spans="2:9" x14ac:dyDescent="0.25">
      <c r="B13" s="51" t="s">
        <v>141</v>
      </c>
      <c r="C13" s="149">
        <f>C10+C11*C12</f>
        <v>8.1600000000000006E-2</v>
      </c>
    </row>
    <row r="14" spans="2:9" x14ac:dyDescent="0.25">
      <c r="C14" s="150"/>
    </row>
    <row r="15" spans="2:9" x14ac:dyDescent="0.25">
      <c r="B15" s="143" t="s">
        <v>142</v>
      </c>
      <c r="C15" s="151"/>
      <c r="D15" s="151"/>
      <c r="E15" s="151"/>
    </row>
    <row r="16" spans="2:9" x14ac:dyDescent="0.25">
      <c r="B16" s="72"/>
      <c r="C16" s="119"/>
      <c r="D16" s="119" t="s">
        <v>143</v>
      </c>
    </row>
    <row r="17" spans="2:5" ht="17.25" x14ac:dyDescent="0.4">
      <c r="C17" s="152" t="s">
        <v>144</v>
      </c>
      <c r="D17" s="152" t="s">
        <v>145</v>
      </c>
      <c r="E17" s="152" t="s">
        <v>146</v>
      </c>
    </row>
    <row r="18" spans="2:5" x14ac:dyDescent="0.25">
      <c r="B18" s="51" t="s">
        <v>15</v>
      </c>
      <c r="C18" s="70">
        <f>DCF!I61*DCF!H5</f>
        <v>19608000</v>
      </c>
      <c r="D18" s="153"/>
      <c r="E18" s="154">
        <f>C18/(C18+C19)</f>
        <v>0.96343203499958729</v>
      </c>
    </row>
    <row r="19" spans="2:5" x14ac:dyDescent="0.25">
      <c r="B19" s="51" t="s">
        <v>100</v>
      </c>
      <c r="C19" s="70">
        <f>DCF!C57</f>
        <v>744240</v>
      </c>
      <c r="D19" s="155"/>
      <c r="E19" s="154">
        <f>C19/(C19+C18)</f>
        <v>3.6567965000412733E-2</v>
      </c>
    </row>
    <row r="21" spans="2:5" x14ac:dyDescent="0.25">
      <c r="B21" s="144" t="s">
        <v>147</v>
      </c>
      <c r="C21" s="156"/>
      <c r="D21" s="136"/>
      <c r="E21" s="157">
        <f>E18*C13+E19*C8</f>
        <v>8.1035409776724354E-2</v>
      </c>
    </row>
    <row r="22" spans="2:5" x14ac:dyDescent="0.25">
      <c r="B22" s="71"/>
      <c r="C22" s="99"/>
    </row>
    <row r="23" spans="2:5" x14ac:dyDescent="0.25">
      <c r="B23" s="71"/>
      <c r="C23" s="99"/>
    </row>
    <row r="24" spans="2:5" x14ac:dyDescent="0.25">
      <c r="B24" s="71"/>
      <c r="C24" s="99"/>
    </row>
  </sheetData>
  <conditionalFormatting sqref="B22:C24">
    <cfRule type="expression" dxfId="0" priority="1">
      <formula>#REF!="Industry"</formula>
    </cfRule>
  </conditionalFormatting>
  <dataValidations count="1">
    <dataValidation type="list" allowBlank="1" showInputMessage="1" showErrorMessage="1" sqref="C11" xr:uid="{BA86EDE5-7159-4B66-829E-7171B4D698DF}">
      <formula1>"0.34,=(2/3*0.34)+1/3"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FSM</vt:lpstr>
      <vt:lpstr>DCF</vt:lpstr>
      <vt:lpstr>WACC</vt:lpstr>
      <vt:lpstr>FSM!Company_Name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Ahmed WAEL</dc:creator>
  <dc:description/>
  <cp:lastModifiedBy>Ahmed Wael</cp:lastModifiedBy>
  <cp:revision>0</cp:revision>
  <dcterms:created xsi:type="dcterms:W3CDTF">2015-06-05T18:17:20Z</dcterms:created>
  <dcterms:modified xsi:type="dcterms:W3CDTF">2026-07-01T09:40:52Z</dcterms:modified>
  <dc:language>en-US</dc:language>
</cp:coreProperties>
</file>