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Juhayna\"/>
    </mc:Choice>
  </mc:AlternateContent>
  <xr:revisionPtr revIDLastSave="0" documentId="13_ncr:1_{FD5D47A0-71F8-4146-AD93-4C38E455BF34}" xr6:coauthVersionLast="47" xr6:coauthVersionMax="47" xr10:uidLastSave="{00000000-0000-0000-0000-000000000000}"/>
  <bookViews>
    <workbookView xWindow="-20610" yWindow="1845" windowWidth="20730" windowHeight="11160" tabRatio="500" activeTab="1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99" i="2" l="1"/>
  <c r="P99" i="2" s="1"/>
  <c r="Q99" i="2" s="1"/>
  <c r="G99" i="2"/>
  <c r="H99" i="2" s="1"/>
  <c r="I99" i="2" s="1"/>
  <c r="Q130" i="2"/>
  <c r="O130" i="2"/>
  <c r="Q129" i="2"/>
  <c r="O129" i="2"/>
  <c r="G129" i="2"/>
  <c r="Q128" i="2"/>
  <c r="O128" i="2"/>
  <c r="D130" i="2"/>
  <c r="E129" i="2"/>
  <c r="C129" i="2"/>
  <c r="E128" i="2"/>
  <c r="C128" i="2"/>
  <c r="D103" i="2"/>
  <c r="D104" i="2" s="1"/>
  <c r="D101" i="2"/>
  <c r="D100" i="2" s="1"/>
  <c r="L103" i="2"/>
  <c r="L104" i="2" s="1"/>
  <c r="L101" i="2"/>
  <c r="L100" i="2" s="1"/>
  <c r="L94" i="2"/>
  <c r="L95" i="2" s="1"/>
  <c r="L92" i="2"/>
  <c r="L91" i="2" s="1"/>
  <c r="P90" i="2"/>
  <c r="Q90" i="2" s="1"/>
  <c r="N90" i="2"/>
  <c r="M90" i="2" s="1"/>
  <c r="D94" i="2"/>
  <c r="D95" i="2" s="1"/>
  <c r="D92" i="2"/>
  <c r="D91" i="2" s="1"/>
  <c r="H90" i="2"/>
  <c r="I90" i="2" s="1"/>
  <c r="F90" i="2"/>
  <c r="E90" i="2" s="1"/>
  <c r="I56" i="2"/>
  <c r="F148" i="1"/>
  <c r="K148" i="1" s="1"/>
  <c r="E148" i="1"/>
  <c r="B129" i="2" l="1"/>
  <c r="G128" i="2"/>
  <c r="G130" i="2"/>
  <c r="N99" i="2"/>
  <c r="M99" i="2" s="1"/>
  <c r="F99" i="2"/>
  <c r="E99" i="2" s="1"/>
  <c r="B128" i="2" s="1"/>
  <c r="P129" i="2"/>
  <c r="D128" i="2"/>
  <c r="P128" i="2"/>
  <c r="P130" i="2"/>
  <c r="D129" i="2"/>
  <c r="I148" i="1"/>
  <c r="G148" i="1"/>
  <c r="H148" i="1"/>
  <c r="J148" i="1"/>
  <c r="D72" i="2"/>
  <c r="C72" i="2"/>
  <c r="H56" i="2"/>
  <c r="D19" i="3"/>
  <c r="I61" i="2"/>
  <c r="C18" i="3" s="1"/>
  <c r="C11" i="3"/>
  <c r="C57" i="2" l="1"/>
  <c r="C63" i="2"/>
  <c r="C62" i="2"/>
  <c r="C60" i="2"/>
  <c r="D32" i="2"/>
  <c r="B3" i="3"/>
  <c r="B35" i="2"/>
  <c r="C65" i="2" l="1"/>
  <c r="C12" i="2"/>
  <c r="D37" i="2"/>
  <c r="D12" i="2"/>
  <c r="E12" i="2" s="1"/>
  <c r="D5" i="2"/>
  <c r="D8" i="2" s="1"/>
  <c r="C38" i="2" s="1"/>
  <c r="E22" i="2"/>
  <c r="C19" i="3" l="1"/>
  <c r="C70" i="2"/>
  <c r="D70" i="2"/>
  <c r="F12" i="2"/>
  <c r="E19" i="3" l="1"/>
  <c r="E18" i="3"/>
  <c r="G12" i="2"/>
  <c r="H12" i="2" l="1"/>
  <c r="I12" i="2" l="1"/>
  <c r="B43" i="2" l="1"/>
  <c r="E44" i="2"/>
  <c r="B44" i="2"/>
  <c r="F13" i="1" l="1"/>
  <c r="F14" i="1"/>
  <c r="K33" i="1"/>
  <c r="J33" i="1"/>
  <c r="I33" i="1"/>
  <c r="H33" i="1"/>
  <c r="G33" i="1"/>
  <c r="F33" i="1"/>
  <c r="E33" i="1"/>
  <c r="D33" i="1"/>
  <c r="F44" i="1"/>
  <c r="J44" i="1" s="1"/>
  <c r="E44" i="1"/>
  <c r="F43" i="1"/>
  <c r="J43" i="1" s="1"/>
  <c r="E43" i="1"/>
  <c r="G217" i="1"/>
  <c r="H217" i="1" s="1"/>
  <c r="I217" i="1" s="1"/>
  <c r="J217" i="1" s="1"/>
  <c r="K217" i="1" s="1"/>
  <c r="G216" i="1"/>
  <c r="H216" i="1" s="1"/>
  <c r="I216" i="1" s="1"/>
  <c r="J216" i="1" s="1"/>
  <c r="K216" i="1" s="1"/>
  <c r="G215" i="1"/>
  <c r="H215" i="1" s="1"/>
  <c r="I215" i="1" s="1"/>
  <c r="J215" i="1" s="1"/>
  <c r="K215" i="1" s="1"/>
  <c r="G214" i="1"/>
  <c r="H214" i="1" s="1"/>
  <c r="I214" i="1" s="1"/>
  <c r="J214" i="1" s="1"/>
  <c r="K214" i="1" s="1"/>
  <c r="G213" i="1"/>
  <c r="E223" i="1"/>
  <c r="F223" i="1"/>
  <c r="E224" i="1"/>
  <c r="F224" i="1"/>
  <c r="E225" i="1"/>
  <c r="F225" i="1"/>
  <c r="E226" i="1"/>
  <c r="F226" i="1"/>
  <c r="F222" i="1"/>
  <c r="E222" i="1"/>
  <c r="E218" i="1"/>
  <c r="F218" i="1"/>
  <c r="D218" i="1"/>
  <c r="D16" i="1" s="1"/>
  <c r="D153" i="1" s="1"/>
  <c r="E168" i="1"/>
  <c r="F167" i="1"/>
  <c r="E189" i="1"/>
  <c r="F199" i="1"/>
  <c r="G198" i="1"/>
  <c r="G199" i="1" s="1"/>
  <c r="G55" i="1"/>
  <c r="H55" i="1" s="1"/>
  <c r="I55" i="1" s="1"/>
  <c r="J55" i="1" s="1"/>
  <c r="K55" i="1" s="1"/>
  <c r="G194" i="1"/>
  <c r="H194" i="1" s="1"/>
  <c r="I194" i="1" s="1"/>
  <c r="J194" i="1" s="1"/>
  <c r="K194" i="1" s="1"/>
  <c r="F193" i="1"/>
  <c r="E193" i="1"/>
  <c r="G188" i="1"/>
  <c r="H188" i="1" s="1"/>
  <c r="I188" i="1" s="1"/>
  <c r="J188" i="1" s="1"/>
  <c r="K188" i="1" s="1"/>
  <c r="F189" i="1"/>
  <c r="F190" i="1" s="1"/>
  <c r="G202" i="1"/>
  <c r="G176" i="1"/>
  <c r="G71" i="1"/>
  <c r="H71" i="1" s="1"/>
  <c r="I71" i="1" s="1"/>
  <c r="J71" i="1" s="1"/>
  <c r="K71" i="1" s="1"/>
  <c r="G72" i="1"/>
  <c r="H72" i="1" s="1"/>
  <c r="I72" i="1" s="1"/>
  <c r="J72" i="1" s="1"/>
  <c r="K72" i="1" s="1"/>
  <c r="G81" i="1"/>
  <c r="H81" i="1" s="1"/>
  <c r="I81" i="1" s="1"/>
  <c r="J81" i="1" s="1"/>
  <c r="K81" i="1" s="1"/>
  <c r="G80" i="1"/>
  <c r="H80" i="1" s="1"/>
  <c r="I80" i="1" s="1"/>
  <c r="J80" i="1" s="1"/>
  <c r="K80" i="1" s="1"/>
  <c r="D167" i="1"/>
  <c r="E167" i="1"/>
  <c r="D168" i="1"/>
  <c r="G89" i="1"/>
  <c r="H89" i="1" s="1"/>
  <c r="I89" i="1" s="1"/>
  <c r="J89" i="1" s="1"/>
  <c r="K89" i="1" s="1"/>
  <c r="E161" i="1"/>
  <c r="F161" i="1"/>
  <c r="G158" i="1" s="1"/>
  <c r="G61" i="1"/>
  <c r="H61" i="1" s="1"/>
  <c r="I61" i="1" s="1"/>
  <c r="J61" i="1" s="1"/>
  <c r="K61" i="1" s="1"/>
  <c r="E154" i="1"/>
  <c r="E30" i="1" s="1"/>
  <c r="F154" i="1"/>
  <c r="F30" i="1" s="1"/>
  <c r="D25" i="2" s="1"/>
  <c r="D154" i="1"/>
  <c r="D30" i="1" s="1"/>
  <c r="F144" i="1"/>
  <c r="G141" i="1" s="1"/>
  <c r="E144" i="1"/>
  <c r="F183" i="1" l="1"/>
  <c r="F209" i="1"/>
  <c r="F174" i="1"/>
  <c r="F139" i="1"/>
  <c r="F101" i="1"/>
  <c r="F48" i="1"/>
  <c r="G13" i="1"/>
  <c r="F47" i="1"/>
  <c r="F182" i="1"/>
  <c r="F208" i="1"/>
  <c r="F173" i="1"/>
  <c r="F138" i="1"/>
  <c r="F100" i="1"/>
  <c r="E13" i="1"/>
  <c r="G44" i="1"/>
  <c r="K43" i="1"/>
  <c r="K44" i="1"/>
  <c r="H43" i="1"/>
  <c r="H44" i="1"/>
  <c r="I43" i="1"/>
  <c r="I44" i="1"/>
  <c r="G43" i="1"/>
  <c r="F219" i="1"/>
  <c r="E219" i="1"/>
  <c r="E16" i="1"/>
  <c r="F16" i="1"/>
  <c r="D14" i="2" s="1"/>
  <c r="D33" i="2" s="1"/>
  <c r="G218" i="1"/>
  <c r="H213" i="1"/>
  <c r="F195" i="1"/>
  <c r="F185" i="1" s="1"/>
  <c r="K130" i="1"/>
  <c r="G130" i="1"/>
  <c r="G193" i="1"/>
  <c r="H195" i="1" s="1"/>
  <c r="J130" i="1"/>
  <c r="H130" i="1"/>
  <c r="I130" i="1"/>
  <c r="H198" i="1"/>
  <c r="I198" i="1" s="1"/>
  <c r="J198" i="1" s="1"/>
  <c r="K198" i="1" s="1"/>
  <c r="G195" i="1"/>
  <c r="G190" i="1"/>
  <c r="H193" i="1"/>
  <c r="I195" i="1" s="1"/>
  <c r="I193" i="1"/>
  <c r="J195" i="1" s="1"/>
  <c r="D13" i="1" l="1"/>
  <c r="E47" i="1"/>
  <c r="E182" i="1"/>
  <c r="E208" i="1"/>
  <c r="E173" i="1"/>
  <c r="E138" i="1"/>
  <c r="E100" i="1"/>
  <c r="H13" i="1"/>
  <c r="G182" i="1"/>
  <c r="G208" i="1"/>
  <c r="G173" i="1"/>
  <c r="G138" i="1"/>
  <c r="G100" i="1"/>
  <c r="G47" i="1"/>
  <c r="F153" i="1"/>
  <c r="F42" i="1"/>
  <c r="E153" i="1"/>
  <c r="E42" i="1"/>
  <c r="G219" i="1"/>
  <c r="G16" i="1"/>
  <c r="I213" i="1"/>
  <c r="H218" i="1"/>
  <c r="G185" i="1"/>
  <c r="J193" i="1"/>
  <c r="K195" i="1" s="1"/>
  <c r="K193" i="1"/>
  <c r="E14" i="2" l="1"/>
  <c r="G142" i="1"/>
  <c r="C14" i="2"/>
  <c r="E15" i="2"/>
  <c r="I13" i="1"/>
  <c r="H47" i="1"/>
  <c r="H182" i="1"/>
  <c r="H208" i="1"/>
  <c r="H173" i="1"/>
  <c r="H138" i="1"/>
  <c r="H100" i="1"/>
  <c r="D182" i="1"/>
  <c r="D208" i="1"/>
  <c r="D173" i="1"/>
  <c r="D138" i="1"/>
  <c r="D100" i="1"/>
  <c r="D47" i="1"/>
  <c r="J42" i="1"/>
  <c r="I42" i="1"/>
  <c r="G42" i="1"/>
  <c r="G54" i="1" s="1"/>
  <c r="H42" i="1"/>
  <c r="K42" i="1"/>
  <c r="G37" i="1"/>
  <c r="H219" i="1"/>
  <c r="H16" i="1"/>
  <c r="J213" i="1"/>
  <c r="I218" i="1"/>
  <c r="F14" i="2" l="1"/>
  <c r="F15" i="2" s="1"/>
  <c r="H142" i="1"/>
  <c r="J13" i="1"/>
  <c r="I47" i="1"/>
  <c r="I182" i="1"/>
  <c r="I208" i="1"/>
  <c r="I173" i="1"/>
  <c r="I138" i="1"/>
  <c r="I100" i="1"/>
  <c r="G62" i="1"/>
  <c r="G161" i="1" s="1"/>
  <c r="H158" i="1" s="1"/>
  <c r="H37" i="1"/>
  <c r="H54" i="1"/>
  <c r="G120" i="1"/>
  <c r="E27" i="2" s="1"/>
  <c r="E28" i="2" s="1"/>
  <c r="I219" i="1"/>
  <c r="I16" i="1"/>
  <c r="K213" i="1"/>
  <c r="K218" i="1" s="1"/>
  <c r="K16" i="1" s="1"/>
  <c r="K142" i="1" s="1"/>
  <c r="J218" i="1"/>
  <c r="G14" i="2" l="1"/>
  <c r="I142" i="1"/>
  <c r="G15" i="2"/>
  <c r="K54" i="1"/>
  <c r="I14" i="2"/>
  <c r="K13" i="1"/>
  <c r="J47" i="1"/>
  <c r="J182" i="1"/>
  <c r="J208" i="1"/>
  <c r="J173" i="1"/>
  <c r="J138" i="1"/>
  <c r="J100" i="1"/>
  <c r="H62" i="1"/>
  <c r="H161" i="1" s="1"/>
  <c r="I158" i="1" s="1"/>
  <c r="I37" i="1"/>
  <c r="I54" i="1"/>
  <c r="J219" i="1"/>
  <c r="J16" i="1"/>
  <c r="K219" i="1"/>
  <c r="H14" i="2" l="1"/>
  <c r="J142" i="1"/>
  <c r="I15" i="2"/>
  <c r="H15" i="2"/>
  <c r="K182" i="1"/>
  <c r="K208" i="1"/>
  <c r="K173" i="1"/>
  <c r="K138" i="1"/>
  <c r="K100" i="1"/>
  <c r="K47" i="1"/>
  <c r="H120" i="1"/>
  <c r="F27" i="2" s="1"/>
  <c r="F28" i="2" s="1"/>
  <c r="J37" i="1"/>
  <c r="J54" i="1"/>
  <c r="I62" i="1"/>
  <c r="I161" i="1" s="1"/>
  <c r="J158" i="1" s="1"/>
  <c r="K37" i="1"/>
  <c r="J120" i="1" l="1"/>
  <c r="H27" i="2" s="1"/>
  <c r="H28" i="2" s="1"/>
  <c r="I120" i="1"/>
  <c r="G27" i="2" s="1"/>
  <c r="G28" i="2" s="1"/>
  <c r="K120" i="1"/>
  <c r="I27" i="2" s="1"/>
  <c r="I28" i="2" s="1"/>
  <c r="J62" i="1"/>
  <c r="J161" i="1" s="1"/>
  <c r="K158" i="1" s="1"/>
  <c r="G83" i="1"/>
  <c r="H83" i="1" s="1"/>
  <c r="I83" i="1" s="1"/>
  <c r="J83" i="1" s="1"/>
  <c r="K83" i="1" s="1"/>
  <c r="G76" i="1"/>
  <c r="G92" i="1"/>
  <c r="H92" i="1" s="1"/>
  <c r="I92" i="1" s="1"/>
  <c r="J92" i="1" s="1"/>
  <c r="K92" i="1" s="1"/>
  <c r="G90" i="1"/>
  <c r="H90" i="1" s="1"/>
  <c r="I90" i="1" s="1"/>
  <c r="J90" i="1" s="1"/>
  <c r="K90" i="1" s="1"/>
  <c r="G82" i="1"/>
  <c r="G75" i="1"/>
  <c r="G105" i="1" s="1"/>
  <c r="G74" i="1"/>
  <c r="H74" i="1" s="1"/>
  <c r="I74" i="1" s="1"/>
  <c r="J74" i="1" s="1"/>
  <c r="K74" i="1" s="1"/>
  <c r="G56" i="1"/>
  <c r="H56" i="1" s="1"/>
  <c r="I56" i="1" s="1"/>
  <c r="J56" i="1" s="1"/>
  <c r="K56" i="1" s="1"/>
  <c r="G22" i="1"/>
  <c r="H41" i="1"/>
  <c r="E93" i="1"/>
  <c r="F84" i="1"/>
  <c r="E84" i="1"/>
  <c r="F77" i="1"/>
  <c r="E77" i="1"/>
  <c r="F63" i="1"/>
  <c r="E63" i="1"/>
  <c r="F57" i="1"/>
  <c r="E57" i="1"/>
  <c r="D40" i="1"/>
  <c r="E40" i="1"/>
  <c r="F40" i="1"/>
  <c r="E39" i="1"/>
  <c r="F39" i="1"/>
  <c r="D39" i="1"/>
  <c r="F37" i="1"/>
  <c r="E37" i="1"/>
  <c r="E18" i="1"/>
  <c r="E23" i="1" s="1"/>
  <c r="F18" i="1"/>
  <c r="F23" i="1" s="1"/>
  <c r="D18" i="1"/>
  <c r="D23" i="1" s="1"/>
  <c r="D26" i="1" s="1"/>
  <c r="D28" i="1" s="1"/>
  <c r="I41" i="1" l="1"/>
  <c r="F22" i="2"/>
  <c r="F31" i="1"/>
  <c r="D16" i="2" s="1"/>
  <c r="D18" i="2"/>
  <c r="K62" i="1"/>
  <c r="K161" i="1" s="1"/>
  <c r="D166" i="1"/>
  <c r="D170" i="1" s="1"/>
  <c r="D34" i="1"/>
  <c r="G106" i="1"/>
  <c r="H82" i="1"/>
  <c r="H76" i="1"/>
  <c r="H114" i="1" s="1"/>
  <c r="G114" i="1"/>
  <c r="F65" i="1"/>
  <c r="F86" i="1"/>
  <c r="E65" i="1"/>
  <c r="H75" i="1"/>
  <c r="H105" i="1" s="1"/>
  <c r="H20" i="1"/>
  <c r="H21" i="1"/>
  <c r="G84" i="1"/>
  <c r="E86" i="1"/>
  <c r="E95" i="1" s="1"/>
  <c r="G21" i="1"/>
  <c r="G18" i="1"/>
  <c r="G17" i="1" s="1"/>
  <c r="G20" i="1"/>
  <c r="G112" i="1"/>
  <c r="H112" i="1"/>
  <c r="H18" i="1"/>
  <c r="H22" i="1"/>
  <c r="I22" i="1" s="1"/>
  <c r="J22" i="1" s="1"/>
  <c r="K22" i="1" s="1"/>
  <c r="D38" i="1"/>
  <c r="F38" i="1"/>
  <c r="D41" i="1"/>
  <c r="E38" i="1"/>
  <c r="E31" i="1"/>
  <c r="E26" i="1"/>
  <c r="F26" i="1"/>
  <c r="D31" i="1"/>
  <c r="C2" i="1"/>
  <c r="G14" i="1"/>
  <c r="G183" i="1" l="1"/>
  <c r="G209" i="1"/>
  <c r="G174" i="1"/>
  <c r="G139" i="1"/>
  <c r="G101" i="1"/>
  <c r="G48" i="1"/>
  <c r="J41" i="1"/>
  <c r="G22" i="2"/>
  <c r="G53" i="1"/>
  <c r="G73" i="1"/>
  <c r="I76" i="1"/>
  <c r="I114" i="1" s="1"/>
  <c r="I82" i="1"/>
  <c r="I84" i="1" s="1"/>
  <c r="H106" i="1"/>
  <c r="I18" i="1"/>
  <c r="I17" i="1" s="1"/>
  <c r="G23" i="1"/>
  <c r="E18" i="2" s="1"/>
  <c r="C18" i="2" s="1"/>
  <c r="E97" i="1"/>
  <c r="I75" i="1"/>
  <c r="I105" i="1" s="1"/>
  <c r="I112" i="1"/>
  <c r="I20" i="1"/>
  <c r="I21" i="1"/>
  <c r="J20" i="1"/>
  <c r="J21" i="1"/>
  <c r="H84" i="1"/>
  <c r="H17" i="1"/>
  <c r="H23" i="1"/>
  <c r="F18" i="2" s="1"/>
  <c r="F21" i="2" s="1"/>
  <c r="J18" i="1"/>
  <c r="F28" i="1"/>
  <c r="F41" i="1"/>
  <c r="D22" i="2" s="1"/>
  <c r="D21" i="2" s="1"/>
  <c r="E28" i="1"/>
  <c r="E41" i="1"/>
  <c r="H14" i="1"/>
  <c r="E14" i="1"/>
  <c r="E32" i="2" l="1"/>
  <c r="E33" i="2" s="1"/>
  <c r="H183" i="1"/>
  <c r="H209" i="1"/>
  <c r="H174" i="1"/>
  <c r="H139" i="1"/>
  <c r="H101" i="1"/>
  <c r="H48" i="1"/>
  <c r="E23" i="2"/>
  <c r="E21" i="2"/>
  <c r="E19" i="2"/>
  <c r="K41" i="1"/>
  <c r="I22" i="2" s="1"/>
  <c r="H22" i="2"/>
  <c r="E183" i="1"/>
  <c r="E209" i="1"/>
  <c r="E174" i="1"/>
  <c r="E139" i="1"/>
  <c r="E101" i="1"/>
  <c r="E48" i="1"/>
  <c r="F23" i="2"/>
  <c r="F19" i="2"/>
  <c r="D23" i="2"/>
  <c r="J76" i="1"/>
  <c r="J114" i="1" s="1"/>
  <c r="I53" i="1"/>
  <c r="I73" i="1"/>
  <c r="E166" i="1"/>
  <c r="E170" i="1" s="1"/>
  <c r="E34" i="1"/>
  <c r="F166" i="1"/>
  <c r="F170" i="1" s="1"/>
  <c r="H170" i="1" s="1"/>
  <c r="F34" i="1"/>
  <c r="H73" i="1"/>
  <c r="H113" i="1" s="1"/>
  <c r="H53" i="1"/>
  <c r="J82" i="1"/>
  <c r="I106" i="1"/>
  <c r="I23" i="1"/>
  <c r="G18" i="2" s="1"/>
  <c r="J75" i="1"/>
  <c r="J105" i="1" s="1"/>
  <c r="G111" i="1"/>
  <c r="J112" i="1"/>
  <c r="G113" i="1"/>
  <c r="J17" i="1"/>
  <c r="J23" i="1"/>
  <c r="H18" i="2" s="1"/>
  <c r="K18" i="1"/>
  <c r="K17" i="1" s="1"/>
  <c r="K20" i="1"/>
  <c r="K21" i="1"/>
  <c r="D14" i="1"/>
  <c r="I14" i="1"/>
  <c r="E26" i="2" l="1"/>
  <c r="I170" i="1"/>
  <c r="K170" i="1"/>
  <c r="H21" i="2"/>
  <c r="G23" i="2"/>
  <c r="G19" i="2"/>
  <c r="G32" i="2"/>
  <c r="G21" i="2"/>
  <c r="H23" i="2"/>
  <c r="H19" i="2"/>
  <c r="C7" i="3"/>
  <c r="C8" i="3" s="1"/>
  <c r="I183" i="1"/>
  <c r="I209" i="1"/>
  <c r="I174" i="1"/>
  <c r="I139" i="1"/>
  <c r="I101" i="1"/>
  <c r="I48" i="1"/>
  <c r="D48" i="1"/>
  <c r="D183" i="1"/>
  <c r="D209" i="1"/>
  <c r="D174" i="1"/>
  <c r="D139" i="1"/>
  <c r="D101" i="1"/>
  <c r="H111" i="1"/>
  <c r="F32" i="2"/>
  <c r="K76" i="1"/>
  <c r="K114" i="1" s="1"/>
  <c r="J170" i="1"/>
  <c r="G170" i="1"/>
  <c r="J53" i="1"/>
  <c r="J73" i="1"/>
  <c r="K53" i="1"/>
  <c r="K73" i="1"/>
  <c r="K82" i="1"/>
  <c r="J106" i="1"/>
  <c r="J84" i="1"/>
  <c r="K75" i="1"/>
  <c r="K105" i="1" s="1"/>
  <c r="I113" i="1"/>
  <c r="K112" i="1"/>
  <c r="I111" i="1"/>
  <c r="K23" i="1"/>
  <c r="I18" i="2" s="1"/>
  <c r="J14" i="1"/>
  <c r="G33" i="2" l="1"/>
  <c r="G26" i="2"/>
  <c r="F33" i="2"/>
  <c r="F26" i="2"/>
  <c r="I19" i="2"/>
  <c r="I23" i="2"/>
  <c r="H32" i="2"/>
  <c r="J183" i="1"/>
  <c r="J209" i="1"/>
  <c r="J174" i="1"/>
  <c r="J139" i="1"/>
  <c r="J101" i="1"/>
  <c r="J48" i="1"/>
  <c r="I32" i="2"/>
  <c r="I33" i="2" s="1"/>
  <c r="I21" i="2"/>
  <c r="K106" i="1"/>
  <c r="K84" i="1"/>
  <c r="J111" i="1"/>
  <c r="J113" i="1"/>
  <c r="K14" i="1"/>
  <c r="I26" i="2" l="1"/>
  <c r="H33" i="2"/>
  <c r="K183" i="1"/>
  <c r="K209" i="1"/>
  <c r="K174" i="1"/>
  <c r="K139" i="1"/>
  <c r="K101" i="1"/>
  <c r="K48" i="1"/>
  <c r="H26" i="2"/>
  <c r="K111" i="1"/>
  <c r="K113" i="1"/>
  <c r="G25" i="1" l="1"/>
  <c r="G26" i="1" s="1"/>
  <c r="G27" i="1" s="1"/>
  <c r="G28" i="1" l="1"/>
  <c r="G34" i="1" s="1"/>
  <c r="G103" i="1" l="1"/>
  <c r="G166" i="1"/>
  <c r="G167" i="1" l="1"/>
  <c r="G128" i="1" l="1"/>
  <c r="F93" i="1"/>
  <c r="F95" i="1" s="1"/>
  <c r="F97" i="1" s="1"/>
  <c r="F168" i="1"/>
  <c r="G165" i="1" s="1"/>
  <c r="G168" i="1" s="1"/>
  <c r="G91" i="1" l="1"/>
  <c r="G93" i="1" s="1"/>
  <c r="H165" i="1"/>
  <c r="C13" i="3"/>
  <c r="E21" i="3" s="1"/>
  <c r="H4" i="2" s="1"/>
  <c r="H7" i="2" l="1"/>
  <c r="H8" i="2"/>
  <c r="C16" i="2"/>
  <c r="E16" i="2"/>
  <c r="F16" i="2"/>
  <c r="G16" i="2"/>
  <c r="H16" i="2"/>
  <c r="I16" i="2"/>
  <c r="E17" i="2"/>
  <c r="F17" i="2"/>
  <c r="G17" i="2"/>
  <c r="H17" i="2"/>
  <c r="I17" i="2"/>
  <c r="E25" i="2"/>
  <c r="F25" i="2"/>
  <c r="G25" i="2"/>
  <c r="H25" i="2"/>
  <c r="I25" i="2"/>
  <c r="E30" i="2"/>
  <c r="F30" i="2"/>
  <c r="G30" i="2"/>
  <c r="H30" i="2"/>
  <c r="I30" i="2"/>
  <c r="E37" i="2"/>
  <c r="F37" i="2"/>
  <c r="G37" i="2"/>
  <c r="H37" i="2"/>
  <c r="I37" i="2"/>
  <c r="E38" i="2"/>
  <c r="F38" i="2"/>
  <c r="G38" i="2"/>
  <c r="H38" i="2"/>
  <c r="I38" i="2"/>
  <c r="E39" i="2"/>
  <c r="F39" i="2"/>
  <c r="G39" i="2"/>
  <c r="H39" i="2"/>
  <c r="I39" i="2"/>
  <c r="I42" i="2"/>
  <c r="C43" i="2"/>
  <c r="C44" i="2"/>
  <c r="I44" i="2"/>
  <c r="C45" i="2"/>
  <c r="I45" i="2"/>
  <c r="C46" i="2"/>
  <c r="I46" i="2"/>
  <c r="C47" i="2"/>
  <c r="I47" i="2"/>
  <c r="C49" i="2"/>
  <c r="I49" i="2"/>
  <c r="C50" i="2"/>
  <c r="I50" i="2"/>
  <c r="C51" i="2"/>
  <c r="I51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G30" i="1"/>
  <c r="H30" i="1"/>
  <c r="I30" i="1"/>
  <c r="J30" i="1"/>
  <c r="K30" i="1"/>
  <c r="G31" i="1"/>
  <c r="H31" i="1"/>
  <c r="I31" i="1"/>
  <c r="J31" i="1"/>
  <c r="K31" i="1"/>
  <c r="H34" i="1"/>
  <c r="I34" i="1"/>
  <c r="J34" i="1"/>
  <c r="K34" i="1"/>
  <c r="G52" i="1"/>
  <c r="H52" i="1"/>
  <c r="I52" i="1"/>
  <c r="J52" i="1"/>
  <c r="K52" i="1"/>
  <c r="G57" i="1"/>
  <c r="H57" i="1"/>
  <c r="I57" i="1"/>
  <c r="J57" i="1"/>
  <c r="K57" i="1"/>
  <c r="G60" i="1"/>
  <c r="H60" i="1"/>
  <c r="I60" i="1"/>
  <c r="J60" i="1"/>
  <c r="K60" i="1"/>
  <c r="G63" i="1"/>
  <c r="H63" i="1"/>
  <c r="I63" i="1"/>
  <c r="J63" i="1"/>
  <c r="K63" i="1"/>
  <c r="G65" i="1"/>
  <c r="H65" i="1"/>
  <c r="I65" i="1"/>
  <c r="J65" i="1"/>
  <c r="K65" i="1"/>
  <c r="G70" i="1"/>
  <c r="H70" i="1"/>
  <c r="I70" i="1"/>
  <c r="J70" i="1"/>
  <c r="K70" i="1"/>
  <c r="G77" i="1"/>
  <c r="H77" i="1"/>
  <c r="I77" i="1"/>
  <c r="J77" i="1"/>
  <c r="K77" i="1"/>
  <c r="G86" i="1"/>
  <c r="H86" i="1"/>
  <c r="I86" i="1"/>
  <c r="J86" i="1"/>
  <c r="K86" i="1"/>
  <c r="H91" i="1"/>
  <c r="I91" i="1"/>
  <c r="J91" i="1"/>
  <c r="K91" i="1"/>
  <c r="H93" i="1"/>
  <c r="I93" i="1"/>
  <c r="J93" i="1"/>
  <c r="K93" i="1"/>
  <c r="G95" i="1"/>
  <c r="H95" i="1"/>
  <c r="I95" i="1"/>
  <c r="J95" i="1"/>
  <c r="K95" i="1"/>
  <c r="G97" i="1"/>
  <c r="H97" i="1"/>
  <c r="I97" i="1"/>
  <c r="J97" i="1"/>
  <c r="K97" i="1"/>
  <c r="H103" i="1"/>
  <c r="I103" i="1"/>
  <c r="J103" i="1"/>
  <c r="K103" i="1"/>
  <c r="G104" i="1"/>
  <c r="H104" i="1"/>
  <c r="I104" i="1"/>
  <c r="J104" i="1"/>
  <c r="K104" i="1"/>
  <c r="G109" i="1"/>
  <c r="H109" i="1"/>
  <c r="I109" i="1"/>
  <c r="J109" i="1"/>
  <c r="K109" i="1"/>
  <c r="G115" i="1"/>
  <c r="H115" i="1"/>
  <c r="I115" i="1"/>
  <c r="J115" i="1"/>
  <c r="K115" i="1"/>
  <c r="G116" i="1"/>
  <c r="H116" i="1"/>
  <c r="I116" i="1"/>
  <c r="J116" i="1"/>
  <c r="K116" i="1"/>
  <c r="G123" i="1"/>
  <c r="H123" i="1"/>
  <c r="I123" i="1"/>
  <c r="J123" i="1"/>
  <c r="K123" i="1"/>
  <c r="G124" i="1"/>
  <c r="H124" i="1"/>
  <c r="I124" i="1"/>
  <c r="J124" i="1"/>
  <c r="K124" i="1"/>
  <c r="H128" i="1"/>
  <c r="I128" i="1"/>
  <c r="J128" i="1"/>
  <c r="K128" i="1"/>
  <c r="G129" i="1"/>
  <c r="H129" i="1"/>
  <c r="I129" i="1"/>
  <c r="J129" i="1"/>
  <c r="K129" i="1"/>
  <c r="G131" i="1"/>
  <c r="H131" i="1"/>
  <c r="I131" i="1"/>
  <c r="J131" i="1"/>
  <c r="K131" i="1"/>
  <c r="G133" i="1"/>
  <c r="H133" i="1"/>
  <c r="I133" i="1"/>
  <c r="J133" i="1"/>
  <c r="K133" i="1"/>
  <c r="G135" i="1"/>
  <c r="H135" i="1"/>
  <c r="I135" i="1"/>
  <c r="J135" i="1"/>
  <c r="K135" i="1"/>
  <c r="H141" i="1"/>
  <c r="I141" i="1"/>
  <c r="J141" i="1"/>
  <c r="K141" i="1"/>
  <c r="G143" i="1"/>
  <c r="H143" i="1"/>
  <c r="I143" i="1"/>
  <c r="J143" i="1"/>
  <c r="K143" i="1"/>
  <c r="G144" i="1"/>
  <c r="H144" i="1"/>
  <c r="I144" i="1"/>
  <c r="J144" i="1"/>
  <c r="K144" i="1"/>
  <c r="G152" i="1"/>
  <c r="H152" i="1"/>
  <c r="I152" i="1"/>
  <c r="J152" i="1"/>
  <c r="K152" i="1"/>
  <c r="G153" i="1"/>
  <c r="H153" i="1"/>
  <c r="I153" i="1"/>
  <c r="J153" i="1"/>
  <c r="K153" i="1"/>
  <c r="G154" i="1"/>
  <c r="H154" i="1"/>
  <c r="I154" i="1"/>
  <c r="J154" i="1"/>
  <c r="K154" i="1"/>
  <c r="G159" i="1"/>
  <c r="H159" i="1"/>
  <c r="I159" i="1"/>
  <c r="J159" i="1"/>
  <c r="K159" i="1"/>
  <c r="G160" i="1"/>
  <c r="H160" i="1"/>
  <c r="I160" i="1"/>
  <c r="J160" i="1"/>
  <c r="K160" i="1"/>
  <c r="I165" i="1"/>
  <c r="J165" i="1"/>
  <c r="K165" i="1"/>
  <c r="H166" i="1"/>
  <c r="I166" i="1"/>
  <c r="J166" i="1"/>
  <c r="K166" i="1"/>
  <c r="H167" i="1"/>
  <c r="I167" i="1"/>
  <c r="J167" i="1"/>
  <c r="K167" i="1"/>
  <c r="H168" i="1"/>
  <c r="I168" i="1"/>
  <c r="J168" i="1"/>
  <c r="K168" i="1"/>
  <c r="H176" i="1"/>
  <c r="I176" i="1"/>
  <c r="J176" i="1"/>
  <c r="K176" i="1"/>
  <c r="G178" i="1"/>
  <c r="H178" i="1"/>
  <c r="I178" i="1"/>
  <c r="J178" i="1"/>
  <c r="K178" i="1"/>
  <c r="G179" i="1"/>
  <c r="H179" i="1"/>
  <c r="I179" i="1"/>
  <c r="J179" i="1"/>
  <c r="K179" i="1"/>
  <c r="H185" i="1"/>
  <c r="I185" i="1"/>
  <c r="J185" i="1"/>
  <c r="K185" i="1"/>
  <c r="G189" i="1"/>
  <c r="H189" i="1"/>
  <c r="I189" i="1"/>
  <c r="J189" i="1"/>
  <c r="K189" i="1"/>
  <c r="H190" i="1"/>
  <c r="I190" i="1"/>
  <c r="J190" i="1"/>
  <c r="K190" i="1"/>
  <c r="H199" i="1"/>
  <c r="I199" i="1"/>
  <c r="J199" i="1"/>
  <c r="K199" i="1"/>
  <c r="H202" i="1"/>
  <c r="I202" i="1"/>
  <c r="J202" i="1"/>
  <c r="K202" i="1"/>
  <c r="G203" i="1"/>
  <c r="H203" i="1"/>
  <c r="I203" i="1"/>
  <c r="J203" i="1"/>
  <c r="K203" i="1"/>
  <c r="G205" i="1"/>
  <c r="H205" i="1"/>
  <c r="I205" i="1"/>
  <c r="J205" i="1"/>
  <c r="K205" i="1"/>
</calcChain>
</file>

<file path=xl/sharedStrings.xml><?xml version="1.0" encoding="utf-8"?>
<sst xmlns="http://schemas.openxmlformats.org/spreadsheetml/2006/main" count="320" uniqueCount="257">
  <si>
    <t>Company Name</t>
  </si>
  <si>
    <t>Ticker</t>
  </si>
  <si>
    <t>Last Historical Year</t>
  </si>
  <si>
    <t>Net Sales</t>
  </si>
  <si>
    <t>Gross Profit</t>
  </si>
  <si>
    <t>Profit Before Tax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</si>
  <si>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</si>
  <si>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</si>
  <si>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</si>
  <si>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</si>
  <si>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</si>
  <si>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</si>
  <si>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</si>
  <si>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</si>
  <si>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Provisions</t>
  </si>
  <si>
    <t>Creditors and other credit balances</t>
  </si>
  <si>
    <t>Total Current Liabilities</t>
  </si>
  <si>
    <t>Non-Current Liabilities</t>
  </si>
  <si>
    <t>Total Non-Current Liabilities</t>
  </si>
  <si>
    <t>Total Liabilities</t>
  </si>
  <si>
    <t>Equity</t>
  </si>
  <si>
    <t>Issued and paid-up capital</t>
  </si>
  <si>
    <t>Reserves</t>
  </si>
  <si>
    <t>Retained earnings</t>
  </si>
  <si>
    <t>Total Equity</t>
  </si>
  <si>
    <t>Total Liabilites &amp; Equity</t>
  </si>
  <si>
    <t>Balance Check</t>
  </si>
  <si>
    <t>(+) Depreciation &amp; Amortization</t>
  </si>
  <si>
    <t>(+/-) Change in Provisions</t>
  </si>
  <si>
    <t>(+/-) Other non-cash adjustments</t>
  </si>
  <si>
    <t>Operating Cash Flow Before WC Changes</t>
  </si>
  <si>
    <t>(Increase) / Decrease in Inventory</t>
  </si>
  <si>
    <t>(Increase) / Decrease in Receivables</t>
  </si>
  <si>
    <t>Increase / (Decrease) in Payables</t>
  </si>
  <si>
    <t>Increase / (Decrease) in Other WC items</t>
  </si>
  <si>
    <t>Cash Generated from Operations</t>
  </si>
  <si>
    <t>Net Cash Inflow from Operating Activities</t>
  </si>
  <si>
    <t>CASH FLOWS FROM INVESTING ACTIVITIES</t>
  </si>
  <si>
    <t>(+) Proceeds from sale of fixed assets</t>
  </si>
  <si>
    <t>Net Cash Used in Investing Activities</t>
  </si>
  <si>
    <t>CASH FLOWS FROM FINANCING ACTIVITIES</t>
  </si>
  <si>
    <t>(-) Dividends Paid</t>
  </si>
  <si>
    <t>(+/-) Change in Borrowings &amp; Overdraft</t>
  </si>
  <si>
    <t>(+/-) Lease Payments</t>
  </si>
  <si>
    <t>Net Cash Used in Financing Activities</t>
  </si>
  <si>
    <t>Reconciliation Check vs BS Cash</t>
  </si>
  <si>
    <t>Juhayna Food Industries</t>
  </si>
  <si>
    <t>JUFO.CA</t>
  </si>
  <si>
    <t>Depreciation &amp; amortization</t>
  </si>
  <si>
    <t>EBITDA</t>
  </si>
  <si>
    <t>Revenue growth</t>
  </si>
  <si>
    <t>Gross profit margin</t>
  </si>
  <si>
    <t>Tax rate</t>
  </si>
  <si>
    <t>Growth Rates &amp; Margins</t>
  </si>
  <si>
    <t>Net change in cash during period</t>
  </si>
  <si>
    <t>Latest Closing Share Price</t>
  </si>
  <si>
    <t>Latest Closing Share Price Date</t>
  </si>
  <si>
    <t>Operating Profit (EBIT)</t>
  </si>
  <si>
    <t>Net Income</t>
  </si>
  <si>
    <t>Taxes (enter expense as -)</t>
  </si>
  <si>
    <t>Cost of sales (enter as -)</t>
  </si>
  <si>
    <t>Selling &amp; distribution expenses (enter as -)</t>
  </si>
  <si>
    <t>General &amp; administrative expenses (enter as -)</t>
  </si>
  <si>
    <t>Other operating items, net</t>
  </si>
  <si>
    <t>Net finance cost (enter as -)</t>
  </si>
  <si>
    <t>S&amp;D % of sales</t>
  </si>
  <si>
    <t>G&amp;A % of sales</t>
  </si>
  <si>
    <t>EGP in thousands, except per-share data, ratios, and shares outstanding</t>
  </si>
  <si>
    <t>Cash and cash equivalents</t>
  </si>
  <si>
    <t>Inventory</t>
  </si>
  <si>
    <t>Trade and other receivables</t>
  </si>
  <si>
    <t>Investment at amortized cost (current)</t>
  </si>
  <si>
    <t>Other current assets</t>
  </si>
  <si>
    <t>Goodwill and other long-term assets</t>
  </si>
  <si>
    <t>Bank credit facilities</t>
  </si>
  <si>
    <t>Loans (current portion)</t>
  </si>
  <si>
    <t>Lease liabilities (current)</t>
  </si>
  <si>
    <t>Income tax liabilities</t>
  </si>
  <si>
    <t>Other current liabilities</t>
  </si>
  <si>
    <t>Loans (non-current)</t>
  </si>
  <si>
    <t>Lease liabilities (non-current)</t>
  </si>
  <si>
    <t>Deferred tax liabilities</t>
  </si>
  <si>
    <t>Deferred income (non-current)</t>
  </si>
  <si>
    <t>Non-controlling interest</t>
  </si>
  <si>
    <t>Shares outstanding</t>
  </si>
  <si>
    <t>(+/-) Net Investments</t>
  </si>
  <si>
    <t>(-) CapEx</t>
  </si>
  <si>
    <t>(+/-) Reversal of Net Financing Cost</t>
  </si>
  <si>
    <t>(+/-) Reversal of Investing Income</t>
  </si>
  <si>
    <t>Net income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</si>
  <si>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</si>
  <si>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</si>
  <si>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</si>
  <si>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</si>
  <si>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</si>
  <si>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</si>
  <si>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</si>
  <si>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</si>
  <si>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</si>
  <si>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Less: D&amp;A not related to PP&amp;E</t>
  </si>
  <si>
    <t xml:space="preserve">Plus: Additions </t>
  </si>
  <si>
    <t>OTHER NON-CURRENT ASSETS</t>
  </si>
  <si>
    <t>Plus: Net income</t>
  </si>
  <si>
    <t>Less: Dividends</t>
  </si>
  <si>
    <t>Dividend payout ratio</t>
  </si>
  <si>
    <t>RETAINED EARNINGS</t>
  </si>
  <si>
    <t>Property, plant &amp; equipment (incl. CIP)</t>
  </si>
  <si>
    <t>Other non-current assets</t>
  </si>
  <si>
    <t>(-) Additions to other non-current assets</t>
  </si>
  <si>
    <t>REVOLVER (MODEL PLUG)</t>
  </si>
  <si>
    <t>Cash at beginning of period (BOP)</t>
  </si>
  <si>
    <t>Less: Minimum cash balance</t>
  </si>
  <si>
    <t>Plus: Free cash flows generated during period</t>
  </si>
  <si>
    <t>Equals: Cash available (needed) to pay down (draw from) revolver</t>
  </si>
  <si>
    <t>Draw / (paydown)</t>
  </si>
  <si>
    <t>Discretionary borrowing / (paydown)</t>
  </si>
  <si>
    <t>INTEREST EXPENSE AND INTEREST INCOME</t>
  </si>
  <si>
    <t>Total interest expense (from I/S)</t>
  </si>
  <si>
    <t>Commercial Paper / Revolver</t>
  </si>
  <si>
    <t>Weighted average interest rate</t>
  </si>
  <si>
    <t>End of period balance (from B/S)</t>
  </si>
  <si>
    <t>Interest expense</t>
  </si>
  <si>
    <t>Long term debt</t>
  </si>
  <si>
    <t xml:space="preserve">Interest expense </t>
  </si>
  <si>
    <t>Interest rate on cash</t>
  </si>
  <si>
    <t>Weighted average interest rate on cash</t>
  </si>
  <si>
    <t>Interest income</t>
  </si>
  <si>
    <t>REVOLVER BALANCE ROLL-FORWARD</t>
  </si>
  <si>
    <t>Price / volume build</t>
  </si>
  <si>
    <t>Revenue by product</t>
  </si>
  <si>
    <t>Core products</t>
  </si>
  <si>
    <t>Total revenue</t>
  </si>
  <si>
    <t>% growth</t>
  </si>
  <si>
    <t>Revenue growth rate by product</t>
  </si>
  <si>
    <t>Dairy (white milk, flavored milk)</t>
  </si>
  <si>
    <t>Yoghurt &amp; cooking products</t>
  </si>
  <si>
    <t>Juice</t>
  </si>
  <si>
    <t>Concentrates (Fruit concentrates)</t>
  </si>
  <si>
    <t>Other (Distribution / Agri)</t>
  </si>
  <si>
    <t>DSO (Days Sales Outstanding)</t>
  </si>
  <si>
    <t>DIO (Days Inventory Outstanding)</t>
  </si>
  <si>
    <t>DPO (Days Payable Outstanding)</t>
  </si>
  <si>
    <t>Basic EPS (EGP)</t>
  </si>
  <si>
    <t>Shares outstanding (thousands)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</si>
  <si>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</si>
  <si>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</si>
  <si>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</si>
  <si>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</si>
  <si>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</si>
  <si>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</si>
  <si>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</si>
  <si>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</si>
  <si>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</si>
  <si>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</si>
  <si>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</si>
  <si>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</si>
  <si>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</si>
  <si>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</si>
  <si>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</si>
  <si>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</si>
  <si>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</si>
  <si>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</si>
  <si>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</si>
  <si>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</si>
  <si>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</si>
  <si>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</si>
  <si>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</si>
  <si>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</si>
  <si>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</si>
  <si>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</si>
  <si>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</si>
  <si>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</si>
  <si>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</si>
  <si>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</si>
  <si>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</si>
  <si>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</si>
  <si>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</si>
  <si>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</si>
  <si>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</si>
  <si>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</si>
  <si>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</si>
  <si>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</si>
  <si>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</si>
  <si>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</si>
  <si>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</si>
  <si>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</si>
  <si>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</si>
  <si>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</si>
  <si>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</si>
  <si>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</si>
  <si>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</si>
  <si>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</si>
  <si>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</si>
  <si>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</si>
  <si>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</si>
  <si>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</si>
  <si>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</si>
  <si>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</si>
  <si>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</si>
  <si>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</si>
  <si>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</si>
  <si>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</si>
  <si>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</si>
  <si>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</si>
  <si>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</si>
  <si>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</si>
  <si>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</si>
  <si>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</si>
  <si>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</si>
  <si>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</si>
  <si>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</si>
  <si>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</si>
  <si>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</si>
  <si>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</si>
  <si>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</si>
  <si>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</si>
  <si>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</si>
  <si>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</si>
  <si>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</si>
  <si>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</si>
  <si>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</si>
  <si>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</si>
  <si>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</si>
  <si>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</si>
  <si>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</si>
  <si>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</si>
  <si>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</si>
  <si>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</si>
  <si>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</si>
  <si>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</si>
  <si>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</si>
  <si>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</si>
  <si>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</si>
  <si>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</si>
  <si>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</si>
  <si>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</si>
  <si>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</si>
  <si>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</si>
  <si>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</si>
  <si>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</si>
  <si>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</si>
  <si>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</si>
  <si>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</si>
  <si>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</si>
  <si>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</si>
  <si>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</si>
  <si>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</si>
  <si>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</si>
  <si>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</si>
  <si>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</si>
  <si>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</si>
  <si>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 xml:space="preserve">EGP and shares in thousands, except per share data </t>
  </si>
  <si>
    <t>Juhayna 2025 Financials</t>
  </si>
  <si>
    <t>CapEx % of revenue</t>
  </si>
  <si>
    <t>D&amp;A as % of PP&amp;E (avg of BOP and EOP)</t>
  </si>
  <si>
    <t>Implied Share Price</t>
  </si>
  <si>
    <t>Upside / (Downside)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</si>
</sst>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7" formatCode="&quot;$&quot;#,##0.00_);\(&quot;$&quot;#,##0.00\)"/>
    <numFmt numFmtId="43" formatCode="_(* #,##0.00_);_(* \(#,##0.00\);_(* &quot;-&quot;??_);_(@_)"/>
    <numFmt numFmtId="164" formatCode="&quot;FY&quot;yy"/>
    <numFmt numFmtId="165" formatCode="0.0%"/>
    <numFmt numFmtId="166" formatCode="_(* #,##0.00_);_(* \(#,##0.00\);_(* \-??_);_(@_)"/>
    <numFmt numFmtId="167" formatCode="_(* #,##0_);_(* \(#,##0\);_(* \-??_);_(@_)"/>
    <numFmt numFmtId="168" formatCode="_(* #,##0_);_(* \(#,##0\);_(* \-_);_(@_)"/>
    <numFmt numFmtId="169" formatCode="_(* #,##0_);_(* \(#,##0\);_(* &quot;-&quot;??_);_(@_)"/>
    <numFmt numFmtId="170" formatCode="#,##0.000_);\(#,##0.000\)"/>
    <numFmt numFmtId="171" formatCode="m/d/yy;@"/>
    <numFmt numFmtId="172" formatCode="0\A;[Red]0\A"/>
    <numFmt numFmtId="173" formatCode="0\P_);\(0\P\)"/>
    <numFmt numFmtId="174" formatCode="0.0%_);\(0.0%\);@_)"/>
    <numFmt numFmtId="175" formatCode="_(#,##0.0%_);\(#,##0.0%\);_(&quot;–&quot;_)_%;_(@_)_%"/>
    <numFmt numFmtId="176" formatCode="0000\A"/>
    <numFmt numFmtId="177" formatCode="0000\P"/>
    <numFmt numFmtId="178" formatCode="#,##0_);\(#,##0\);@_)"/>
    <numFmt numFmtId="179" formatCode="0.0\x_);\(0.0\x\);@_)"/>
    <numFmt numFmtId="180" formatCode="0.000%_);\(0.000%\);@_)"/>
    <numFmt numFmtId="181" formatCode="#,##0.000_);\(#,##0.000\);@_)"/>
    <numFmt numFmtId="182" formatCode="#,##0.000"/>
    <numFmt numFmtId="183" formatCode="_([$$]#,##0_)_%;\([$$]#,##0\)_%;_(&quot;–&quot;_)_%;_(@_)_%"/>
    <numFmt numFmtId="184" formatCode="&quot;$&quot;#,##0.00_);\(&quot;$&quot;#,##0.00\);@_)"/>
    <numFmt numFmtId="185" formatCode="_(0.0\x_)_';_(\(0.0\x\)_';_(&quot;–&quot;_)_%;_(@_)_%"/>
    <numFmt numFmtId="186" formatCode="_(0.0_)_'_x;_(\(0.0\)_';_(&quot;–&quot;_)_%;_(@_)_%"/>
    <numFmt numFmtId="187" formatCode="#,##0.00_);\(#,##0.00\);\-_);@_)"/>
    <numFmt numFmtId="188" formatCode="#,##0.0_);\(#,##0.0\);\-_);@_)"/>
    <numFmt numFmtId="189" formatCode="_(#,##0.00%_);\(#,##0.00%\);_(&quot;–&quot;_)_%;_(@_)_%"/>
    <numFmt numFmtId="190" formatCode="[$EGP]\ #,##0.00_);\([$EGP]\ #,##0.00\)"/>
    <numFmt numFmtId="191" formatCode="[$EGP]\ #,##0.00_);[Red]\([$EGP]\ #,##0.00\)"/>
  </numFmts>
  <fonts count="33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rgb="FF0000CC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6" fontId="3" fillId="0" borderId="0"/>
    <xf numFmtId="9" fontId="3" fillId="0" borderId="0"/>
    <xf numFmtId="0" fontId="2" fillId="0" borderId="0"/>
    <xf numFmtId="37" fontId="23" fillId="0" borderId="0"/>
    <xf numFmtId="0" fontId="25" fillId="0" borderId="0" applyNumberFormat="0" applyFill="0" applyBorder="0" applyAlignment="0" applyProtection="0"/>
  </cellStyleXfs>
  <cellXfs count="251">
    <xf numFmtId="0" fontId="0" fillId="0" borderId="0" xfId="0"/>
    <xf numFmtId="165" fontId="3" fillId="0" borderId="0" xfId="2" applyNumberFormat="1"/>
    <xf numFmtId="0" fontId="4" fillId="0" borderId="4" xfId="0" applyFont="1" applyBorder="1"/>
    <xf numFmtId="14" fontId="5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37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67" fontId="11" fillId="0" borderId="0" xfId="1" applyNumberFormat="1" applyFont="1"/>
    <xf numFmtId="168" fontId="12" fillId="0" borderId="0" xfId="1" applyNumberFormat="1" applyFont="1"/>
    <xf numFmtId="169" fontId="8" fillId="0" borderId="0" xfId="0" applyNumberFormat="1" applyFont="1"/>
    <xf numFmtId="0" fontId="13" fillId="0" borderId="1" xfId="0" applyFont="1" applyBorder="1"/>
    <xf numFmtId="167" fontId="13" fillId="0" borderId="1" xfId="1" applyNumberFormat="1" applyFont="1" applyBorder="1"/>
    <xf numFmtId="167" fontId="13" fillId="0" borderId="3" xfId="1" applyNumberFormat="1" applyFont="1" applyBorder="1"/>
    <xf numFmtId="169" fontId="13" fillId="0" borderId="3" xfId="0" applyNumberFormat="1" applyFont="1" applyBorder="1"/>
    <xf numFmtId="0" fontId="13" fillId="0" borderId="0" xfId="0" applyFont="1"/>
    <xf numFmtId="167" fontId="13" fillId="0" borderId="0" xfId="1" applyNumberFormat="1" applyFont="1"/>
    <xf numFmtId="169" fontId="13" fillId="0" borderId="0" xfId="1" applyNumberFormat="1" applyFont="1"/>
    <xf numFmtId="165" fontId="8" fillId="0" borderId="0" xfId="2" applyNumberFormat="1" applyFont="1" applyAlignment="1">
      <alignment horizontal="left" indent="1"/>
    </xf>
    <xf numFmtId="169" fontId="8" fillId="0" borderId="0" xfId="2" applyNumberFormat="1" applyFont="1"/>
    <xf numFmtId="165" fontId="9" fillId="0" borderId="0" xfId="2" applyNumberFormat="1" applyFont="1"/>
    <xf numFmtId="0" fontId="13" fillId="0" borderId="3" xfId="0" applyFont="1" applyBorder="1"/>
    <xf numFmtId="167" fontId="14" fillId="0" borderId="3" xfId="1" applyNumberFormat="1" applyFont="1" applyBorder="1"/>
    <xf numFmtId="167" fontId="15" fillId="0" borderId="0" xfId="1" applyNumberFormat="1" applyFont="1"/>
    <xf numFmtId="0" fontId="8" fillId="0" borderId="0" xfId="0" applyFont="1" applyAlignment="1">
      <alignment horizontal="left" indent="1"/>
    </xf>
    <xf numFmtId="167" fontId="8" fillId="0" borderId="0" xfId="0" applyNumberFormat="1" applyFont="1"/>
    <xf numFmtId="0" fontId="8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67" fontId="8" fillId="0" borderId="0" xfId="1" applyNumberFormat="1" applyFont="1"/>
    <xf numFmtId="166" fontId="8" fillId="0" borderId="0" xfId="1" applyFont="1"/>
    <xf numFmtId="0" fontId="16" fillId="0" borderId="2" xfId="0" applyFont="1" applyBorder="1"/>
    <xf numFmtId="167" fontId="13" fillId="0" borderId="2" xfId="1" applyNumberFormat="1" applyFont="1" applyBorder="1"/>
    <xf numFmtId="165" fontId="8" fillId="0" borderId="0" xfId="2" applyNumberFormat="1" applyFont="1"/>
    <xf numFmtId="165" fontId="8" fillId="0" borderId="3" xfId="2" applyNumberFormat="1" applyFont="1" applyBorder="1"/>
    <xf numFmtId="165" fontId="11" fillId="0" borderId="3" xfId="0" applyNumberFormat="1" applyFont="1" applyBorder="1"/>
    <xf numFmtId="165" fontId="12" fillId="0" borderId="0" xfId="0" applyNumberFormat="1" applyFont="1"/>
    <xf numFmtId="1" fontId="8" fillId="0" borderId="0" xfId="2" applyNumberFormat="1" applyFont="1"/>
    <xf numFmtId="168" fontId="8" fillId="0" borderId="0" xfId="1" applyNumberFormat="1" applyFont="1"/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indent="1"/>
    </xf>
    <xf numFmtId="166" fontId="8" fillId="0" borderId="0" xfId="0" applyNumberFormat="1" applyFont="1"/>
    <xf numFmtId="167" fontId="13" fillId="0" borderId="0" xfId="0" applyNumberFormat="1" applyFont="1"/>
    <xf numFmtId="0" fontId="13" fillId="0" borderId="1" xfId="0" applyFont="1" applyBorder="1" applyAlignment="1">
      <alignment horizontal="left"/>
    </xf>
    <xf numFmtId="0" fontId="18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68" fontId="11" fillId="0" borderId="0" xfId="1" applyNumberFormat="1" applyFont="1"/>
    <xf numFmtId="168" fontId="8" fillId="0" borderId="0" xfId="0" applyNumberFormat="1" applyFont="1"/>
    <xf numFmtId="168" fontId="13" fillId="0" borderId="0" xfId="1" applyNumberFormat="1" applyFont="1"/>
    <xf numFmtId="168" fontId="13" fillId="0" borderId="1" xfId="1" applyNumberFormat="1" applyFont="1" applyBorder="1"/>
    <xf numFmtId="166" fontId="13" fillId="0" borderId="1" xfId="1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43" fontId="8" fillId="0" borderId="0" xfId="0" applyNumberFormat="1" applyFont="1"/>
    <xf numFmtId="168" fontId="12" fillId="0" borderId="3" xfId="1" applyNumberFormat="1" applyFont="1" applyBorder="1"/>
    <xf numFmtId="168" fontId="14" fillId="0" borderId="3" xfId="1" applyNumberFormat="1" applyFont="1" applyBorder="1"/>
    <xf numFmtId="168" fontId="13" fillId="0" borderId="3" xfId="0" applyNumberFormat="1" applyFont="1" applyBorder="1"/>
    <xf numFmtId="0" fontId="19" fillId="0" borderId="0" xfId="0" applyFont="1"/>
    <xf numFmtId="0" fontId="10" fillId="0" borderId="0" xfId="0" applyFont="1"/>
    <xf numFmtId="0" fontId="19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/>
    <xf numFmtId="168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10" fontId="12" fillId="0" borderId="0" xfId="2" applyNumberFormat="1" applyFont="1"/>
    <xf numFmtId="0" fontId="13" fillId="0" borderId="3" xfId="0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167" fontId="12" fillId="0" borderId="0" xfId="0" applyNumberFormat="1" applyFont="1"/>
    <xf numFmtId="168" fontId="12" fillId="0" borderId="0" xfId="0" applyNumberFormat="1" applyFont="1"/>
    <xf numFmtId="0" fontId="14" fillId="0" borderId="3" xfId="0" applyFont="1" applyBorder="1"/>
    <xf numFmtId="0" fontId="18" fillId="0" borderId="3" xfId="0" applyFont="1" applyBorder="1" applyAlignment="1">
      <alignment horizontal="center" vertical="center"/>
    </xf>
    <xf numFmtId="9" fontId="8" fillId="0" borderId="0" xfId="2" applyFont="1"/>
    <xf numFmtId="165" fontId="12" fillId="0" borderId="0" xfId="2" applyNumberFormat="1" applyFont="1"/>
    <xf numFmtId="43" fontId="13" fillId="0" borderId="3" xfId="0" applyNumberFormat="1" applyFont="1" applyBorder="1"/>
    <xf numFmtId="43" fontId="13" fillId="0" borderId="0" xfId="0" applyNumberFormat="1" applyFont="1"/>
    <xf numFmtId="9" fontId="12" fillId="0" borderId="0" xfId="2" applyFont="1"/>
    <xf numFmtId="0" fontId="9" fillId="0" borderId="3" xfId="0" applyFont="1" applyBorder="1" applyAlignment="1">
      <alignment horizontal="center" vertical="center"/>
    </xf>
    <xf numFmtId="0" fontId="8" fillId="0" borderId="3" xfId="0" applyFont="1" applyBorder="1"/>
    <xf numFmtId="167" fontId="13" fillId="0" borderId="3" xfId="0" applyNumberFormat="1" applyFont="1" applyBorder="1" applyAlignment="1">
      <alignment horizontal="center" vertical="center"/>
    </xf>
    <xf numFmtId="0" fontId="4" fillId="0" borderId="6" xfId="0" applyFont="1" applyBorder="1"/>
    <xf numFmtId="0" fontId="0" fillId="0" borderId="6" xfId="0" applyBorder="1"/>
    <xf numFmtId="172" fontId="4" fillId="0" borderId="0" xfId="0" applyNumberFormat="1" applyFont="1"/>
    <xf numFmtId="173" fontId="4" fillId="0" borderId="0" xfId="0" applyNumberFormat="1" applyFont="1"/>
    <xf numFmtId="0" fontId="20" fillId="0" borderId="6" xfId="0" applyFont="1" applyBorder="1"/>
    <xf numFmtId="171" fontId="20" fillId="0" borderId="2" xfId="0" applyNumberFormat="1" applyFont="1" applyBorder="1"/>
    <xf numFmtId="0" fontId="14" fillId="0" borderId="0" xfId="0" applyFont="1"/>
    <xf numFmtId="171" fontId="20" fillId="0" borderId="6" xfId="0" applyNumberFormat="1" applyFont="1" applyBorder="1"/>
    <xf numFmtId="0" fontId="21" fillId="0" borderId="0" xfId="0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0" fontId="0" fillId="0" borderId="3" xfId="0" applyBorder="1"/>
    <xf numFmtId="172" fontId="4" fillId="0" borderId="3" xfId="0" applyNumberFormat="1" applyFont="1" applyBorder="1"/>
    <xf numFmtId="173" fontId="4" fillId="0" borderId="3" xfId="0" applyNumberFormat="1" applyFont="1" applyBorder="1"/>
    <xf numFmtId="0" fontId="2" fillId="0" borderId="0" xfId="3"/>
    <xf numFmtId="0" fontId="4" fillId="0" borderId="4" xfId="3" applyFont="1" applyBorder="1"/>
    <xf numFmtId="0" fontId="2" fillId="0" borderId="4" xfId="3" applyBorder="1"/>
    <xf numFmtId="0" fontId="22" fillId="0" borderId="5" xfId="3" applyFont="1" applyBorder="1"/>
    <xf numFmtId="14" fontId="7" fillId="0" borderId="0" xfId="4" applyNumberFormat="1" applyFont="1" applyAlignment="1">
      <alignment horizontal="right"/>
    </xf>
    <xf numFmtId="174" fontId="24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5" fillId="0" borderId="0" xfId="5" applyBorder="1"/>
    <xf numFmtId="175" fontId="6" fillId="0" borderId="0" xfId="3" applyNumberFormat="1" applyFont="1"/>
    <xf numFmtId="7" fontId="24" fillId="0" borderId="0" xfId="3" applyNumberFormat="1" applyFont="1" applyAlignment="1">
      <alignment horizontal="right"/>
    </xf>
    <xf numFmtId="0" fontId="4" fillId="0" borderId="7" xfId="3" applyFont="1" applyBorder="1"/>
    <xf numFmtId="0" fontId="2" fillId="0" borderId="7" xfId="3" applyBorder="1"/>
    <xf numFmtId="7" fontId="24" fillId="0" borderId="7" xfId="3" applyNumberFormat="1" applyFont="1" applyBorder="1" applyAlignment="1">
      <alignment horizontal="right"/>
    </xf>
    <xf numFmtId="0" fontId="26" fillId="0" borderId="0" xfId="3" applyFont="1" applyAlignment="1">
      <alignment horizontal="centerContinuous"/>
    </xf>
    <xf numFmtId="0" fontId="27" fillId="0" borderId="8" xfId="3" applyFont="1" applyBorder="1" applyAlignment="1">
      <alignment horizontal="centerContinuous"/>
    </xf>
    <xf numFmtId="0" fontId="20" fillId="0" borderId="0" xfId="3" applyFont="1"/>
    <xf numFmtId="14" fontId="2" fillId="0" borderId="0" xfId="3" applyNumberFormat="1" applyAlignment="1">
      <alignment horizontal="center"/>
    </xf>
    <xf numFmtId="171" fontId="2" fillId="0" borderId="9" xfId="3" applyNumberFormat="1" applyBorder="1" applyAlignment="1">
      <alignment horizontal="center"/>
    </xf>
    <xf numFmtId="171" fontId="2" fillId="0" borderId="10" xfId="3" applyNumberFormat="1" applyBorder="1" applyAlignment="1">
      <alignment horizontal="center"/>
    </xf>
    <xf numFmtId="171" fontId="2" fillId="0" borderId="0" xfId="3" applyNumberFormat="1" applyAlignment="1">
      <alignment horizontal="center"/>
    </xf>
    <xf numFmtId="176" fontId="4" fillId="0" borderId="9" xfId="3" applyNumberFormat="1" applyFont="1" applyBorder="1"/>
    <xf numFmtId="177" fontId="4" fillId="0" borderId="0" xfId="3" applyNumberFormat="1" applyFont="1"/>
    <xf numFmtId="178" fontId="6" fillId="0" borderId="0" xfId="3" applyNumberFormat="1" applyFont="1"/>
    <xf numFmtId="178" fontId="24" fillId="0" borderId="9" xfId="3" applyNumberFormat="1" applyFont="1" applyBorder="1"/>
    <xf numFmtId="178" fontId="24" fillId="0" borderId="0" xfId="3" applyNumberFormat="1" applyFont="1"/>
    <xf numFmtId="0" fontId="2" fillId="0" borderId="0" xfId="3" applyAlignment="1">
      <alignment horizontal="left" indent="1"/>
    </xf>
    <xf numFmtId="0" fontId="2" fillId="0" borderId="9" xfId="3" applyBorder="1"/>
    <xf numFmtId="175" fontId="6" fillId="0" borderId="9" xfId="3" applyNumberFormat="1" applyFont="1" applyBorder="1"/>
    <xf numFmtId="178" fontId="6" fillId="0" borderId="9" xfId="3" applyNumberFormat="1" applyFont="1" applyBorder="1"/>
    <xf numFmtId="174" fontId="24" fillId="0" borderId="10" xfId="3" applyNumberFormat="1" applyFont="1" applyBorder="1"/>
    <xf numFmtId="0" fontId="4" fillId="0" borderId="0" xfId="3" applyFont="1"/>
    <xf numFmtId="178" fontId="28" fillId="0" borderId="11" xfId="3" applyNumberFormat="1" applyFont="1" applyBorder="1"/>
    <xf numFmtId="178" fontId="28" fillId="0" borderId="0" xfId="3" applyNumberFormat="1" applyFont="1"/>
    <xf numFmtId="178" fontId="2" fillId="0" borderId="0" xfId="3" applyNumberFormat="1"/>
    <xf numFmtId="37" fontId="6" fillId="0" borderId="0" xfId="3" applyNumberFormat="1" applyFont="1"/>
    <xf numFmtId="178" fontId="24" fillId="0" borderId="7" xfId="3" applyNumberFormat="1" applyFont="1" applyBorder="1"/>
    <xf numFmtId="178" fontId="27" fillId="0" borderId="7" xfId="3" applyNumberFormat="1" applyFont="1" applyBorder="1" applyAlignment="1">
      <alignment horizontal="center"/>
    </xf>
    <xf numFmtId="178" fontId="27" fillId="0" borderId="0" xfId="3" applyNumberFormat="1" applyFont="1"/>
    <xf numFmtId="14" fontId="2" fillId="0" borderId="0" xfId="3" applyNumberFormat="1"/>
    <xf numFmtId="175" fontId="2" fillId="0" borderId="0" xfId="3" applyNumberFormat="1" applyAlignment="1">
      <alignment horizontal="center"/>
    </xf>
    <xf numFmtId="178" fontId="6" fillId="0" borderId="7" xfId="3" applyNumberFormat="1" applyFont="1" applyBorder="1"/>
    <xf numFmtId="0" fontId="28" fillId="0" borderId="0" xfId="3" applyFont="1"/>
    <xf numFmtId="175" fontId="7" fillId="0" borderId="0" xfId="3" applyNumberFormat="1" applyFont="1"/>
    <xf numFmtId="177" fontId="2" fillId="0" borderId="0" xfId="3" applyNumberFormat="1"/>
    <xf numFmtId="179" fontId="7" fillId="0" borderId="0" xfId="3" applyNumberFormat="1" applyFont="1"/>
    <xf numFmtId="178" fontId="4" fillId="0" borderId="0" xfId="3" applyNumberFormat="1" applyFont="1"/>
    <xf numFmtId="0" fontId="20" fillId="0" borderId="0" xfId="3" applyFont="1" applyAlignment="1">
      <alignment horizontal="left"/>
    </xf>
    <xf numFmtId="175" fontId="20" fillId="0" borderId="0" xfId="3" applyNumberFormat="1" applyFont="1"/>
    <xf numFmtId="180" fontId="20" fillId="0" borderId="0" xfId="3" applyNumberFormat="1" applyFont="1"/>
    <xf numFmtId="175" fontId="2" fillId="0" borderId="0" xfId="3" applyNumberFormat="1"/>
    <xf numFmtId="179" fontId="20" fillId="0" borderId="0" xfId="3" applyNumberFormat="1" applyFont="1"/>
    <xf numFmtId="174" fontId="2" fillId="0" borderId="0" xfId="3" quotePrefix="1" applyNumberFormat="1"/>
    <xf numFmtId="0" fontId="2" fillId="0" borderId="0" xfId="3" applyAlignment="1">
      <alignment horizontal="left"/>
    </xf>
    <xf numFmtId="0" fontId="29" fillId="0" borderId="0" xfId="3" applyFont="1"/>
    <xf numFmtId="0" fontId="29" fillId="0" borderId="0" xfId="3" applyFont="1" applyAlignment="1">
      <alignment horizontal="right"/>
    </xf>
    <xf numFmtId="0" fontId="29" fillId="0" borderId="0" xfId="3" applyFont="1" applyAlignment="1">
      <alignment horizontal="left" vertical="center"/>
    </xf>
    <xf numFmtId="14" fontId="6" fillId="0" borderId="0" xfId="3" applyNumberFormat="1" applyFont="1"/>
    <xf numFmtId="181" fontId="7" fillId="0" borderId="0" xfId="3" applyNumberFormat="1" applyFont="1"/>
    <xf numFmtId="37" fontId="7" fillId="0" borderId="0" xfId="3" applyNumberFormat="1" applyFont="1"/>
    <xf numFmtId="170" fontId="7" fillId="0" borderId="0" xfId="3" applyNumberFormat="1" applyFont="1"/>
    <xf numFmtId="37" fontId="24" fillId="0" borderId="0" xfId="3" applyNumberFormat="1" applyFont="1"/>
    <xf numFmtId="170" fontId="24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4" fillId="0" borderId="0" xfId="3" applyFont="1" applyAlignment="1">
      <alignment horizontal="left"/>
    </xf>
    <xf numFmtId="182" fontId="4" fillId="0" borderId="0" xfId="3" applyNumberFormat="1" applyFont="1"/>
    <xf numFmtId="183" fontId="7" fillId="0" borderId="0" xfId="3" applyNumberFormat="1" applyFont="1"/>
    <xf numFmtId="0" fontId="2" fillId="0" borderId="0" xfId="3" applyAlignment="1">
      <alignment horizontal="left" vertical="center" indent="1"/>
    </xf>
    <xf numFmtId="170" fontId="2" fillId="0" borderId="0" xfId="3" applyNumberFormat="1"/>
    <xf numFmtId="181" fontId="30" fillId="0" borderId="0" xfId="3" applyNumberFormat="1" applyFont="1"/>
    <xf numFmtId="0" fontId="4" fillId="0" borderId="0" xfId="3" applyFont="1" applyAlignment="1">
      <alignment vertical="center"/>
    </xf>
    <xf numFmtId="37" fontId="4" fillId="0" borderId="0" xfId="3" applyNumberFormat="1" applyFont="1"/>
    <xf numFmtId="0" fontId="26" fillId="0" borderId="0" xfId="3" applyFont="1" applyAlignment="1">
      <alignment horizontal="right"/>
    </xf>
    <xf numFmtId="178" fontId="2" fillId="0" borderId="0" xfId="3" applyNumberFormat="1" applyAlignment="1">
      <alignment horizontal="right"/>
    </xf>
    <xf numFmtId="37" fontId="20" fillId="0" borderId="7" xfId="3" applyNumberFormat="1" applyFont="1" applyBorder="1" applyAlignment="1">
      <alignment horizontal="right"/>
    </xf>
    <xf numFmtId="37" fontId="2" fillId="0" borderId="0" xfId="3" applyNumberFormat="1" applyAlignment="1">
      <alignment horizontal="right"/>
    </xf>
    <xf numFmtId="184" fontId="4" fillId="0" borderId="0" xfId="3" applyNumberFormat="1" applyFont="1" applyAlignment="1">
      <alignment horizontal="right"/>
    </xf>
    <xf numFmtId="185" fontId="2" fillId="0" borderId="0" xfId="3" applyNumberFormat="1" applyAlignment="1">
      <alignment horizontal="right"/>
    </xf>
    <xf numFmtId="186" fontId="2" fillId="0" borderId="0" xfId="3" applyNumberFormat="1" applyAlignment="1">
      <alignment horizontal="right"/>
    </xf>
    <xf numFmtId="0" fontId="6" fillId="2" borderId="0" xfId="3" applyFont="1" applyFill="1"/>
    <xf numFmtId="0" fontId="31" fillId="0" borderId="0" xfId="3" applyFont="1" applyAlignment="1">
      <alignment horizontal="centerContinuous"/>
    </xf>
    <xf numFmtId="0" fontId="26" fillId="0" borderId="10" xfId="3" applyFont="1" applyBorder="1" applyAlignment="1">
      <alignment horizontal="centerContinuous"/>
    </xf>
    <xf numFmtId="0" fontId="2" fillId="0" borderId="0" xfId="3" applyAlignment="1">
      <alignment horizontal="centerContinuous"/>
    </xf>
    <xf numFmtId="0" fontId="2" fillId="0" borderId="10" xfId="3" applyBorder="1" applyAlignment="1">
      <alignment horizontal="centerContinuous"/>
    </xf>
    <xf numFmtId="0" fontId="2" fillId="0" borderId="0" xfId="3" applyAlignment="1">
      <alignment horizontal="right"/>
    </xf>
    <xf numFmtId="165" fontId="6" fillId="3" borderId="13" xfId="3" applyNumberFormat="1" applyFont="1" applyFill="1" applyBorder="1"/>
    <xf numFmtId="165" fontId="7" fillId="3" borderId="13" xfId="3" applyNumberFormat="1" applyFont="1" applyFill="1" applyBorder="1"/>
    <xf numFmtId="179" fontId="2" fillId="0" borderId="14" xfId="3" applyNumberFormat="1" applyBorder="1" applyAlignment="1">
      <alignment horizontal="right"/>
    </xf>
    <xf numFmtId="165" fontId="6" fillId="3" borderId="16" xfId="3" applyNumberFormat="1" applyFont="1" applyFill="1" applyBorder="1" applyAlignment="1">
      <alignment horizontal="right"/>
    </xf>
    <xf numFmtId="187" fontId="2" fillId="0" borderId="0" xfId="3" applyNumberFormat="1"/>
    <xf numFmtId="187" fontId="2" fillId="0" borderId="10" xfId="3" applyNumberFormat="1" applyBorder="1"/>
    <xf numFmtId="179" fontId="2" fillId="0" borderId="0" xfId="3" applyNumberFormat="1" applyAlignment="1">
      <alignment horizontal="right"/>
    </xf>
    <xf numFmtId="165" fontId="7" fillId="3" borderId="16" xfId="3" applyNumberFormat="1" applyFont="1" applyFill="1" applyBorder="1" applyAlignment="1">
      <alignment horizontal="right"/>
    </xf>
    <xf numFmtId="0" fontId="28" fillId="2" borderId="0" xfId="3" applyFont="1" applyFill="1" applyAlignment="1">
      <alignment horizontal="center"/>
    </xf>
    <xf numFmtId="188" fontId="2" fillId="0" borderId="0" xfId="3" applyNumberFormat="1"/>
    <xf numFmtId="179" fontId="7" fillId="3" borderId="13" xfId="3" applyNumberFormat="1" applyFont="1" applyFill="1" applyBorder="1"/>
    <xf numFmtId="179" fontId="6" fillId="3" borderId="10" xfId="3" applyNumberFormat="1" applyFont="1" applyFill="1" applyBorder="1"/>
    <xf numFmtId="0" fontId="2" fillId="0" borderId="10" xfId="3" applyBorder="1"/>
    <xf numFmtId="0" fontId="4" fillId="4" borderId="0" xfId="3" applyFont="1" applyFill="1"/>
    <xf numFmtId="0" fontId="4" fillId="4" borderId="10" xfId="3" applyFont="1" applyFill="1" applyBorder="1"/>
    <xf numFmtId="189" fontId="2" fillId="0" borderId="0" xfId="3" applyNumberFormat="1"/>
    <xf numFmtId="0" fontId="2" fillId="0" borderId="12" xfId="3" applyBorder="1"/>
    <xf numFmtId="0" fontId="2" fillId="0" borderId="13" xfId="3" applyBorder="1" applyAlignment="1">
      <alignment horizontal="right"/>
    </xf>
    <xf numFmtId="0" fontId="2" fillId="0" borderId="15" xfId="3" applyBorder="1" applyAlignment="1">
      <alignment horizontal="right"/>
    </xf>
    <xf numFmtId="0" fontId="2" fillId="0" borderId="13" xfId="3" applyBorder="1"/>
    <xf numFmtId="0" fontId="2" fillId="0" borderId="17" xfId="3" applyBorder="1"/>
    <xf numFmtId="175" fontId="6" fillId="0" borderId="0" xfId="0" applyNumberFormat="1" applyFont="1"/>
    <xf numFmtId="0" fontId="28" fillId="0" borderId="7" xfId="3" applyFont="1" applyBorder="1"/>
    <xf numFmtId="0" fontId="6" fillId="0" borderId="7" xfId="3" applyFont="1" applyBorder="1"/>
    <xf numFmtId="0" fontId="28" fillId="0" borderId="7" xfId="3" applyFont="1" applyBorder="1" applyAlignment="1">
      <alignment horizontal="right"/>
    </xf>
    <xf numFmtId="0" fontId="29" fillId="0" borderId="0" xfId="3" applyFont="1" applyAlignment="1">
      <alignment horizontal="left"/>
    </xf>
    <xf numFmtId="0" fontId="4" fillId="0" borderId="6" xfId="3" applyFont="1" applyBorder="1"/>
    <xf numFmtId="0" fontId="4" fillId="0" borderId="12" xfId="3" applyFont="1" applyBorder="1"/>
    <xf numFmtId="10" fontId="7" fillId="0" borderId="0" xfId="3" applyNumberFormat="1" applyFont="1"/>
    <xf numFmtId="189" fontId="24" fillId="0" borderId="7" xfId="3" applyNumberFormat="1" applyFont="1" applyBorder="1"/>
    <xf numFmtId="189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5" fontId="6" fillId="0" borderId="0" xfId="3" applyNumberFormat="1" applyFont="1"/>
    <xf numFmtId="0" fontId="2" fillId="0" borderId="6" xfId="3" applyBorder="1"/>
    <xf numFmtId="165" fontId="27" fillId="0" borderId="0" xfId="3" applyNumberFormat="1" applyFont="1" applyAlignment="1">
      <alignment horizontal="right"/>
    </xf>
    <xf numFmtId="9" fontId="7" fillId="0" borderId="0" xfId="3" applyNumberFormat="1" applyFont="1"/>
    <xf numFmtId="174" fontId="2" fillId="0" borderId="0" xfId="3" applyNumberFormat="1"/>
    <xf numFmtId="9" fontId="6" fillId="0" borderId="0" xfId="3" applyNumberFormat="1" applyFont="1"/>
    <xf numFmtId="0" fontId="4" fillId="0" borderId="13" xfId="3" applyFont="1" applyBorder="1"/>
    <xf numFmtId="174" fontId="4" fillId="0" borderId="15" xfId="3" applyNumberFormat="1" applyFont="1" applyBorder="1"/>
    <xf numFmtId="190" fontId="7" fillId="0" borderId="0" xfId="3" applyNumberFormat="1" applyFont="1"/>
    <xf numFmtId="178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68" fontId="14" fillId="0" borderId="0" xfId="1" applyNumberFormat="1" applyFont="1"/>
    <xf numFmtId="168" fontId="13" fillId="0" borderId="0" xfId="0" applyNumberFormat="1" applyFont="1"/>
    <xf numFmtId="191" fontId="7" fillId="0" borderId="0" xfId="0" applyNumberFormat="1" applyFont="1" applyAlignment="1">
      <alignment horizontal="center"/>
    </xf>
    <xf numFmtId="184" fontId="0" fillId="0" borderId="6" xfId="0" applyNumberFormat="1" applyBorder="1" applyAlignment="1">
      <alignment horizontal="right"/>
    </xf>
    <xf numFmtId="184" fontId="0" fillId="0" borderId="14" xfId="0" applyNumberFormat="1" applyBorder="1"/>
    <xf numFmtId="165" fontId="6" fillId="3" borderId="22" xfId="3" applyNumberFormat="1" applyFont="1" applyFill="1" applyBorder="1" applyAlignment="1">
      <alignment horizontal="right"/>
    </xf>
    <xf numFmtId="165" fontId="6" fillId="3" borderId="23" xfId="3" applyNumberFormat="1" applyFont="1" applyFill="1" applyBorder="1"/>
    <xf numFmtId="165" fontId="6" fillId="3" borderId="24" xfId="3" applyNumberFormat="1" applyFont="1" applyFill="1" applyBorder="1"/>
    <xf numFmtId="179" fontId="32" fillId="3" borderId="13" xfId="3" applyNumberFormat="1" applyFont="1" applyFill="1" applyBorder="1"/>
    <xf numFmtId="0" fontId="0" fillId="0" borderId="18" xfId="0" quotePrefix="1" applyBorder="1"/>
    <xf numFmtId="39" fontId="0" fillId="0" borderId="0" xfId="0" applyNumberFormat="1"/>
    <xf numFmtId="39" fontId="0" fillId="0" borderId="19" xfId="0" applyNumberFormat="1" applyBorder="1"/>
    <xf numFmtId="0" fontId="0" fillId="0" borderId="18" xfId="0" applyBorder="1"/>
    <xf numFmtId="0" fontId="0" fillId="0" borderId="20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4" xfId="0" applyNumberFormat="1" applyBorder="1"/>
    <xf numFmtId="0" fontId="0" fillId="0" borderId="10" xfId="0" applyBorder="1"/>
    <xf numFmtId="39" fontId="6" fillId="0" borderId="0" xfId="0" applyNumberFormat="1" applyFont="1"/>
    <xf numFmtId="39" fontId="6" fillId="0" borderId="19" xfId="0" applyNumberFormat="1" applyFont="1" applyBorder="1"/>
    <xf numFmtId="0" fontId="0" fillId="0" borderId="21" xfId="0" applyBorder="1"/>
    <xf numFmtId="39" fontId="6" fillId="0" borderId="14" xfId="0" applyNumberFormat="1" applyFont="1" applyBorder="1"/>
    <xf numFmtId="0" fontId="1" fillId="0" borderId="0" xfId="3" applyFont="1"/>
    <xf numFmtId="9" fontId="3" fillId="0" borderId="0" xfId="2"/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7.0x-9.0x Exit EBITDA Range at 24.6% WACC</c:v>
                </c:pt>
                <c:pt idx="1">
                  <c:v>DCF Value at 9.0%-11.0% Perpetuity Range at 24.6%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21.304960828490611</c:v>
                </c:pt>
                <c:pt idx="1">
                  <c:v>10.244513935139937</c:v>
                </c:pt>
                <c:pt idx="2">
                  <c:v>169.5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7.0x-9.0x Exit EBITDA Range at 24.6% WACC</c:v>
                </c:pt>
                <c:pt idx="1">
                  <c:v>DCF Value at 9.0%-11.0% Perpetuity Range at 24.6%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3.0624809917400313</c:v>
                </c:pt>
                <c:pt idx="1">
                  <c:v>1.7467474706972119</c:v>
                </c:pt>
                <c:pt idx="2">
                  <c:v>158.35000000000002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7.0x-9.0x Exit EBITDA Range at 24.6% WACC</c:v>
                </c:pt>
                <c:pt idx="1">
                  <c:v>DCF Value at 9.0%-11.0% Perpetuity Range at 24.6%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24.367441820230642</c:v>
                </c:pt>
                <c:pt idx="1">
                  <c:v>11.991261405837149</c:v>
                </c:pt>
                <c:pt idx="2">
                  <c:v>327.85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24.6% WACC</c:v>
                </c:pt>
                <c:pt idx="1">
                  <c:v>LTM EBITDA Purchase Multiple at 6.7x-7.4x Exit EBITDA Multiple at 24.6% WACC</c:v>
                </c:pt>
                <c:pt idx="2">
                  <c:v>LTM EBITDA Purchase Multiple at 22.6%-26.6% WACC at 8.0x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3.8380173306365348</c:v>
                </c:pt>
                <c:pt idx="1">
                  <c:v>6.6621993667655746</c:v>
                </c:pt>
                <c:pt idx="2">
                  <c:v>5.8493395320923378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24.6% WACC</c:v>
                </c:pt>
                <c:pt idx="1">
                  <c:v>LTM EBITDA Purchase Multiple at 6.7x-7.4x Exit EBITDA Multiple at 24.6% WACC</c:v>
                </c:pt>
                <c:pt idx="2">
                  <c:v>LTM EBITDA Purchase Multiple at 22.6%-26.6% WACC at 8.0x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0.44601568778948764</c:v>
                </c:pt>
                <c:pt idx="1">
                  <c:v>0.7819759803790971</c:v>
                </c:pt>
                <c:pt idx="2">
                  <c:v>0.8825303079885245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24.6% WACC</c:v>
                </c:pt>
                <c:pt idx="1">
                  <c:v>LTM EBITDA Purchase Multiple at 6.7x-7.4x Exit EBITDA Multiple at 24.6% WACC</c:v>
                </c:pt>
                <c:pt idx="2">
                  <c:v>LTM EBITDA Purchase Multiple at 22.6%-26.6% WACC at 8.0x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4.2840330184260225</c:v>
                </c:pt>
                <c:pt idx="1">
                  <c:v>7.4441753471446717</c:v>
                </c:pt>
                <c:pt idx="2">
                  <c:v>6.7318698400808623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6"/>
  <sheetViews>
    <sheetView showGridLines="0" topLeftCell="A6" zoomScaleNormal="100" workbookViewId="0">
      <selection activeCell="F23" sqref="F23"/>
    </sheetView>
  </sheetViews>
  <sheetFormatPr defaultColWidth="9.140625" defaultRowHeight="15" x14ac:dyDescent="0.25"/>
  <cols>
    <col min="1" max="2" width="1.7109375" style="9" customWidth="1"/>
    <col min="3" max="3" width="66.42578125" style="9" bestFit="1" customWidth="1"/>
    <col min="4" max="4" width="22.7109375" style="10" bestFit="1" customWidth="1"/>
    <col min="5" max="6" width="12.28515625" style="9" bestFit="1" customWidth="1"/>
    <col min="7" max="9" width="13.28515625" style="9" bestFit="1" customWidth="1"/>
    <col min="10" max="11" width="14" style="9" bestFit="1" customWidth="1"/>
    <col min="12" max="12" width="2.7109375" style="9" customWidth="1"/>
    <col min="13" max="16384" width="9.140625" style="9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Juhayna Food Industries - Financial Statement Model</v>
      </c>
      <c r="D2" s="11"/>
      <c r="E2" s="11"/>
      <c r="F2" s="11"/>
      <c r="G2" s="11"/>
      <c r="H2" s="11"/>
      <c r="I2" s="11"/>
      <c r="J2" s="11"/>
      <c r="K2" s="11"/>
    </row>
    <row r="3" spans="3:11" x14ac:dyDescent="0.25">
      <c r="C3" s="3" t="s">
        <v>67</v>
      </c>
      <c r="D3" s="12"/>
      <c r="E3" s="12"/>
      <c r="F3" s="12"/>
      <c r="G3" s="12"/>
      <c r="H3" s="12"/>
    </row>
    <row r="4" spans="3:11" ht="15" customHeight="1" x14ac:dyDescent="0.25"/>
    <row r="5" spans="3:11" x14ac:dyDescent="0.25">
      <c r="C5" s="4" t="s">
        <v>0</v>
      </c>
      <c r="D5" s="5" t="s">
        <v>46</v>
      </c>
    </row>
    <row r="6" spans="3:11" x14ac:dyDescent="0.25">
      <c r="C6" s="4" t="s">
        <v>1</v>
      </c>
      <c r="D6" s="5" t="s">
        <v>47</v>
      </c>
    </row>
    <row r="7" spans="3:11" x14ac:dyDescent="0.25">
      <c r="C7" s="9" t="s">
        <v>55</v>
      </c>
      <c r="D7" s="229">
        <v>28.09</v>
      </c>
    </row>
    <row r="8" spans="3:11" x14ac:dyDescent="0.25">
      <c r="C8" s="9" t="s">
        <v>56</v>
      </c>
      <c r="D8" s="6">
        <v>46167</v>
      </c>
    </row>
    <row r="9" spans="3:11" x14ac:dyDescent="0.25">
      <c r="C9" s="4" t="s">
        <v>2</v>
      </c>
      <c r="D9" s="7">
        <v>46022</v>
      </c>
    </row>
    <row r="10" spans="3:11" ht="15" customHeight="1" x14ac:dyDescent="0.25">
      <c r="C10" s="9" t="s">
        <v>84</v>
      </c>
      <c r="D10" s="8">
        <v>1176756353</v>
      </c>
    </row>
    <row r="11" spans="3:11" ht="15" customHeight="1" x14ac:dyDescent="0.25"/>
    <row r="12" spans="3:11" customFormat="1" x14ac:dyDescent="0.25">
      <c r="C12" s="84" t="s">
        <v>144</v>
      </c>
      <c r="D12" s="85"/>
      <c r="E12" s="85"/>
      <c r="F12" s="85"/>
      <c r="G12" s="85"/>
      <c r="H12" s="85"/>
      <c r="I12" s="85"/>
      <c r="J12" s="85"/>
      <c r="K12" s="85"/>
    </row>
    <row r="13" spans="3:11" customFormat="1" x14ac:dyDescent="0.25">
      <c r="C13" t="s">
        <v>145</v>
      </c>
      <c r="D13" s="86">
        <f>E13-1</f>
        <v>2023</v>
      </c>
      <c r="E13" s="86">
        <f>F13-1</f>
        <v>2024</v>
      </c>
      <c r="F13" s="86">
        <f>YEAR(D9)</f>
        <v>2025</v>
      </c>
      <c r="G13" s="87">
        <f>F13+1</f>
        <v>2026</v>
      </c>
      <c r="H13" s="87">
        <f>G13+1</f>
        <v>2027</v>
      </c>
      <c r="I13" s="87">
        <f>H13+1</f>
        <v>2028</v>
      </c>
      <c r="J13" s="87">
        <f>I13+1</f>
        <v>2029</v>
      </c>
      <c r="K13" s="87">
        <f>J13+1</f>
        <v>2030</v>
      </c>
    </row>
    <row r="14" spans="3:11" customFormat="1" x14ac:dyDescent="0.25">
      <c r="C14" s="88" t="s">
        <v>146</v>
      </c>
      <c r="D14" s="89">
        <f>EOMONTH(E14,-12)</f>
        <v>45291</v>
      </c>
      <c r="E14" s="89">
        <f>EOMONTH(F14,-12)</f>
        <v>45657</v>
      </c>
      <c r="F14" s="89">
        <f>D9</f>
        <v>46022</v>
      </c>
      <c r="G14" s="89">
        <f>EOMONTH(F14,12)</f>
        <v>46387</v>
      </c>
      <c r="H14" s="89">
        <f>EOMONTH(G14,12)</f>
        <v>46752</v>
      </c>
      <c r="I14" s="89">
        <f>EOMONTH(H14,12)</f>
        <v>47118</v>
      </c>
      <c r="J14" s="89">
        <f>EOMONTH(I14,12)</f>
        <v>47483</v>
      </c>
      <c r="K14" s="89">
        <f>EOMONTH(J14,12)</f>
        <v>47848</v>
      </c>
    </row>
    <row r="15" spans="3:11" ht="15" customHeight="1" x14ac:dyDescent="0.25"/>
    <row r="16" spans="3:11" ht="15" customHeight="1" x14ac:dyDescent="0.25">
      <c r="C16" s="9" t="s">
        <v>3</v>
      </c>
      <c r="D16" s="13">
        <f>D218</f>
        <v>15536190</v>
      </c>
      <c r="E16" s="13">
        <f t="shared" ref="E16:K16" si="0">E218</f>
        <v>24302616</v>
      </c>
      <c r="F16" s="13">
        <f t="shared" si="0"/>
        <v>29984446</v>
      </c>
      <c r="G16" s="13">
        <f t="shared" si="0"/>
        <v>35536474.870000005</v>
      </c>
      <c r="H16" s="13">
        <f t="shared" si="0"/>
        <v>41122006.443199992</v>
      </c>
      <c r="I16" s="13">
        <f t="shared" si="0"/>
        <v>46811550.136367992</v>
      </c>
      <c r="J16" s="13">
        <f t="shared" si="0"/>
        <v>52827797.836371832</v>
      </c>
      <c r="K16" s="13">
        <f t="shared" si="0"/>
        <v>58969435.346456014</v>
      </c>
    </row>
    <row r="17" spans="3:11" ht="15" customHeight="1" x14ac:dyDescent="0.25">
      <c r="C17" s="9" t="s">
        <v>60</v>
      </c>
      <c r="D17" s="14">
        <v>-11926060</v>
      </c>
      <c r="E17" s="14">
        <v>-16912917</v>
      </c>
      <c r="F17" s="14">
        <v>-23103562</v>
      </c>
      <c r="G17" s="15">
        <f>G18-G16</f>
        <v>-26830038.526850004</v>
      </c>
      <c r="H17" s="15">
        <f t="shared" ref="H17:K17" si="1">H18-H16</f>
        <v>-30841504.832399994</v>
      </c>
      <c r="I17" s="15">
        <f t="shared" si="1"/>
        <v>-34874604.85159415</v>
      </c>
      <c r="J17" s="15">
        <f t="shared" si="1"/>
        <v>-39092570.398915157</v>
      </c>
      <c r="K17" s="15">
        <f t="shared" si="1"/>
        <v>-43637382.15637745</v>
      </c>
    </row>
    <row r="18" spans="3:11" ht="15" customHeight="1" x14ac:dyDescent="0.25">
      <c r="C18" s="16" t="s">
        <v>4</v>
      </c>
      <c r="D18" s="17">
        <f>SUM(D16:D17)</f>
        <v>3610130</v>
      </c>
      <c r="E18" s="17">
        <f t="shared" ref="E18:F18" si="2">SUM(E16:E17)</f>
        <v>7389699</v>
      </c>
      <c r="F18" s="18">
        <f t="shared" si="2"/>
        <v>6880884</v>
      </c>
      <c r="G18" s="19">
        <f>G16*G38</f>
        <v>8706436.343150001</v>
      </c>
      <c r="H18" s="19">
        <f>H16*H38</f>
        <v>10280501.610799998</v>
      </c>
      <c r="I18" s="19">
        <f>I16*I38</f>
        <v>11936945.284773838</v>
      </c>
      <c r="J18" s="19">
        <f>J16*J38</f>
        <v>13735227.437456677</v>
      </c>
      <c r="K18" s="19">
        <f>K16*K38</f>
        <v>15332053.190078564</v>
      </c>
    </row>
    <row r="19" spans="3:11" ht="15" customHeight="1" x14ac:dyDescent="0.25">
      <c r="C19" s="20"/>
      <c r="D19" s="21"/>
      <c r="E19" s="21"/>
      <c r="F19" s="21"/>
      <c r="G19" s="15"/>
      <c r="H19" s="22"/>
      <c r="I19" s="22"/>
      <c r="J19" s="22"/>
      <c r="K19" s="22"/>
    </row>
    <row r="20" spans="3:11" s="25" customFormat="1" ht="15" customHeight="1" x14ac:dyDescent="0.25">
      <c r="C20" s="23" t="s">
        <v>61</v>
      </c>
      <c r="D20" s="14">
        <v>-1342075</v>
      </c>
      <c r="E20" s="14">
        <v>-2159669</v>
      </c>
      <c r="F20" s="14">
        <v>-2736788</v>
      </c>
      <c r="G20" s="24">
        <f>-G16*G39</f>
        <v>-3304892.1629100004</v>
      </c>
      <c r="H20" s="24">
        <f>-H16*H39</f>
        <v>-3824346.5992175993</v>
      </c>
      <c r="I20" s="24">
        <f>-I16*I39</f>
        <v>-4306662.6125458553</v>
      </c>
      <c r="J20" s="24">
        <f>-J16*J39</f>
        <v>-4860157.4009462083</v>
      </c>
      <c r="K20" s="24">
        <f>-K16*K39</f>
        <v>-5425188.0518739531</v>
      </c>
    </row>
    <row r="21" spans="3:11" s="25" customFormat="1" ht="15" customHeight="1" x14ac:dyDescent="0.25">
      <c r="C21" s="23" t="s">
        <v>62</v>
      </c>
      <c r="D21" s="14">
        <v>-388148</v>
      </c>
      <c r="E21" s="14">
        <v>-659201</v>
      </c>
      <c r="F21" s="14">
        <v>-831126</v>
      </c>
      <c r="G21" s="24">
        <f>-G16*G40</f>
        <v>-995021.29636000015</v>
      </c>
      <c r="H21" s="24">
        <f>-H16*H40</f>
        <v>-1110294.1739663999</v>
      </c>
      <c r="I21" s="24">
        <f>-I16*I40</f>
        <v>-1217100.3035455677</v>
      </c>
      <c r="J21" s="24">
        <f>-J16*J40</f>
        <v>-1373522.7437456676</v>
      </c>
      <c r="K21" s="24">
        <f>-K16*K40</f>
        <v>-1533205.3190078563</v>
      </c>
    </row>
    <row r="22" spans="3:11" s="25" customFormat="1" ht="15" customHeight="1" x14ac:dyDescent="0.25">
      <c r="C22" s="23" t="s">
        <v>63</v>
      </c>
      <c r="D22" s="14">
        <v>-77977</v>
      </c>
      <c r="E22" s="14">
        <v>122148</v>
      </c>
      <c r="F22" s="14">
        <v>260321</v>
      </c>
      <c r="G22" s="24">
        <f>F22</f>
        <v>260321</v>
      </c>
      <c r="H22" s="24">
        <f t="shared" ref="H22:K22" si="3">G22</f>
        <v>260321</v>
      </c>
      <c r="I22" s="24">
        <f t="shared" si="3"/>
        <v>260321</v>
      </c>
      <c r="J22" s="24">
        <f t="shared" si="3"/>
        <v>260321</v>
      </c>
      <c r="K22" s="24">
        <f t="shared" si="3"/>
        <v>260321</v>
      </c>
    </row>
    <row r="23" spans="3:11" ht="15" customHeight="1" x14ac:dyDescent="0.25">
      <c r="C23" s="26" t="s">
        <v>57</v>
      </c>
      <c r="D23" s="27">
        <f>SUM(D18:D22)</f>
        <v>1801930</v>
      </c>
      <c r="E23" s="27">
        <f t="shared" ref="E23:G23" si="4">SUM(E18:E22)</f>
        <v>4692977</v>
      </c>
      <c r="F23" s="27">
        <f t="shared" si="4"/>
        <v>3573291</v>
      </c>
      <c r="G23" s="27">
        <f t="shared" si="4"/>
        <v>4666843.8838800006</v>
      </c>
      <c r="H23" s="27">
        <f t="shared" ref="H23" si="5">SUM(H18:H22)</f>
        <v>5606181.8376159985</v>
      </c>
      <c r="I23" s="27">
        <f t="shared" ref="I23" si="6">SUM(I18:I22)</f>
        <v>6673503.3686824143</v>
      </c>
      <c r="J23" s="27">
        <f t="shared" ref="J23" si="7">SUM(J18:J22)</f>
        <v>7761868.2927647997</v>
      </c>
      <c r="K23" s="27">
        <f t="shared" ref="K23" si="8">SUM(K18:K22)</f>
        <v>8633980.8191967551</v>
      </c>
    </row>
    <row r="24" spans="3:11" ht="15" customHeight="1" x14ac:dyDescent="0.25">
      <c r="D24" s="28"/>
      <c r="E24" s="28"/>
      <c r="F24" s="28"/>
      <c r="G24" s="15"/>
      <c r="H24" s="15"/>
      <c r="I24" s="15"/>
      <c r="J24" s="15"/>
      <c r="K24" s="15"/>
    </row>
    <row r="25" spans="3:11" ht="15" customHeight="1" x14ac:dyDescent="0.25">
      <c r="C25" s="29" t="s">
        <v>64</v>
      </c>
      <c r="D25" s="14">
        <v>-320893</v>
      </c>
      <c r="E25" s="14">
        <v>-596428</v>
      </c>
      <c r="F25" s="14">
        <v>-1168794</v>
      </c>
      <c r="G25" s="30">
        <f>-G185+G199</f>
        <v>-1502743.7892000002</v>
      </c>
      <c r="H25" s="30">
        <f t="shared" ref="H25:K25" ca="1" si="9">-H185+H199</f>
        <v>-1734712.6296447443</v>
      </c>
      <c r="I25" s="30">
        <f t="shared" ca="1" si="9"/>
        <v>-1939711.3703832275</v>
      </c>
      <c r="J25" s="30">
        <f t="shared" ca="1" si="9"/>
        <v>-1927134.4953980567</v>
      </c>
      <c r="K25" s="30">
        <f t="shared" ca="1" si="9"/>
        <v>-1586225.2311335567</v>
      </c>
    </row>
    <row r="26" spans="3:11" ht="15" customHeight="1" x14ac:dyDescent="0.25">
      <c r="C26" s="26" t="s">
        <v>5</v>
      </c>
      <c r="D26" s="18">
        <f t="shared" ref="D26:K26" si="10">SUM(D23:D25)</f>
        <v>1481037</v>
      </c>
      <c r="E26" s="18">
        <f t="shared" si="10"/>
        <v>4096549</v>
      </c>
      <c r="F26" s="18">
        <f t="shared" si="10"/>
        <v>2404497</v>
      </c>
      <c r="G26" s="18">
        <f t="shared" si="10"/>
        <v>3164100.0946800001</v>
      </c>
      <c r="H26" s="18">
        <f t="shared" ca="1" si="10"/>
        <v>3871469.2079712544</v>
      </c>
      <c r="I26" s="18">
        <f t="shared" ca="1" si="10"/>
        <v>4733791.998299187</v>
      </c>
      <c r="J26" s="18">
        <f t="shared" ca="1" si="10"/>
        <v>5834733.797366743</v>
      </c>
      <c r="K26" s="18">
        <f t="shared" ca="1" si="10"/>
        <v>7047755.5880631981</v>
      </c>
    </row>
    <row r="27" spans="3:11" ht="15" customHeight="1" x14ac:dyDescent="0.25">
      <c r="C27" s="29" t="s">
        <v>59</v>
      </c>
      <c r="D27" s="14">
        <v>-343212</v>
      </c>
      <c r="E27" s="14">
        <v>-841450</v>
      </c>
      <c r="F27" s="14">
        <v>-494403</v>
      </c>
      <c r="G27" s="15">
        <f>-G26*G41</f>
        <v>-711922.52130300005</v>
      </c>
      <c r="H27" s="15">
        <f t="shared" ref="H27:K27" ca="1" si="11">-H26*H41</f>
        <v>-871080.57179353223</v>
      </c>
      <c r="I27" s="15">
        <f t="shared" ca="1" si="11"/>
        <v>-1065103.1996173172</v>
      </c>
      <c r="J27" s="15">
        <f t="shared" ca="1" si="11"/>
        <v>-1312815.1044075172</v>
      </c>
      <c r="K27" s="15">
        <f t="shared" ca="1" si="11"/>
        <v>-1585745.0073142196</v>
      </c>
    </row>
    <row r="28" spans="3:11" ht="15" customHeight="1" x14ac:dyDescent="0.25">
      <c r="C28" s="16" t="s">
        <v>58</v>
      </c>
      <c r="D28" s="17">
        <f>SUM(D26:D27)</f>
        <v>1137825</v>
      </c>
      <c r="E28" s="17">
        <f t="shared" ref="E28:G28" si="12">SUM(E26:E27)</f>
        <v>3255099</v>
      </c>
      <c r="F28" s="18">
        <f t="shared" si="12"/>
        <v>1910094</v>
      </c>
      <c r="G28" s="18">
        <f t="shared" si="12"/>
        <v>2452177.5733770002</v>
      </c>
      <c r="H28" s="18">
        <f t="shared" ref="H28" ca="1" si="13">SUM(H26:H27)</f>
        <v>3000388.6361777224</v>
      </c>
      <c r="I28" s="18">
        <f t="shared" ref="I28" ca="1" si="14">SUM(I26:I27)</f>
        <v>3668688.7986818701</v>
      </c>
      <c r="J28" s="18">
        <f t="shared" ref="J28" ca="1" si="15">SUM(J26:J27)</f>
        <v>4521918.6929592257</v>
      </c>
      <c r="K28" s="18">
        <f t="shared" ref="K28" ca="1" si="16">SUM(K26:K27)</f>
        <v>5462010.580748979</v>
      </c>
    </row>
    <row r="29" spans="3:11" ht="15" customHeight="1" x14ac:dyDescent="0.25">
      <c r="C29" s="20"/>
      <c r="D29" s="21"/>
      <c r="E29" s="21"/>
      <c r="F29" s="21"/>
      <c r="G29" s="15"/>
      <c r="H29" s="22"/>
      <c r="I29" s="22"/>
      <c r="J29" s="22"/>
      <c r="K29" s="22"/>
    </row>
    <row r="30" spans="3:11" ht="15" customHeight="1" x14ac:dyDescent="0.25">
      <c r="C30" s="31" t="s">
        <v>48</v>
      </c>
      <c r="D30" s="13">
        <f>D154</f>
        <v>330621</v>
      </c>
      <c r="E30" s="13">
        <f t="shared" ref="E30:F30" si="17">E154</f>
        <v>389815</v>
      </c>
      <c r="F30" s="13">
        <f t="shared" si="17"/>
        <v>522173</v>
      </c>
      <c r="G30" s="15">
        <f ca="1">G154</f>
        <v>711394.44849144085</v>
      </c>
      <c r="H30" s="15">
        <f t="shared" ref="H30:K30" ca="1" si="18">H154</f>
        <v>898982.862873359</v>
      </c>
      <c r="I30" s="15">
        <f t="shared" ca="1" si="18"/>
        <v>1068904.8434533428</v>
      </c>
      <c r="J30" s="15">
        <f t="shared" ca="1" si="18"/>
        <v>1196485.3970652958</v>
      </c>
      <c r="K30" s="15">
        <f t="shared" ca="1" si="18"/>
        <v>1282095.3041148947</v>
      </c>
    </row>
    <row r="31" spans="3:11" ht="15" customHeight="1" x14ac:dyDescent="0.25">
      <c r="C31" s="32" t="s">
        <v>49</v>
      </c>
      <c r="D31" s="21">
        <f t="shared" ref="D31:K31" si="19">D23+D30</f>
        <v>2132551</v>
      </c>
      <c r="E31" s="21">
        <f t="shared" si="19"/>
        <v>5082792</v>
      </c>
      <c r="F31" s="21">
        <f t="shared" si="19"/>
        <v>4095464</v>
      </c>
      <c r="G31" s="21">
        <f t="shared" ca="1" si="19"/>
        <v>5378238.3323714416</v>
      </c>
      <c r="H31" s="21">
        <f t="shared" ca="1" si="19"/>
        <v>6505164.7004893571</v>
      </c>
      <c r="I31" s="21">
        <f t="shared" ca="1" si="19"/>
        <v>7742408.2121357573</v>
      </c>
      <c r="J31" s="21">
        <f t="shared" ca="1" si="19"/>
        <v>8958353.6898300946</v>
      </c>
      <c r="K31" s="21">
        <f t="shared" ca="1" si="19"/>
        <v>9916076.12331165</v>
      </c>
    </row>
    <row r="32" spans="3:11" ht="15" customHeight="1" x14ac:dyDescent="0.25">
      <c r="C32" s="32"/>
      <c r="D32" s="21"/>
      <c r="E32" s="21"/>
      <c r="F32" s="21"/>
      <c r="G32" s="21"/>
      <c r="H32" s="21"/>
      <c r="I32" s="21"/>
      <c r="J32" s="21"/>
      <c r="K32" s="21"/>
    </row>
    <row r="33" spans="3:11" ht="15" customHeight="1" x14ac:dyDescent="0.25">
      <c r="C33" s="33" t="s">
        <v>143</v>
      </c>
      <c r="D33" s="34">
        <f>$D$10/1000</f>
        <v>1176756.3529999999</v>
      </c>
      <c r="E33" s="34">
        <f t="shared" ref="E33:K33" si="20">$D$10/1000</f>
        <v>1176756.3529999999</v>
      </c>
      <c r="F33" s="34">
        <f t="shared" si="20"/>
        <v>1176756.3529999999</v>
      </c>
      <c r="G33" s="34">
        <f t="shared" si="20"/>
        <v>1176756.3529999999</v>
      </c>
      <c r="H33" s="34">
        <f t="shared" si="20"/>
        <v>1176756.3529999999</v>
      </c>
      <c r="I33" s="34">
        <f t="shared" si="20"/>
        <v>1176756.3529999999</v>
      </c>
      <c r="J33" s="34">
        <f t="shared" si="20"/>
        <v>1176756.3529999999</v>
      </c>
      <c r="K33" s="34">
        <f t="shared" si="20"/>
        <v>1176756.3529999999</v>
      </c>
    </row>
    <row r="34" spans="3:11" ht="15" customHeight="1" x14ac:dyDescent="0.25">
      <c r="C34" s="33" t="s">
        <v>142</v>
      </c>
      <c r="D34" s="35">
        <f>D28/D33</f>
        <v>0.9669163859615042</v>
      </c>
      <c r="E34" s="35">
        <f t="shared" ref="E34:K34" si="21">E28/E33</f>
        <v>2.7661622490513977</v>
      </c>
      <c r="F34" s="35">
        <f t="shared" si="21"/>
        <v>1.6231856281297681</v>
      </c>
      <c r="G34" s="35">
        <f t="shared" si="21"/>
        <v>2.0838447713712922</v>
      </c>
      <c r="H34" s="35">
        <f t="shared" ca="1" si="21"/>
        <v>2.5497110158178367</v>
      </c>
      <c r="I34" s="35">
        <f t="shared" ca="1" si="21"/>
        <v>3.1176282068322689</v>
      </c>
      <c r="J34" s="35">
        <f t="shared" ca="1" si="21"/>
        <v>3.8426974976010402</v>
      </c>
      <c r="K34" s="35">
        <f t="shared" ca="1" si="21"/>
        <v>4.6415815532452704</v>
      </c>
    </row>
    <row r="35" spans="3:11" ht="15" customHeight="1" x14ac:dyDescent="0.25">
      <c r="C35" s="29"/>
      <c r="D35" s="21"/>
      <c r="E35" s="21"/>
      <c r="F35" s="21"/>
      <c r="H35" s="21"/>
      <c r="I35" s="21"/>
      <c r="J35" s="21"/>
      <c r="K35" s="21"/>
    </row>
    <row r="36" spans="3:11" ht="15" customHeight="1" x14ac:dyDescent="0.25">
      <c r="C36" s="36" t="s">
        <v>53</v>
      </c>
      <c r="D36" s="37"/>
      <c r="E36" s="37"/>
      <c r="F36" s="21"/>
      <c r="H36" s="37"/>
      <c r="I36" s="37"/>
      <c r="J36" s="37"/>
      <c r="K36" s="37"/>
    </row>
    <row r="37" spans="3:11" ht="15" customHeight="1" x14ac:dyDescent="0.25">
      <c r="C37" s="29" t="s">
        <v>50</v>
      </c>
      <c r="D37" s="38"/>
      <c r="E37" s="38">
        <f>E16/D16-1</f>
        <v>0.56425841856980385</v>
      </c>
      <c r="F37" s="39">
        <f>F16/E16-1</f>
        <v>0.23379499556755534</v>
      </c>
      <c r="G37" s="40">
        <f>G16/F16-1</f>
        <v>0.18516363017012227</v>
      </c>
      <c r="H37" s="40">
        <f t="shared" ref="H37:K37" si="22">H16/G16-1</f>
        <v>0.15717742386190681</v>
      </c>
      <c r="I37" s="40">
        <f t="shared" si="22"/>
        <v>0.13835763828855763</v>
      </c>
      <c r="J37" s="40">
        <f t="shared" si="22"/>
        <v>0.12852058268691691</v>
      </c>
      <c r="K37" s="40">
        <f t="shared" si="22"/>
        <v>0.11625768556749638</v>
      </c>
    </row>
    <row r="38" spans="3:11" ht="15" customHeight="1" x14ac:dyDescent="0.25">
      <c r="C38" s="29" t="s">
        <v>51</v>
      </c>
      <c r="D38" s="38">
        <f>D18/D16</f>
        <v>0.2323690686069107</v>
      </c>
      <c r="E38" s="38">
        <f>E18/E16</f>
        <v>0.30407010504548154</v>
      </c>
      <c r="F38" s="38">
        <f>F18/F16</f>
        <v>0.22948177865283886</v>
      </c>
      <c r="G38" s="41">
        <v>0.245</v>
      </c>
      <c r="H38" s="41">
        <v>0.25</v>
      </c>
      <c r="I38" s="41">
        <v>0.255</v>
      </c>
      <c r="J38" s="41">
        <v>0.26</v>
      </c>
      <c r="K38" s="41">
        <v>0.26</v>
      </c>
    </row>
    <row r="39" spans="3:11" ht="15" customHeight="1" x14ac:dyDescent="0.25">
      <c r="C39" s="29" t="s">
        <v>65</v>
      </c>
      <c r="D39" s="38">
        <f t="shared" ref="D39:F40" si="23">-D20/D$16</f>
        <v>8.638379165033383E-2</v>
      </c>
      <c r="E39" s="38">
        <f t="shared" si="23"/>
        <v>8.8865700713042575E-2</v>
      </c>
      <c r="F39" s="38">
        <f t="shared" si="23"/>
        <v>9.1273588980099879E-2</v>
      </c>
      <c r="G39" s="41">
        <v>9.2999999999999999E-2</v>
      </c>
      <c r="H39" s="41">
        <v>9.2999999999999999E-2</v>
      </c>
      <c r="I39" s="41">
        <v>9.1999999999999998E-2</v>
      </c>
      <c r="J39" s="41">
        <v>9.1999999999999998E-2</v>
      </c>
      <c r="K39" s="41">
        <v>9.1999999999999998E-2</v>
      </c>
    </row>
    <row r="40" spans="3:11" ht="15" customHeight="1" x14ac:dyDescent="0.25">
      <c r="C40" s="29" t="s">
        <v>66</v>
      </c>
      <c r="D40" s="38">
        <f t="shared" si="23"/>
        <v>2.4983474069253789E-2</v>
      </c>
      <c r="E40" s="38">
        <f t="shared" si="23"/>
        <v>2.7124693078308938E-2</v>
      </c>
      <c r="F40" s="38">
        <f t="shared" si="23"/>
        <v>2.7718571155191597E-2</v>
      </c>
      <c r="G40" s="41">
        <v>2.8000000000000001E-2</v>
      </c>
      <c r="H40" s="41">
        <v>2.7E-2</v>
      </c>
      <c r="I40" s="41">
        <v>2.5999999999999999E-2</v>
      </c>
      <c r="J40" s="41">
        <v>2.5999999999999999E-2</v>
      </c>
      <c r="K40" s="41">
        <v>2.5999999999999999E-2</v>
      </c>
    </row>
    <row r="41" spans="3:11" ht="15" customHeight="1" x14ac:dyDescent="0.25">
      <c r="C41" s="29" t="s">
        <v>52</v>
      </c>
      <c r="D41" s="38">
        <f>-D27/D26</f>
        <v>0.23173762708156515</v>
      </c>
      <c r="E41" s="38">
        <f t="shared" ref="E41:F41" si="24">-E27/E26</f>
        <v>0.20540459787006088</v>
      </c>
      <c r="F41" s="38">
        <f t="shared" si="24"/>
        <v>0.20561597706297824</v>
      </c>
      <c r="G41" s="41">
        <v>0.22500000000000001</v>
      </c>
      <c r="H41" s="38">
        <f>G41</f>
        <v>0.22500000000000001</v>
      </c>
      <c r="I41" s="38">
        <f t="shared" ref="I41:K41" si="25">H41</f>
        <v>0.22500000000000001</v>
      </c>
      <c r="J41" s="38">
        <f t="shared" si="25"/>
        <v>0.22500000000000001</v>
      </c>
      <c r="K41" s="38">
        <f t="shared" si="25"/>
        <v>0.22500000000000001</v>
      </c>
    </row>
    <row r="42" spans="3:11" ht="15" customHeight="1" x14ac:dyDescent="0.25">
      <c r="C42" s="29" t="s">
        <v>139</v>
      </c>
      <c r="D42" s="42"/>
      <c r="E42" s="42">
        <f>E54/E16*365</f>
        <v>22.555968666089282</v>
      </c>
      <c r="F42" s="42">
        <f t="shared" ref="F42" si="26">F54/F16*365</f>
        <v>24.758680717329245</v>
      </c>
      <c r="G42" s="42">
        <f>$F$42</f>
        <v>24.758680717329245</v>
      </c>
      <c r="H42" s="42">
        <f t="shared" ref="H42:K42" si="27">$F$42</f>
        <v>24.758680717329245</v>
      </c>
      <c r="I42" s="42">
        <f t="shared" si="27"/>
        <v>24.758680717329245</v>
      </c>
      <c r="J42" s="42">
        <f t="shared" si="27"/>
        <v>24.758680717329245</v>
      </c>
      <c r="K42" s="42">
        <f t="shared" si="27"/>
        <v>24.758680717329245</v>
      </c>
    </row>
    <row r="43" spans="3:11" ht="15" customHeight="1" x14ac:dyDescent="0.25">
      <c r="C43" s="29" t="s">
        <v>140</v>
      </c>
      <c r="D43" s="42"/>
      <c r="E43" s="42">
        <f>E53/-E17*365</f>
        <v>90.145946734084959</v>
      </c>
      <c r="F43" s="42">
        <f>F53/-F17*365</f>
        <v>91.879622717916831</v>
      </c>
      <c r="G43" s="42">
        <f>$F$43</f>
        <v>91.879622717916831</v>
      </c>
      <c r="H43" s="42">
        <f t="shared" ref="H43:K43" si="28">$F$43</f>
        <v>91.879622717916831</v>
      </c>
      <c r="I43" s="42">
        <f t="shared" si="28"/>
        <v>91.879622717916831</v>
      </c>
      <c r="J43" s="42">
        <f t="shared" si="28"/>
        <v>91.879622717916831</v>
      </c>
      <c r="K43" s="42">
        <f t="shared" si="28"/>
        <v>91.879622717916831</v>
      </c>
    </row>
    <row r="44" spans="3:11" ht="15" customHeight="1" x14ac:dyDescent="0.25">
      <c r="C44" s="29" t="s">
        <v>141</v>
      </c>
      <c r="D44" s="42"/>
      <c r="E44" s="42">
        <f>E73/-E17*365</f>
        <v>43.307129101384461</v>
      </c>
      <c r="F44" s="42">
        <f>F73/-F17*365</f>
        <v>37.024236132939151</v>
      </c>
      <c r="G44" s="42">
        <f>$F$44</f>
        <v>37.024236132939151</v>
      </c>
      <c r="H44" s="42">
        <f t="shared" ref="H44:K44" si="29">$F$44</f>
        <v>37.024236132939151</v>
      </c>
      <c r="I44" s="42">
        <f t="shared" si="29"/>
        <v>37.024236132939151</v>
      </c>
      <c r="J44" s="42">
        <f t="shared" si="29"/>
        <v>37.024236132939151</v>
      </c>
      <c r="K44" s="42">
        <f t="shared" si="29"/>
        <v>37.024236132939151</v>
      </c>
    </row>
    <row r="45" spans="3:11" ht="15" customHeight="1" x14ac:dyDescent="0.25">
      <c r="C45" s="29"/>
      <c r="D45" s="42"/>
      <c r="E45" s="42"/>
      <c r="F45" s="42"/>
      <c r="G45" s="42"/>
      <c r="H45" s="42"/>
      <c r="I45" s="42"/>
      <c r="J45" s="42"/>
      <c r="K45" s="42"/>
    </row>
    <row r="46" spans="3:11" customFormat="1" x14ac:dyDescent="0.25">
      <c r="C46" s="84" t="s">
        <v>147</v>
      </c>
      <c r="D46" s="91"/>
      <c r="E46" s="91"/>
      <c r="F46" s="91"/>
      <c r="G46" s="85"/>
      <c r="H46" s="85"/>
      <c r="I46" s="85"/>
      <c r="J46" s="85"/>
      <c r="K46" s="85"/>
    </row>
    <row r="47" spans="3:11" customFormat="1" x14ac:dyDescent="0.25">
      <c r="C47" t="s">
        <v>145</v>
      </c>
      <c r="D47" s="86">
        <f>D$13</f>
        <v>2023</v>
      </c>
      <c r="E47" s="86">
        <f t="shared" ref="E47:K47" si="30">E$13</f>
        <v>2024</v>
      </c>
      <c r="F47" s="86">
        <f t="shared" si="30"/>
        <v>2025</v>
      </c>
      <c r="G47" s="87">
        <f t="shared" si="30"/>
        <v>2026</v>
      </c>
      <c r="H47" s="87">
        <f t="shared" si="30"/>
        <v>2027</v>
      </c>
      <c r="I47" s="87">
        <f t="shared" si="30"/>
        <v>2028</v>
      </c>
      <c r="J47" s="87">
        <f t="shared" si="30"/>
        <v>2029</v>
      </c>
      <c r="K47" s="87">
        <f t="shared" si="30"/>
        <v>2030</v>
      </c>
    </row>
    <row r="48" spans="3:11" customFormat="1" x14ac:dyDescent="0.25">
      <c r="C48" s="88" t="s">
        <v>146</v>
      </c>
      <c r="D48" s="89">
        <f>D$14</f>
        <v>45291</v>
      </c>
      <c r="E48" s="89">
        <f t="shared" ref="E48:K48" si="31">E$14</f>
        <v>45657</v>
      </c>
      <c r="F48" s="89">
        <f t="shared" si="31"/>
        <v>46022</v>
      </c>
      <c r="G48" s="89">
        <f t="shared" si="31"/>
        <v>46387</v>
      </c>
      <c r="H48" s="89">
        <f t="shared" si="31"/>
        <v>46752</v>
      </c>
      <c r="I48" s="89">
        <f t="shared" si="31"/>
        <v>47118</v>
      </c>
      <c r="J48" s="89">
        <f t="shared" si="31"/>
        <v>47483</v>
      </c>
      <c r="K48" s="89">
        <f t="shared" si="31"/>
        <v>47848</v>
      </c>
    </row>
    <row r="49" spans="3:11" s="66" customFormat="1" ht="15" customHeight="1" x14ac:dyDescent="0.25">
      <c r="C49" s="90" t="s">
        <v>6</v>
      </c>
    </row>
    <row r="50" spans="3:11" ht="15" customHeight="1" x14ac:dyDescent="0.25"/>
    <row r="51" spans="3:11" ht="15" customHeight="1" x14ac:dyDescent="0.25">
      <c r="C51" s="20" t="s">
        <v>7</v>
      </c>
    </row>
    <row r="52" spans="3:11" ht="15" customHeight="1" x14ac:dyDescent="0.25">
      <c r="C52" s="29" t="s">
        <v>68</v>
      </c>
      <c r="E52" s="14">
        <v>1811245</v>
      </c>
      <c r="F52" s="14">
        <v>1091756</v>
      </c>
      <c r="G52" s="43">
        <f ca="1">F52+G133</f>
        <v>499999.99999999977</v>
      </c>
      <c r="H52" s="43">
        <f ca="1">G52+H133</f>
        <v>499999.99999999977</v>
      </c>
      <c r="I52" s="43">
        <f ca="1">H52+I133</f>
        <v>499999.99999999977</v>
      </c>
      <c r="J52" s="43">
        <f ca="1">I52+J133</f>
        <v>499999.99999999977</v>
      </c>
      <c r="K52" s="43">
        <f ca="1">J52+K133</f>
        <v>499999.99999999977</v>
      </c>
    </row>
    <row r="53" spans="3:11" ht="15" customHeight="1" x14ac:dyDescent="0.25">
      <c r="C53" s="29" t="s">
        <v>69</v>
      </c>
      <c r="E53" s="14">
        <v>4177071</v>
      </c>
      <c r="F53" s="14">
        <v>5815744</v>
      </c>
      <c r="G53" s="43">
        <f>-G17/365*G43</f>
        <v>6753791.2804223327</v>
      </c>
      <c r="H53" s="43">
        <f t="shared" ref="H53:K53" si="32">-H17/365*H43</f>
        <v>7763577.6111060837</v>
      </c>
      <c r="I53" s="43">
        <f t="shared" si="32"/>
        <v>8778809.6882216502</v>
      </c>
      <c r="J53" s="43">
        <f t="shared" si="32"/>
        <v>9840577.0392491184</v>
      </c>
      <c r="K53" s="43">
        <f t="shared" si="32"/>
        <v>10984619.750480866</v>
      </c>
    </row>
    <row r="54" spans="3:11" ht="15" customHeight="1" x14ac:dyDescent="0.25">
      <c r="C54" s="29" t="s">
        <v>70</v>
      </c>
      <c r="E54" s="14">
        <v>1501833</v>
      </c>
      <c r="F54" s="14">
        <v>2033905</v>
      </c>
      <c r="G54" s="43">
        <f>G16/365*G42</f>
        <v>2410510.2332211626</v>
      </c>
      <c r="H54" s="43">
        <f t="shared" ref="H54:K54" si="33">H16/365*H42</f>
        <v>2789388.0218716292</v>
      </c>
      <c r="I54" s="43">
        <f t="shared" si="33"/>
        <v>3175321.1608481794</v>
      </c>
      <c r="J54" s="43">
        <f t="shared" si="33"/>
        <v>3583415.286658484</v>
      </c>
      <c r="K54" s="43">
        <f t="shared" si="33"/>
        <v>4000014.8543125866</v>
      </c>
    </row>
    <row r="55" spans="3:11" ht="15" customHeight="1" x14ac:dyDescent="0.25">
      <c r="C55" s="29" t="s">
        <v>71</v>
      </c>
      <c r="E55" s="14"/>
      <c r="F55" s="14">
        <v>537771</v>
      </c>
      <c r="G55" s="43">
        <f>F55</f>
        <v>537771</v>
      </c>
      <c r="H55" s="43">
        <f t="shared" ref="H55:K55" si="34">G55</f>
        <v>537771</v>
      </c>
      <c r="I55" s="43">
        <f t="shared" si="34"/>
        <v>537771</v>
      </c>
      <c r="J55" s="43">
        <f t="shared" si="34"/>
        <v>537771</v>
      </c>
      <c r="K55" s="43">
        <f t="shared" si="34"/>
        <v>537771</v>
      </c>
    </row>
    <row r="56" spans="3:11" ht="15" customHeight="1" x14ac:dyDescent="0.25">
      <c r="C56" s="29" t="s">
        <v>72</v>
      </c>
      <c r="E56" s="14">
        <v>46908</v>
      </c>
      <c r="F56" s="14">
        <v>66662</v>
      </c>
      <c r="G56" s="43">
        <f>F56*(1+G37)</f>
        <v>79005.377914400684</v>
      </c>
      <c r="H56" s="43">
        <f t="shared" ref="H56:K56" si="35">G56*(1+H37)</f>
        <v>91423.239686222572</v>
      </c>
      <c r="I56" s="43">
        <f t="shared" si="35"/>
        <v>104072.34321389707</v>
      </c>
      <c r="J56" s="43">
        <f t="shared" si="35"/>
        <v>117447.78140533992</v>
      </c>
      <c r="K56" s="43">
        <f t="shared" si="35"/>
        <v>131101.98864656198</v>
      </c>
    </row>
    <row r="57" spans="3:11" ht="15" customHeight="1" x14ac:dyDescent="0.25">
      <c r="C57" s="16" t="s">
        <v>8</v>
      </c>
      <c r="D57" s="44"/>
      <c r="E57" s="17">
        <f>SUM(E52:E56)</f>
        <v>7537057</v>
      </c>
      <c r="F57" s="17">
        <f>SUM(F52:F56)</f>
        <v>9545838</v>
      </c>
      <c r="G57" s="17">
        <f ca="1">SUM(G52:G56)</f>
        <v>10281077.891557897</v>
      </c>
      <c r="H57" s="17">
        <f t="shared" ref="H57:K57" ca="1" si="36">SUM(H52:H56)</f>
        <v>11682159.872663936</v>
      </c>
      <c r="I57" s="17">
        <f t="shared" ca="1" si="36"/>
        <v>13095974.192283727</v>
      </c>
      <c r="J57" s="17">
        <f t="shared" ca="1" si="36"/>
        <v>14579211.107312942</v>
      </c>
      <c r="K57" s="17">
        <f t="shared" ca="1" si="36"/>
        <v>16153507.593440013</v>
      </c>
    </row>
    <row r="58" spans="3:11" ht="15" customHeight="1" x14ac:dyDescent="0.25">
      <c r="E58" s="30"/>
      <c r="F58" s="30"/>
      <c r="G58" s="30"/>
      <c r="H58" s="30"/>
      <c r="I58" s="30"/>
      <c r="J58" s="30"/>
      <c r="K58" s="30"/>
    </row>
    <row r="59" spans="3:11" ht="15" customHeight="1" x14ac:dyDescent="0.25">
      <c r="C59" s="20" t="s">
        <v>9</v>
      </c>
      <c r="E59" s="30"/>
      <c r="F59" s="30"/>
      <c r="G59" s="30"/>
      <c r="H59" s="30"/>
      <c r="I59" s="30"/>
      <c r="J59" s="30"/>
      <c r="K59" s="30"/>
    </row>
    <row r="60" spans="3:11" ht="15" customHeight="1" x14ac:dyDescent="0.25">
      <c r="C60" s="45" t="s">
        <v>106</v>
      </c>
      <c r="E60" s="14">
        <v>5398845</v>
      </c>
      <c r="F60" s="14">
        <v>7897738</v>
      </c>
      <c r="G60" s="43">
        <f ca="1">G144</f>
        <v>10437559.253022846</v>
      </c>
      <c r="H60" s="43">
        <f t="shared" ref="H60:K60" ca="1" si="37">H144</f>
        <v>12889589.735615171</v>
      </c>
      <c r="I60" s="43">
        <f t="shared" ca="1" si="37"/>
        <v>14933163.277934065</v>
      </c>
      <c r="J60" s="43">
        <f t="shared" ca="1" si="37"/>
        <v>16192617.845653452</v>
      </c>
      <c r="K60" s="43">
        <f t="shared" ca="1" si="37"/>
        <v>17062290.049057264</v>
      </c>
    </row>
    <row r="61" spans="3:11" ht="15" customHeight="1" x14ac:dyDescent="0.25">
      <c r="C61" s="29" t="s">
        <v>73</v>
      </c>
      <c r="E61" s="14">
        <v>115818</v>
      </c>
      <c r="F61" s="14">
        <v>207731</v>
      </c>
      <c r="G61" s="43">
        <f>F61</f>
        <v>207731</v>
      </c>
      <c r="H61" s="43">
        <f>G61</f>
        <v>207731</v>
      </c>
      <c r="I61" s="43">
        <f>H61</f>
        <v>207731</v>
      </c>
      <c r="J61" s="43">
        <f>I61</f>
        <v>207731</v>
      </c>
      <c r="K61" s="43">
        <f>J61</f>
        <v>207731</v>
      </c>
    </row>
    <row r="62" spans="3:11" ht="15" customHeight="1" x14ac:dyDescent="0.25">
      <c r="C62" s="29" t="s">
        <v>107</v>
      </c>
      <c r="E62" s="14">
        <v>538744</v>
      </c>
      <c r="F62" s="14">
        <v>758915</v>
      </c>
      <c r="G62" s="43">
        <f>F62*(1+G37)</f>
        <v>899438.45639055839</v>
      </c>
      <c r="H62" s="43">
        <f t="shared" ref="H62:K62" si="38">G62*(1+H37)</f>
        <v>1040809.8758883564</v>
      </c>
      <c r="I62" s="43">
        <f t="shared" si="38"/>
        <v>1184813.8722236762</v>
      </c>
      <c r="J62" s="43">
        <f t="shared" si="38"/>
        <v>1337086.8414574054</v>
      </c>
      <c r="K62" s="43">
        <f t="shared" si="38"/>
        <v>1492533.4630479973</v>
      </c>
    </row>
    <row r="63" spans="3:11" ht="15" customHeight="1" x14ac:dyDescent="0.25">
      <c r="C63" s="16" t="s">
        <v>10</v>
      </c>
      <c r="D63" s="44"/>
      <c r="E63" s="17">
        <f t="shared" ref="E63:K63" si="39">SUM(E60:E62)</f>
        <v>6053407</v>
      </c>
      <c r="F63" s="17">
        <f t="shared" si="39"/>
        <v>8864384</v>
      </c>
      <c r="G63" s="17">
        <f t="shared" ca="1" si="39"/>
        <v>11544728.709413404</v>
      </c>
      <c r="H63" s="17">
        <f t="shared" ca="1" si="39"/>
        <v>14138130.611503528</v>
      </c>
      <c r="I63" s="17">
        <f t="shared" ca="1" si="39"/>
        <v>16325708.150157742</v>
      </c>
      <c r="J63" s="17">
        <f t="shared" ca="1" si="39"/>
        <v>17737435.687110856</v>
      </c>
      <c r="K63" s="17">
        <f t="shared" ca="1" si="39"/>
        <v>18762554.51210526</v>
      </c>
    </row>
    <row r="64" spans="3:11" ht="15" customHeight="1" x14ac:dyDescent="0.25">
      <c r="E64" s="34"/>
      <c r="F64" s="34"/>
      <c r="G64" s="34"/>
      <c r="H64" s="34"/>
      <c r="I64" s="34"/>
      <c r="J64" s="34"/>
      <c r="K64" s="34"/>
    </row>
    <row r="65" spans="3:13" ht="15" customHeight="1" x14ac:dyDescent="0.25">
      <c r="C65" s="20" t="s">
        <v>11</v>
      </c>
      <c r="E65" s="21">
        <f t="shared" ref="E65:K65" si="40">E57+E63</f>
        <v>13590464</v>
      </c>
      <c r="F65" s="21">
        <f t="shared" si="40"/>
        <v>18410222</v>
      </c>
      <c r="G65" s="21">
        <f t="shared" ca="1" si="40"/>
        <v>21825806.6009713</v>
      </c>
      <c r="H65" s="21">
        <f t="shared" ca="1" si="40"/>
        <v>25820290.484167464</v>
      </c>
      <c r="I65" s="21">
        <f t="shared" ca="1" si="40"/>
        <v>29421682.342441469</v>
      </c>
      <c r="J65" s="21">
        <f t="shared" ca="1" si="40"/>
        <v>32316646.794423796</v>
      </c>
      <c r="K65" s="21">
        <f t="shared" ca="1" si="40"/>
        <v>34916062.105545275</v>
      </c>
    </row>
    <row r="66" spans="3:13" ht="15" customHeight="1" x14ac:dyDescent="0.25">
      <c r="E66" s="30"/>
      <c r="F66" s="30"/>
      <c r="G66" s="30"/>
      <c r="H66" s="30"/>
      <c r="I66" s="30"/>
      <c r="J66" s="30"/>
      <c r="K66" s="30"/>
    </row>
    <row r="67" spans="3:13" s="66" customFormat="1" ht="15" customHeight="1" x14ac:dyDescent="0.25">
      <c r="C67" s="90" t="s">
        <v>12</v>
      </c>
      <c r="D67" s="92"/>
      <c r="E67" s="93"/>
      <c r="F67" s="93"/>
      <c r="G67" s="93"/>
      <c r="H67" s="93"/>
      <c r="I67" s="93"/>
      <c r="J67" s="93"/>
      <c r="K67" s="93"/>
    </row>
    <row r="68" spans="3:13" ht="15" customHeight="1" x14ac:dyDescent="0.25">
      <c r="E68" s="30"/>
      <c r="F68" s="30"/>
      <c r="G68" s="30"/>
      <c r="H68" s="30"/>
      <c r="I68" s="30"/>
      <c r="J68" s="30"/>
      <c r="K68" s="30"/>
    </row>
    <row r="69" spans="3:13" ht="15" customHeight="1" x14ac:dyDescent="0.25">
      <c r="C69" s="20" t="s">
        <v>13</v>
      </c>
      <c r="E69" s="30"/>
      <c r="F69" s="30"/>
      <c r="G69" s="30"/>
      <c r="H69" s="30"/>
      <c r="I69" s="30"/>
      <c r="J69" s="30"/>
      <c r="K69" s="30"/>
    </row>
    <row r="70" spans="3:13" ht="15" customHeight="1" x14ac:dyDescent="0.25">
      <c r="C70" s="29" t="s">
        <v>74</v>
      </c>
      <c r="E70" s="14">
        <v>2909496</v>
      </c>
      <c r="F70" s="14">
        <v>5330641</v>
      </c>
      <c r="G70" s="43">
        <f ca="1">G205</f>
        <v>6159627.5761988638</v>
      </c>
      <c r="H70" s="43">
        <f t="shared" ref="H70:K70" ca="1" si="41">H205</f>
        <v>7070733.0905921217</v>
      </c>
      <c r="I70" s="43">
        <f t="shared" ca="1" si="41"/>
        <v>7014835.8684358075</v>
      </c>
      <c r="J70" s="43">
        <f t="shared" ca="1" si="41"/>
        <v>5499683.5828158073</v>
      </c>
      <c r="K70" s="43">
        <f t="shared" ca="1" si="41"/>
        <v>2852048.3459689356</v>
      </c>
    </row>
    <row r="71" spans="3:13" ht="15" customHeight="1" x14ac:dyDescent="0.25">
      <c r="C71" s="29" t="s">
        <v>75</v>
      </c>
      <c r="E71" s="14">
        <v>271504</v>
      </c>
      <c r="F71" s="14">
        <v>178797</v>
      </c>
      <c r="G71" s="43">
        <f>F71</f>
        <v>178797</v>
      </c>
      <c r="H71" s="43">
        <f t="shared" ref="H71:K71" si="42">G71</f>
        <v>178797</v>
      </c>
      <c r="I71" s="43">
        <f t="shared" si="42"/>
        <v>178797</v>
      </c>
      <c r="J71" s="43">
        <f t="shared" si="42"/>
        <v>178797</v>
      </c>
      <c r="K71" s="43">
        <f t="shared" si="42"/>
        <v>178797</v>
      </c>
    </row>
    <row r="72" spans="3:13" ht="15" customHeight="1" x14ac:dyDescent="0.25">
      <c r="C72" s="29" t="s">
        <v>76</v>
      </c>
      <c r="E72" s="14">
        <v>67487</v>
      </c>
      <c r="F72" s="14">
        <v>52958</v>
      </c>
      <c r="G72" s="43">
        <f>F72</f>
        <v>52958</v>
      </c>
      <c r="H72" s="43">
        <f t="shared" ref="H72:K72" si="43">G72</f>
        <v>52958</v>
      </c>
      <c r="I72" s="43">
        <f t="shared" si="43"/>
        <v>52958</v>
      </c>
      <c r="J72" s="43">
        <f t="shared" si="43"/>
        <v>52958</v>
      </c>
      <c r="K72" s="43">
        <f t="shared" si="43"/>
        <v>52958</v>
      </c>
    </row>
    <row r="73" spans="3:13" ht="15" customHeight="1" x14ac:dyDescent="0.25">
      <c r="C73" s="29" t="s">
        <v>15</v>
      </c>
      <c r="E73" s="14">
        <v>2006712</v>
      </c>
      <c r="F73" s="14">
        <v>2343539</v>
      </c>
      <c r="G73" s="43">
        <f>-G17/365*G44</f>
        <v>2721538.8544491767</v>
      </c>
      <c r="H73" s="43">
        <f t="shared" ref="H73:K73" si="44">-H17/365*H44</f>
        <v>3128447.0071505792</v>
      </c>
      <c r="I73" s="43">
        <f t="shared" si="44"/>
        <v>3537549.6029270333</v>
      </c>
      <c r="J73" s="43">
        <f t="shared" si="44"/>
        <v>3965404.2671040604</v>
      </c>
      <c r="K73" s="43">
        <f t="shared" si="44"/>
        <v>4426412.9895370528</v>
      </c>
    </row>
    <row r="74" spans="3:13" ht="15" customHeight="1" x14ac:dyDescent="0.25">
      <c r="C74" s="29" t="s">
        <v>77</v>
      </c>
      <c r="E74" s="14">
        <v>712163</v>
      </c>
      <c r="F74" s="14">
        <v>102308</v>
      </c>
      <c r="G74" s="43">
        <f>F74*(1+G37)</f>
        <v>121251.72067544487</v>
      </c>
      <c r="H74" s="43">
        <f>G74*(1+H37)</f>
        <v>140309.75377003479</v>
      </c>
      <c r="I74" s="43">
        <f>H74*(1+I37)</f>
        <v>159722.67993050584</v>
      </c>
      <c r="J74" s="43">
        <f>I74*(1+J37)</f>
        <v>180250.33182349039</v>
      </c>
      <c r="K74" s="43">
        <f>J74*(1+K37)</f>
        <v>201205.81822406262</v>
      </c>
    </row>
    <row r="75" spans="3:13" ht="15" customHeight="1" x14ac:dyDescent="0.25">
      <c r="C75" s="29" t="s">
        <v>14</v>
      </c>
      <c r="E75" s="14">
        <v>228224</v>
      </c>
      <c r="F75" s="14">
        <v>130598</v>
      </c>
      <c r="G75" s="43">
        <f>F75</f>
        <v>130598</v>
      </c>
      <c r="H75" s="43">
        <f t="shared" ref="H75:K75" si="45">G75</f>
        <v>130598</v>
      </c>
      <c r="I75" s="43">
        <f t="shared" si="45"/>
        <v>130598</v>
      </c>
      <c r="J75" s="43">
        <f t="shared" si="45"/>
        <v>130598</v>
      </c>
      <c r="K75" s="43">
        <f t="shared" si="45"/>
        <v>130598</v>
      </c>
    </row>
    <row r="76" spans="3:13" ht="15" customHeight="1" x14ac:dyDescent="0.25">
      <c r="C76" s="29" t="s">
        <v>78</v>
      </c>
      <c r="E76" s="14">
        <v>3823</v>
      </c>
      <c r="F76" s="14">
        <v>30649</v>
      </c>
      <c r="G76" s="43">
        <f>F76*(1+G37)</f>
        <v>36324.080101084081</v>
      </c>
      <c r="H76" s="43">
        <f>G76*(1+H37)</f>
        <v>42033.40543552603</v>
      </c>
      <c r="I76" s="43">
        <f>H76*(1+I37)</f>
        <v>47849.048140810832</v>
      </c>
      <c r="J76" s="43">
        <f>I76*(1+J37)</f>
        <v>53998.635688882176</v>
      </c>
      <c r="K76" s="43">
        <f>J76*(1+K37)</f>
        <v>60276.392097874028</v>
      </c>
      <c r="M76" s="46"/>
    </row>
    <row r="77" spans="3:13" ht="15" customHeight="1" x14ac:dyDescent="0.25">
      <c r="C77" s="16" t="s">
        <v>16</v>
      </c>
      <c r="D77" s="44"/>
      <c r="E77" s="17">
        <f>SUM(E70:E76)</f>
        <v>6199409</v>
      </c>
      <c r="F77" s="17">
        <f>SUM(F70:F76)</f>
        <v>8169490</v>
      </c>
      <c r="G77" s="17">
        <f ca="1">SUM(G70:G76)</f>
        <v>9401095.2314245682</v>
      </c>
      <c r="H77" s="17">
        <f t="shared" ref="H77:K77" ca="1" si="46">SUM(H70:H76)</f>
        <v>10743876.256948262</v>
      </c>
      <c r="I77" s="17">
        <f t="shared" ca="1" si="46"/>
        <v>11122310.199434157</v>
      </c>
      <c r="J77" s="17">
        <f t="shared" ca="1" si="46"/>
        <v>10061689.81743224</v>
      </c>
      <c r="K77" s="17">
        <f t="shared" ca="1" si="46"/>
        <v>7902296.5458279243</v>
      </c>
    </row>
    <row r="78" spans="3:13" ht="15" customHeight="1" x14ac:dyDescent="0.25">
      <c r="E78" s="30"/>
      <c r="F78" s="30"/>
      <c r="G78" s="30"/>
      <c r="H78" s="30"/>
      <c r="I78" s="30"/>
      <c r="J78" s="30"/>
      <c r="K78" s="30"/>
    </row>
    <row r="79" spans="3:13" ht="15" customHeight="1" x14ac:dyDescent="0.25">
      <c r="C79" s="20" t="s">
        <v>17</v>
      </c>
      <c r="E79" s="30"/>
      <c r="F79" s="30"/>
      <c r="G79" s="30"/>
      <c r="H79" s="30"/>
      <c r="I79" s="30"/>
      <c r="J79" s="30"/>
      <c r="K79" s="30"/>
    </row>
    <row r="80" spans="3:13" ht="15" customHeight="1" x14ac:dyDescent="0.25">
      <c r="C80" s="29" t="s">
        <v>79</v>
      </c>
      <c r="E80" s="14">
        <v>578067</v>
      </c>
      <c r="F80" s="14">
        <v>1542076</v>
      </c>
      <c r="G80" s="43">
        <f>F80</f>
        <v>1542076</v>
      </c>
      <c r="H80" s="43">
        <f t="shared" ref="H80:K80" si="47">G80</f>
        <v>1542076</v>
      </c>
      <c r="I80" s="43">
        <f t="shared" si="47"/>
        <v>1542076</v>
      </c>
      <c r="J80" s="43">
        <f t="shared" si="47"/>
        <v>1542076</v>
      </c>
      <c r="K80" s="43">
        <f t="shared" si="47"/>
        <v>1542076</v>
      </c>
    </row>
    <row r="81" spans="3:11" ht="15" customHeight="1" x14ac:dyDescent="0.25">
      <c r="C81" s="29" t="s">
        <v>80</v>
      </c>
      <c r="E81" s="14">
        <v>84041</v>
      </c>
      <c r="F81" s="14">
        <v>156430</v>
      </c>
      <c r="G81" s="43">
        <f>F81</f>
        <v>156430</v>
      </c>
      <c r="H81" s="43">
        <f t="shared" ref="H81:K81" si="48">G81</f>
        <v>156430</v>
      </c>
      <c r="I81" s="43">
        <f t="shared" si="48"/>
        <v>156430</v>
      </c>
      <c r="J81" s="43">
        <f t="shared" si="48"/>
        <v>156430</v>
      </c>
      <c r="K81" s="43">
        <f t="shared" si="48"/>
        <v>156430</v>
      </c>
    </row>
    <row r="82" spans="3:11" ht="15" customHeight="1" x14ac:dyDescent="0.25">
      <c r="C82" s="29" t="s">
        <v>81</v>
      </c>
      <c r="E82" s="14">
        <v>387421</v>
      </c>
      <c r="F82" s="14">
        <v>509294</v>
      </c>
      <c r="G82" s="43">
        <f>F82*(1+G37)</f>
        <v>603596.7258638622</v>
      </c>
      <c r="H82" s="43">
        <f t="shared" ref="H82:K82" si="49">G82*(1+H37)</f>
        <v>698468.50428662566</v>
      </c>
      <c r="I82" s="43">
        <f t="shared" si="49"/>
        <v>795106.95695866446</v>
      </c>
      <c r="J82" s="43">
        <f t="shared" si="49"/>
        <v>897294.56636541337</v>
      </c>
      <c r="K82" s="43">
        <f t="shared" si="49"/>
        <v>1001611.9559233466</v>
      </c>
    </row>
    <row r="83" spans="3:11" ht="15" customHeight="1" x14ac:dyDescent="0.25">
      <c r="C83" s="29" t="s">
        <v>82</v>
      </c>
      <c r="E83" s="14">
        <v>2200</v>
      </c>
      <c r="F83" s="14">
        <v>387</v>
      </c>
      <c r="G83" s="43">
        <f>F83*(1+G37)</f>
        <v>458.65832487583731</v>
      </c>
      <c r="H83" s="43">
        <f t="shared" ref="H83:K83" si="50">G83*(1+H37)</f>
        <v>530.74905881263896</v>
      </c>
      <c r="I83" s="43">
        <f t="shared" si="50"/>
        <v>604.1822451138305</v>
      </c>
      <c r="J83" s="43">
        <f t="shared" si="50"/>
        <v>681.83209930494968</v>
      </c>
      <c r="K83" s="43">
        <f t="shared" si="50"/>
        <v>761.1003211157705</v>
      </c>
    </row>
    <row r="84" spans="3:11" ht="15" customHeight="1" x14ac:dyDescent="0.25">
      <c r="C84" s="16" t="s">
        <v>18</v>
      </c>
      <c r="D84" s="44"/>
      <c r="E84" s="17">
        <f>SUM(E80:E83)</f>
        <v>1051729</v>
      </c>
      <c r="F84" s="17">
        <f>SUM(F80:F83)</f>
        <v>2208187</v>
      </c>
      <c r="G84" s="17">
        <f>SUM(G80:G83)</f>
        <v>2302561.3841887382</v>
      </c>
      <c r="H84" s="17">
        <f t="shared" ref="H84:K84" si="51">SUM(H80:H83)</f>
        <v>2397505.2533454383</v>
      </c>
      <c r="I84" s="17">
        <f t="shared" si="51"/>
        <v>2494217.1392037785</v>
      </c>
      <c r="J84" s="17">
        <f t="shared" si="51"/>
        <v>2596482.3984647184</v>
      </c>
      <c r="K84" s="17">
        <f t="shared" si="51"/>
        <v>2700879.0562444627</v>
      </c>
    </row>
    <row r="85" spans="3:11" ht="15" customHeight="1" x14ac:dyDescent="0.25">
      <c r="E85" s="30"/>
      <c r="F85" s="30"/>
      <c r="G85" s="30"/>
      <c r="H85" s="30"/>
      <c r="I85" s="30"/>
      <c r="J85" s="30"/>
      <c r="K85" s="30"/>
    </row>
    <row r="86" spans="3:11" ht="15" customHeight="1" x14ac:dyDescent="0.25">
      <c r="C86" s="20" t="s">
        <v>19</v>
      </c>
      <c r="E86" s="47">
        <f>E77+E84</f>
        <v>7251138</v>
      </c>
      <c r="F86" s="47">
        <f>F77+F84</f>
        <v>10377677</v>
      </c>
      <c r="G86" s="47">
        <f t="shared" ref="G86:K86" ca="1" si="52">G77+G84</f>
        <v>11703656.615613306</v>
      </c>
      <c r="H86" s="47">
        <f t="shared" ca="1" si="52"/>
        <v>13141381.5102937</v>
      </c>
      <c r="I86" s="47">
        <f t="shared" ca="1" si="52"/>
        <v>13616527.338637937</v>
      </c>
      <c r="J86" s="47">
        <f t="shared" ca="1" si="52"/>
        <v>12658172.215896958</v>
      </c>
      <c r="K86" s="47">
        <f t="shared" ca="1" si="52"/>
        <v>10603175.602072388</v>
      </c>
    </row>
    <row r="87" spans="3:11" ht="15" customHeight="1" x14ac:dyDescent="0.25">
      <c r="E87" s="30"/>
      <c r="F87" s="30"/>
      <c r="G87" s="30"/>
      <c r="H87" s="30"/>
      <c r="I87" s="30"/>
      <c r="J87" s="30"/>
      <c r="K87" s="30"/>
    </row>
    <row r="88" spans="3:11" ht="15" customHeight="1" x14ac:dyDescent="0.25">
      <c r="C88" s="20" t="s">
        <v>20</v>
      </c>
      <c r="E88" s="30"/>
      <c r="F88" s="30"/>
      <c r="G88" s="30"/>
      <c r="H88" s="30"/>
      <c r="I88" s="30"/>
      <c r="J88" s="30"/>
      <c r="K88" s="30"/>
    </row>
    <row r="89" spans="3:11" ht="15" customHeight="1" x14ac:dyDescent="0.25">
      <c r="C89" s="29" t="s">
        <v>21</v>
      </c>
      <c r="E89" s="14">
        <v>941405</v>
      </c>
      <c r="F89" s="14">
        <v>1176756</v>
      </c>
      <c r="G89" s="43">
        <f>F89</f>
        <v>1176756</v>
      </c>
      <c r="H89" s="43">
        <f t="shared" ref="H89:K89" si="53">G89</f>
        <v>1176756</v>
      </c>
      <c r="I89" s="43">
        <f t="shared" si="53"/>
        <v>1176756</v>
      </c>
      <c r="J89" s="43">
        <f t="shared" si="53"/>
        <v>1176756</v>
      </c>
      <c r="K89" s="43">
        <f t="shared" si="53"/>
        <v>1176756</v>
      </c>
    </row>
    <row r="90" spans="3:11" ht="15" customHeight="1" x14ac:dyDescent="0.25">
      <c r="C90" s="29" t="s">
        <v>22</v>
      </c>
      <c r="E90" s="14">
        <v>1073033</v>
      </c>
      <c r="F90" s="14">
        <v>259470</v>
      </c>
      <c r="G90" s="43">
        <f>F90</f>
        <v>259470</v>
      </c>
      <c r="H90" s="43">
        <f t="shared" ref="H90:K90" si="54">G90</f>
        <v>259470</v>
      </c>
      <c r="I90" s="43">
        <f t="shared" si="54"/>
        <v>259470</v>
      </c>
      <c r="J90" s="43">
        <f t="shared" si="54"/>
        <v>259470</v>
      </c>
      <c r="K90" s="43">
        <f t="shared" si="54"/>
        <v>259470</v>
      </c>
    </row>
    <row r="91" spans="3:11" ht="15" customHeight="1" x14ac:dyDescent="0.25">
      <c r="C91" s="29" t="s">
        <v>23</v>
      </c>
      <c r="E91" s="14">
        <v>4324258</v>
      </c>
      <c r="F91" s="14">
        <v>6595203</v>
      </c>
      <c r="G91" s="43">
        <f>G168</f>
        <v>8684807.9853579942</v>
      </c>
      <c r="H91" s="43">
        <f t="shared" ref="H91:K91" ca="1" si="55">H168</f>
        <v>11241566.973873766</v>
      </c>
      <c r="I91" s="43">
        <f t="shared" ca="1" si="55"/>
        <v>14367813.003803536</v>
      </c>
      <c r="J91" s="43">
        <f t="shared" ca="1" si="55"/>
        <v>18221132.578526847</v>
      </c>
      <c r="K91" s="43">
        <f t="shared" ca="1" si="55"/>
        <v>22875544.503472898</v>
      </c>
    </row>
    <row r="92" spans="3:11" ht="15" customHeight="1" x14ac:dyDescent="0.25">
      <c r="C92" s="29" t="s">
        <v>83</v>
      </c>
      <c r="E92" s="14">
        <v>628</v>
      </c>
      <c r="F92" s="14">
        <v>1114</v>
      </c>
      <c r="G92" s="43">
        <f>F92</f>
        <v>1114</v>
      </c>
      <c r="H92" s="43">
        <f t="shared" ref="H92:K92" si="56">G92</f>
        <v>1114</v>
      </c>
      <c r="I92" s="43">
        <f t="shared" si="56"/>
        <v>1114</v>
      </c>
      <c r="J92" s="43">
        <f t="shared" si="56"/>
        <v>1114</v>
      </c>
      <c r="K92" s="43">
        <f t="shared" si="56"/>
        <v>1114</v>
      </c>
    </row>
    <row r="93" spans="3:11" ht="15" customHeight="1" x14ac:dyDescent="0.25">
      <c r="C93" s="48" t="s">
        <v>24</v>
      </c>
      <c r="D93" s="49"/>
      <c r="E93" s="17">
        <f>SUM(E89:E92)</f>
        <v>6339324</v>
      </c>
      <c r="F93" s="17">
        <f>SUM(F89:F92)</f>
        <v>8032543</v>
      </c>
      <c r="G93" s="17">
        <f>SUM(G89:G92)</f>
        <v>10122147.985357994</v>
      </c>
      <c r="H93" s="17">
        <f t="shared" ref="H93:K93" ca="1" si="57">SUM(H89:H92)</f>
        <v>12678906.973873766</v>
      </c>
      <c r="I93" s="17">
        <f t="shared" ca="1" si="57"/>
        <v>15805153.003803536</v>
      </c>
      <c r="J93" s="17">
        <f t="shared" ca="1" si="57"/>
        <v>19658472.578526847</v>
      </c>
      <c r="K93" s="17">
        <f t="shared" ca="1" si="57"/>
        <v>24312884.503472898</v>
      </c>
    </row>
    <row r="94" spans="3:11" ht="15" customHeight="1" x14ac:dyDescent="0.25">
      <c r="E94" s="34"/>
      <c r="F94" s="34"/>
      <c r="G94" s="34"/>
      <c r="H94" s="34"/>
      <c r="I94" s="34"/>
      <c r="J94" s="34"/>
      <c r="K94" s="34"/>
    </row>
    <row r="95" spans="3:11" ht="15" customHeight="1" x14ac:dyDescent="0.25">
      <c r="C95" s="20" t="s">
        <v>25</v>
      </c>
      <c r="E95" s="21">
        <f>E86+E93</f>
        <v>13590462</v>
      </c>
      <c r="F95" s="21">
        <f>F86+F93</f>
        <v>18410220</v>
      </c>
      <c r="G95" s="21">
        <f t="shared" ref="G95" ca="1" si="58">G86+G93</f>
        <v>21825804.6009713</v>
      </c>
      <c r="H95" s="21">
        <f t="shared" ref="H95:K95" ca="1" si="59">H86+H93</f>
        <v>25820288.484167464</v>
      </c>
      <c r="I95" s="21">
        <f t="shared" ca="1" si="59"/>
        <v>29421680.342441473</v>
      </c>
      <c r="J95" s="21">
        <f t="shared" ca="1" si="59"/>
        <v>32316644.794423804</v>
      </c>
      <c r="K95" s="21">
        <f t="shared" ca="1" si="59"/>
        <v>34916060.105545282</v>
      </c>
    </row>
    <row r="96" spans="3:11" ht="15" customHeight="1" x14ac:dyDescent="0.25">
      <c r="E96" s="30"/>
      <c r="F96" s="30"/>
      <c r="G96" s="30"/>
      <c r="H96" s="30"/>
      <c r="I96" s="30"/>
      <c r="J96" s="30"/>
      <c r="K96" s="30"/>
    </row>
    <row r="97" spans="3:11" ht="15" customHeight="1" x14ac:dyDescent="0.25">
      <c r="C97" s="9" t="s">
        <v>26</v>
      </c>
      <c r="E97" s="30">
        <f>E65-E95</f>
        <v>2</v>
      </c>
      <c r="F97" s="30">
        <f t="shared" ref="F97:K97" si="60">F65-F95</f>
        <v>2</v>
      </c>
      <c r="G97" s="30">
        <f t="shared" ca="1" si="60"/>
        <v>2</v>
      </c>
      <c r="H97" s="30">
        <f t="shared" ca="1" si="60"/>
        <v>2</v>
      </c>
      <c r="I97" s="30">
        <f t="shared" ca="1" si="60"/>
        <v>1.9999999962747097</v>
      </c>
      <c r="J97" s="30">
        <f t="shared" ca="1" si="60"/>
        <v>1.9999999925494194</v>
      </c>
      <c r="K97" s="30">
        <f t="shared" ca="1" si="60"/>
        <v>1.9999999925494194</v>
      </c>
    </row>
    <row r="98" spans="3:11" ht="15" customHeight="1" x14ac:dyDescent="0.25"/>
    <row r="99" spans="3:11" customFormat="1" x14ac:dyDescent="0.25">
      <c r="C99" s="84" t="s">
        <v>148</v>
      </c>
      <c r="D99" s="91"/>
      <c r="E99" s="91"/>
      <c r="F99" s="91"/>
      <c r="G99" s="91"/>
      <c r="H99" s="91"/>
      <c r="I99" s="91"/>
      <c r="J99" s="91"/>
      <c r="K99" s="91"/>
    </row>
    <row r="100" spans="3:11" customFormat="1" x14ac:dyDescent="0.25">
      <c r="C100" t="s">
        <v>145</v>
      </c>
      <c r="D100" s="86">
        <f>D$13</f>
        <v>2023</v>
      </c>
      <c r="E100" s="86">
        <f t="shared" ref="E100:K100" si="61">E$13</f>
        <v>2024</v>
      </c>
      <c r="F100" s="86">
        <f t="shared" si="61"/>
        <v>2025</v>
      </c>
      <c r="G100" s="87">
        <f t="shared" si="61"/>
        <v>2026</v>
      </c>
      <c r="H100" s="87">
        <f t="shared" si="61"/>
        <v>2027</v>
      </c>
      <c r="I100" s="87">
        <f t="shared" si="61"/>
        <v>2028</v>
      </c>
      <c r="J100" s="87">
        <f t="shared" si="61"/>
        <v>2029</v>
      </c>
      <c r="K100" s="87">
        <f t="shared" si="61"/>
        <v>2030</v>
      </c>
    </row>
    <row r="101" spans="3:11" customFormat="1" x14ac:dyDescent="0.25">
      <c r="C101" s="88" t="s">
        <v>146</v>
      </c>
      <c r="D101" s="89">
        <f>D$14</f>
        <v>45291</v>
      </c>
      <c r="E101" s="89">
        <f t="shared" ref="E101:K101" si="62">E$14</f>
        <v>45657</v>
      </c>
      <c r="F101" s="89">
        <f t="shared" si="62"/>
        <v>46022</v>
      </c>
      <c r="G101" s="89">
        <f t="shared" si="62"/>
        <v>46387</v>
      </c>
      <c r="H101" s="89">
        <f t="shared" si="62"/>
        <v>46752</v>
      </c>
      <c r="I101" s="89">
        <f t="shared" si="62"/>
        <v>47118</v>
      </c>
      <c r="J101" s="89">
        <f t="shared" si="62"/>
        <v>47483</v>
      </c>
      <c r="K101" s="89">
        <f t="shared" si="62"/>
        <v>47848</v>
      </c>
    </row>
    <row r="102" spans="3:11" ht="15" customHeight="1" x14ac:dyDescent="0.25"/>
    <row r="103" spans="3:11" s="20" customFormat="1" ht="15" customHeight="1" x14ac:dyDescent="0.25">
      <c r="C103" s="29" t="s">
        <v>89</v>
      </c>
      <c r="D103" s="50"/>
      <c r="E103" s="51"/>
      <c r="F103" s="51"/>
      <c r="G103" s="43">
        <f>G28</f>
        <v>2452177.5733770002</v>
      </c>
      <c r="H103" s="43">
        <f t="shared" ref="H103:K103" ca="1" si="63">H28</f>
        <v>3000388.6361777224</v>
      </c>
      <c r="I103" s="43">
        <f t="shared" ca="1" si="63"/>
        <v>3668688.7986818701</v>
      </c>
      <c r="J103" s="43">
        <f t="shared" ca="1" si="63"/>
        <v>4521918.6929592257</v>
      </c>
      <c r="K103" s="43">
        <f t="shared" ca="1" si="63"/>
        <v>5462010.580748979</v>
      </c>
    </row>
    <row r="104" spans="3:11" ht="15" customHeight="1" x14ac:dyDescent="0.25">
      <c r="C104" s="29" t="s">
        <v>27</v>
      </c>
      <c r="E104" s="14"/>
      <c r="F104" s="14"/>
      <c r="G104" s="43">
        <f ca="1">G30</f>
        <v>711394.44849144085</v>
      </c>
      <c r="H104" s="43">
        <f t="shared" ref="H104:K104" ca="1" si="64">H30</f>
        <v>898982.862873359</v>
      </c>
      <c r="I104" s="43">
        <f t="shared" ca="1" si="64"/>
        <v>1068904.8434533428</v>
      </c>
      <c r="J104" s="43">
        <f t="shared" ca="1" si="64"/>
        <v>1196485.3970652958</v>
      </c>
      <c r="K104" s="43">
        <f t="shared" ca="1" si="64"/>
        <v>1282095.3041148947</v>
      </c>
    </row>
    <row r="105" spans="3:11" ht="15" customHeight="1" x14ac:dyDescent="0.25">
      <c r="C105" s="29" t="s">
        <v>28</v>
      </c>
      <c r="E105" s="14"/>
      <c r="F105" s="14"/>
      <c r="G105" s="43">
        <f>G75-F75</f>
        <v>0</v>
      </c>
      <c r="H105" s="43">
        <f t="shared" ref="H105:K105" si="65">H75-G75</f>
        <v>0</v>
      </c>
      <c r="I105" s="43">
        <f t="shared" si="65"/>
        <v>0</v>
      </c>
      <c r="J105" s="43">
        <f t="shared" si="65"/>
        <v>0</v>
      </c>
      <c r="K105" s="43">
        <f t="shared" si="65"/>
        <v>0</v>
      </c>
    </row>
    <row r="106" spans="3:11" ht="15" customHeight="1" x14ac:dyDescent="0.25">
      <c r="C106" s="29" t="s">
        <v>29</v>
      </c>
      <c r="E106" s="14"/>
      <c r="F106" s="14"/>
      <c r="G106" s="52">
        <f>(G82-F82)+(G83-F83)</f>
        <v>94374.38418873804</v>
      </c>
      <c r="H106" s="52">
        <f t="shared" ref="H106:K106" si="66">(H82-G82)+(H83-G83)</f>
        <v>94943.869156700253</v>
      </c>
      <c r="I106" s="52">
        <f t="shared" si="66"/>
        <v>96711.88585834</v>
      </c>
      <c r="J106" s="52">
        <f t="shared" si="66"/>
        <v>102265.25926094002</v>
      </c>
      <c r="K106" s="52">
        <f t="shared" si="66"/>
        <v>104396.65777974403</v>
      </c>
    </row>
    <row r="107" spans="3:11" ht="15" customHeight="1" x14ac:dyDescent="0.25">
      <c r="C107" s="29" t="s">
        <v>87</v>
      </c>
      <c r="E107" s="14"/>
      <c r="F107" s="14"/>
      <c r="G107" s="43">
        <v>0</v>
      </c>
      <c r="H107" s="43">
        <v>0</v>
      </c>
      <c r="I107" s="43">
        <v>0</v>
      </c>
      <c r="J107" s="43">
        <v>0</v>
      </c>
      <c r="K107" s="43">
        <v>0</v>
      </c>
    </row>
    <row r="108" spans="3:11" ht="15" customHeight="1" x14ac:dyDescent="0.25">
      <c r="C108" s="29" t="s">
        <v>88</v>
      </c>
      <c r="E108" s="14"/>
      <c r="F108" s="14"/>
      <c r="G108" s="43">
        <v>0</v>
      </c>
      <c r="H108" s="43">
        <v>0</v>
      </c>
      <c r="I108" s="43">
        <v>0</v>
      </c>
      <c r="J108" s="43">
        <v>0</v>
      </c>
      <c r="K108" s="43">
        <v>0</v>
      </c>
    </row>
    <row r="109" spans="3:11" s="20" customFormat="1" ht="15" customHeight="1" x14ac:dyDescent="0.25">
      <c r="C109" s="20" t="s">
        <v>30</v>
      </c>
      <c r="D109" s="50"/>
      <c r="E109" s="53"/>
      <c r="F109" s="53"/>
      <c r="G109" s="53">
        <f ca="1">SUM(G103:G108)</f>
        <v>3257946.4060571794</v>
      </c>
      <c r="H109" s="53">
        <f t="shared" ref="H109:K109" ca="1" si="67">SUM(H103:H108)</f>
        <v>3994315.3682077816</v>
      </c>
      <c r="I109" s="53">
        <f t="shared" ca="1" si="67"/>
        <v>4834305.5279935533</v>
      </c>
      <c r="J109" s="53">
        <f t="shared" ca="1" si="67"/>
        <v>5820669.3492854619</v>
      </c>
      <c r="K109" s="53">
        <f t="shared" ca="1" si="67"/>
        <v>6848502.5426436178</v>
      </c>
    </row>
    <row r="110" spans="3:11" s="20" customFormat="1" ht="15" customHeight="1" x14ac:dyDescent="0.25">
      <c r="D110" s="50"/>
      <c r="E110" s="53"/>
      <c r="F110" s="53"/>
      <c r="G110" s="53"/>
      <c r="H110" s="53"/>
      <c r="I110" s="53"/>
      <c r="J110" s="53"/>
      <c r="K110" s="53"/>
    </row>
    <row r="111" spans="3:11" ht="15" customHeight="1" x14ac:dyDescent="0.25">
      <c r="C111" s="29" t="s">
        <v>31</v>
      </c>
      <c r="E111" s="14"/>
      <c r="F111" s="14"/>
      <c r="G111" s="43">
        <f>-(G53-F53)</f>
        <v>-938047.2804223327</v>
      </c>
      <c r="H111" s="43">
        <f t="shared" ref="H111:K111" si="68">-(H53-G53)</f>
        <v>-1009786.330683751</v>
      </c>
      <c r="I111" s="43">
        <f t="shared" si="68"/>
        <v>-1015232.0771155665</v>
      </c>
      <c r="J111" s="43">
        <f t="shared" si="68"/>
        <v>-1061767.3510274682</v>
      </c>
      <c r="K111" s="43">
        <f t="shared" si="68"/>
        <v>-1144042.7112317476</v>
      </c>
    </row>
    <row r="112" spans="3:11" ht="15" customHeight="1" x14ac:dyDescent="0.25">
      <c r="C112" s="29" t="s">
        <v>32</v>
      </c>
      <c r="E112" s="14"/>
      <c r="F112" s="14"/>
      <c r="G112" s="43">
        <f>-((G54-F54)+(G56-F56))</f>
        <v>-388948.61113556323</v>
      </c>
      <c r="H112" s="43">
        <f t="shared" ref="H112:K112" si="69">-((H54-G54)+(H56-G56))</f>
        <v>-391295.65042228845</v>
      </c>
      <c r="I112" s="43">
        <f t="shared" si="69"/>
        <v>-398582.24250422471</v>
      </c>
      <c r="J112" s="43">
        <f t="shared" si="69"/>
        <v>-421469.56400174752</v>
      </c>
      <c r="K112" s="43">
        <f t="shared" si="69"/>
        <v>-430253.7748953246</v>
      </c>
    </row>
    <row r="113" spans="3:11" ht="15" customHeight="1" x14ac:dyDescent="0.25">
      <c r="C113" s="29" t="s">
        <v>33</v>
      </c>
      <c r="E113" s="14"/>
      <c r="F113" s="14"/>
      <c r="G113" s="43">
        <f>G73-F73</f>
        <v>377999.8544491767</v>
      </c>
      <c r="H113" s="43">
        <f t="shared" ref="H113:K113" si="70">H73-G73</f>
        <v>406908.15270140255</v>
      </c>
      <c r="I113" s="43">
        <f t="shared" si="70"/>
        <v>409102.59577645408</v>
      </c>
      <c r="J113" s="43">
        <f t="shared" si="70"/>
        <v>427854.66417702707</v>
      </c>
      <c r="K113" s="43">
        <f t="shared" si="70"/>
        <v>461008.72243299242</v>
      </c>
    </row>
    <row r="114" spans="3:11" ht="15" customHeight="1" x14ac:dyDescent="0.25">
      <c r="C114" s="29" t="s">
        <v>34</v>
      </c>
      <c r="E114" s="14"/>
      <c r="F114" s="14"/>
      <c r="G114" s="52">
        <f>(G76-F76)+(G74-F74)</f>
        <v>24618.800776528951</v>
      </c>
      <c r="H114" s="52">
        <f t="shared" ref="H114:K114" si="71">(H76-G76)+(H74-G74)</f>
        <v>24767.358429031869</v>
      </c>
      <c r="I114" s="52">
        <f t="shared" si="71"/>
        <v>25228.568865755849</v>
      </c>
      <c r="J114" s="52">
        <f t="shared" si="71"/>
        <v>26677.239441055892</v>
      </c>
      <c r="K114" s="52">
        <f t="shared" si="71"/>
        <v>27233.242809564086</v>
      </c>
    </row>
    <row r="115" spans="3:11" s="20" customFormat="1" ht="15" customHeight="1" x14ac:dyDescent="0.25">
      <c r="C115" s="20" t="s">
        <v>35</v>
      </c>
      <c r="D115" s="50"/>
      <c r="E115" s="53"/>
      <c r="F115" s="53"/>
      <c r="G115" s="53">
        <f ca="1">SUM(G109:G114)</f>
        <v>2333569.1697249892</v>
      </c>
      <c r="H115" s="53">
        <f t="shared" ref="H115:K115" ca="1" si="72">SUM(H109:H114)</f>
        <v>3024908.8982321764</v>
      </c>
      <c r="I115" s="53">
        <f t="shared" ca="1" si="72"/>
        <v>3854822.3730159723</v>
      </c>
      <c r="J115" s="53">
        <f t="shared" ca="1" si="72"/>
        <v>4791964.3378743287</v>
      </c>
      <c r="K115" s="53">
        <f t="shared" ca="1" si="72"/>
        <v>5762448.0217591021</v>
      </c>
    </row>
    <row r="116" spans="3:11" s="20" customFormat="1" ht="15" customHeight="1" x14ac:dyDescent="0.25">
      <c r="C116" s="16" t="s">
        <v>36</v>
      </c>
      <c r="D116" s="49"/>
      <c r="E116" s="54"/>
      <c r="F116" s="54"/>
      <c r="G116" s="54">
        <f ca="1">G115</f>
        <v>2333569.1697249892</v>
      </c>
      <c r="H116" s="54">
        <f t="shared" ref="H116:K116" ca="1" si="73">H115</f>
        <v>3024908.8982321764</v>
      </c>
      <c r="I116" s="54">
        <f t="shared" ca="1" si="73"/>
        <v>3854822.3730159723</v>
      </c>
      <c r="J116" s="54">
        <f t="shared" ca="1" si="73"/>
        <v>4791964.3378743287</v>
      </c>
      <c r="K116" s="54">
        <f t="shared" ca="1" si="73"/>
        <v>5762448.0217591021</v>
      </c>
    </row>
    <row r="117" spans="3:11" ht="15" customHeight="1" x14ac:dyDescent="0.25"/>
    <row r="118" spans="3:11" customFormat="1" x14ac:dyDescent="0.25">
      <c r="C118" s="84" t="s">
        <v>37</v>
      </c>
      <c r="D118" s="91"/>
      <c r="E118" s="91"/>
      <c r="F118" s="91"/>
      <c r="G118" s="91"/>
      <c r="H118" s="91"/>
      <c r="I118" s="91"/>
      <c r="J118" s="91"/>
      <c r="K118" s="91"/>
    </row>
    <row r="119" spans="3:11" ht="15" customHeight="1" x14ac:dyDescent="0.25">
      <c r="E119" s="52"/>
    </row>
    <row r="120" spans="3:11" ht="15" customHeight="1" x14ac:dyDescent="0.25">
      <c r="C120" s="29" t="s">
        <v>86</v>
      </c>
      <c r="E120" s="14"/>
      <c r="F120" s="14"/>
      <c r="G120" s="43">
        <f>-G142</f>
        <v>-3198282.7383000003</v>
      </c>
      <c r="H120" s="43">
        <f t="shared" ref="H120:K120" si="74">-H142</f>
        <v>-3289760.5154559994</v>
      </c>
      <c r="I120" s="43">
        <f t="shared" si="74"/>
        <v>-3042750.7588639194</v>
      </c>
      <c r="J120" s="43">
        <f t="shared" si="74"/>
        <v>-2377250.9026367324</v>
      </c>
      <c r="K120" s="43">
        <f t="shared" si="74"/>
        <v>-2063930.2371259606</v>
      </c>
    </row>
    <row r="121" spans="3:11" ht="15" customHeight="1" x14ac:dyDescent="0.25">
      <c r="C121" s="29" t="s">
        <v>38</v>
      </c>
      <c r="E121" s="14"/>
      <c r="F121" s="14"/>
      <c r="G121" s="43"/>
      <c r="H121" s="43"/>
      <c r="I121" s="43"/>
      <c r="J121" s="43"/>
      <c r="K121" s="43"/>
    </row>
    <row r="122" spans="3:11" ht="15" customHeight="1" x14ac:dyDescent="0.25">
      <c r="C122" s="29" t="s">
        <v>85</v>
      </c>
      <c r="E122" s="14"/>
      <c r="F122" s="14"/>
      <c r="G122" s="43"/>
      <c r="H122" s="43"/>
      <c r="I122" s="43"/>
      <c r="J122" s="43"/>
      <c r="K122" s="43"/>
    </row>
    <row r="123" spans="3:11" ht="15" customHeight="1" x14ac:dyDescent="0.25">
      <c r="C123" s="29" t="s">
        <v>108</v>
      </c>
      <c r="E123" s="14"/>
      <c r="F123" s="14"/>
      <c r="G123" s="43">
        <f ca="1">-G160</f>
        <v>-193456.41960484651</v>
      </c>
      <c r="H123" s="43">
        <f t="shared" ref="H123:K123" ca="1" si="75">-H160</f>
        <v>-202624.24950748507</v>
      </c>
      <c r="I123" s="43">
        <f t="shared" ca="1" si="75"/>
        <v>-213731.62324363773</v>
      </c>
      <c r="J123" s="43">
        <f t="shared" ca="1" si="75"/>
        <v>-230962.03138167993</v>
      </c>
      <c r="K123" s="43">
        <f t="shared" ca="1" si="75"/>
        <v>-243283.89198334049</v>
      </c>
    </row>
    <row r="124" spans="3:11" ht="15" customHeight="1" x14ac:dyDescent="0.25">
      <c r="C124" s="16" t="s">
        <v>39</v>
      </c>
      <c r="D124" s="44"/>
      <c r="E124" s="54"/>
      <c r="F124" s="54"/>
      <c r="G124" s="54">
        <f ca="1">SUM(G120:G123)</f>
        <v>-3391739.1579048466</v>
      </c>
      <c r="H124" s="54">
        <f t="shared" ref="H124:K124" ca="1" si="76">SUM(H120:H123)</f>
        <v>-3492384.7649634844</v>
      </c>
      <c r="I124" s="54">
        <f t="shared" ca="1" si="76"/>
        <v>-3256482.3821075573</v>
      </c>
      <c r="J124" s="54">
        <f t="shared" ca="1" si="76"/>
        <v>-2608212.9340184126</v>
      </c>
      <c r="K124" s="54">
        <f t="shared" ca="1" si="76"/>
        <v>-2307214.1291093011</v>
      </c>
    </row>
    <row r="125" spans="3:11" ht="15" customHeight="1" x14ac:dyDescent="0.25"/>
    <row r="126" spans="3:11" s="66" customFormat="1" ht="15" customHeight="1" x14ac:dyDescent="0.25">
      <c r="C126" s="90" t="s">
        <v>40</v>
      </c>
      <c r="D126" s="92"/>
      <c r="E126" s="93"/>
      <c r="F126" s="93"/>
      <c r="G126" s="93"/>
      <c r="H126" s="93"/>
      <c r="I126" s="93"/>
      <c r="J126" s="93"/>
      <c r="K126" s="93"/>
    </row>
    <row r="127" spans="3:11" ht="15" customHeight="1" x14ac:dyDescent="0.25"/>
    <row r="128" spans="3:11" ht="15" customHeight="1" x14ac:dyDescent="0.25">
      <c r="C128" s="29" t="s">
        <v>41</v>
      </c>
      <c r="E128" s="14"/>
      <c r="F128" s="14"/>
      <c r="G128" s="43">
        <f>G167</f>
        <v>-362572.58801900671</v>
      </c>
      <c r="H128" s="43">
        <f t="shared" ref="H128:K128" ca="1" si="77">H167</f>
        <v>-443629.64766195021</v>
      </c>
      <c r="I128" s="43">
        <f t="shared" ca="1" si="77"/>
        <v>-542442.76875210018</v>
      </c>
      <c r="J128" s="43">
        <f t="shared" ca="1" si="77"/>
        <v>-668599.11823591602</v>
      </c>
      <c r="K128" s="43">
        <f t="shared" ca="1" si="77"/>
        <v>-807598.65580292954</v>
      </c>
    </row>
    <row r="129" spans="3:11" ht="15" customHeight="1" x14ac:dyDescent="0.25">
      <c r="C129" s="29" t="s">
        <v>42</v>
      </c>
      <c r="E129" s="14"/>
      <c r="F129" s="14"/>
      <c r="G129" s="52">
        <f ca="1">(G70-F70)+(G71-F71)+(G80-F80)</f>
        <v>828986.5761988638</v>
      </c>
      <c r="H129" s="52">
        <f t="shared" ref="H129:K129" ca="1" si="78">(H70-G70)+(H71-G71)+(H80-G80)</f>
        <v>911105.51439325791</v>
      </c>
      <c r="I129" s="52">
        <f t="shared" ca="1" si="78"/>
        <v>-55897.222156314179</v>
      </c>
      <c r="J129" s="52">
        <f t="shared" ca="1" si="78"/>
        <v>-1515152.2856200002</v>
      </c>
      <c r="K129" s="52">
        <f t="shared" ca="1" si="78"/>
        <v>-2647635.2368468717</v>
      </c>
    </row>
    <row r="130" spans="3:11" ht="15" customHeight="1" x14ac:dyDescent="0.25">
      <c r="C130" s="29" t="s">
        <v>43</v>
      </c>
      <c r="E130" s="14"/>
      <c r="F130" s="14"/>
      <c r="G130" s="52">
        <f>(G72-F72)+(G81-F81)</f>
        <v>0</v>
      </c>
      <c r="H130" s="52">
        <f t="shared" ref="H130:K130" si="79">(H72-G72)+(H81-G81)</f>
        <v>0</v>
      </c>
      <c r="I130" s="52">
        <f t="shared" si="79"/>
        <v>0</v>
      </c>
      <c r="J130" s="52">
        <f t="shared" si="79"/>
        <v>0</v>
      </c>
      <c r="K130" s="52">
        <f t="shared" si="79"/>
        <v>0</v>
      </c>
    </row>
    <row r="131" spans="3:11" ht="15" customHeight="1" x14ac:dyDescent="0.25">
      <c r="C131" s="16" t="s">
        <v>44</v>
      </c>
      <c r="D131" s="49"/>
      <c r="E131" s="54"/>
      <c r="F131" s="55"/>
      <c r="G131" s="55">
        <f ca="1">SUM(G128:G130)</f>
        <v>466413.98817985709</v>
      </c>
      <c r="H131" s="55">
        <f t="shared" ref="H131:K131" ca="1" si="80">SUM(H128:H130)</f>
        <v>467475.8667313077</v>
      </c>
      <c r="I131" s="55">
        <f t="shared" ca="1" si="80"/>
        <v>-598339.99090841436</v>
      </c>
      <c r="J131" s="55">
        <f t="shared" ca="1" si="80"/>
        <v>-2183751.4038559161</v>
      </c>
      <c r="K131" s="55">
        <f t="shared" ca="1" si="80"/>
        <v>-3455233.8926498014</v>
      </c>
    </row>
    <row r="132" spans="3:11" ht="15" customHeight="1" x14ac:dyDescent="0.25">
      <c r="E132" s="52"/>
    </row>
    <row r="133" spans="3:11" ht="15" customHeight="1" x14ac:dyDescent="0.25">
      <c r="C133" s="16" t="s">
        <v>54</v>
      </c>
      <c r="D133" s="44"/>
      <c r="E133" s="54"/>
      <c r="F133" s="54"/>
      <c r="G133" s="54">
        <f ca="1">G116+G124+G131</f>
        <v>-591756.00000000023</v>
      </c>
      <c r="H133" s="54">
        <f t="shared" ref="H133:K133" ca="1" si="81">H116+H124+H131</f>
        <v>0</v>
      </c>
      <c r="I133" s="54">
        <f t="shared" ca="1" si="81"/>
        <v>0</v>
      </c>
      <c r="J133" s="54">
        <f t="shared" ca="1" si="81"/>
        <v>0</v>
      </c>
      <c r="K133" s="54">
        <f t="shared" ca="1" si="81"/>
        <v>0</v>
      </c>
    </row>
    <row r="134" spans="3:11" ht="15" customHeight="1" x14ac:dyDescent="0.25">
      <c r="C134" s="20"/>
      <c r="E134" s="53"/>
      <c r="F134" s="53"/>
      <c r="G134" s="53"/>
      <c r="H134" s="53"/>
      <c r="I134" s="53"/>
      <c r="J134" s="53"/>
      <c r="K134" s="53"/>
    </row>
    <row r="135" spans="3:11" ht="15" customHeight="1" x14ac:dyDescent="0.25">
      <c r="C135" s="20" t="s">
        <v>45</v>
      </c>
      <c r="E135" s="52"/>
      <c r="F135" s="34"/>
      <c r="G135" s="34">
        <f ca="1">G52-F52-G133</f>
        <v>0</v>
      </c>
      <c r="H135" s="34">
        <f ca="1">H52-G52-H133</f>
        <v>0</v>
      </c>
      <c r="I135" s="34">
        <f ca="1">I52-H52-I133</f>
        <v>0</v>
      </c>
      <c r="J135" s="34">
        <f ca="1">J52-I52-J133</f>
        <v>0</v>
      </c>
      <c r="K135" s="34">
        <f ca="1">K52-J52-K133</f>
        <v>0</v>
      </c>
    </row>
    <row r="136" spans="3:11" ht="15" customHeight="1" x14ac:dyDescent="0.25"/>
    <row r="137" spans="3:11" customFormat="1" x14ac:dyDescent="0.25">
      <c r="C137" s="84" t="s">
        <v>90</v>
      </c>
      <c r="D137" s="85"/>
      <c r="E137" s="85"/>
      <c r="F137" s="85"/>
      <c r="G137" s="85"/>
      <c r="H137" s="85"/>
      <c r="I137" s="85"/>
      <c r="J137" s="85"/>
      <c r="K137" s="85"/>
    </row>
    <row r="138" spans="3:11" customFormat="1" x14ac:dyDescent="0.25">
      <c r="C138" t="s">
        <v>145</v>
      </c>
      <c r="D138" s="86">
        <f>D$13</f>
        <v>2023</v>
      </c>
      <c r="E138" s="86">
        <f t="shared" ref="E138:K138" si="82">E$13</f>
        <v>2024</v>
      </c>
      <c r="F138" s="86">
        <f t="shared" si="82"/>
        <v>2025</v>
      </c>
      <c r="G138" s="87">
        <f t="shared" si="82"/>
        <v>2026</v>
      </c>
      <c r="H138" s="87">
        <f t="shared" si="82"/>
        <v>2027</v>
      </c>
      <c r="I138" s="87">
        <f t="shared" si="82"/>
        <v>2028</v>
      </c>
      <c r="J138" s="87">
        <f t="shared" si="82"/>
        <v>2029</v>
      </c>
      <c r="K138" s="87">
        <f t="shared" si="82"/>
        <v>2030</v>
      </c>
    </row>
    <row r="139" spans="3:11" customFormat="1" x14ac:dyDescent="0.25">
      <c r="C139" s="88" t="s">
        <v>146</v>
      </c>
      <c r="D139" s="89">
        <f>D$14</f>
        <v>45291</v>
      </c>
      <c r="E139" s="89">
        <f t="shared" ref="E139:K139" si="83">E$14</f>
        <v>45657</v>
      </c>
      <c r="F139" s="89">
        <f t="shared" si="83"/>
        <v>46022</v>
      </c>
      <c r="G139" s="89">
        <f t="shared" si="83"/>
        <v>46387</v>
      </c>
      <c r="H139" s="89">
        <f t="shared" si="83"/>
        <v>46752</v>
      </c>
      <c r="I139" s="89">
        <f t="shared" si="83"/>
        <v>47118</v>
      </c>
      <c r="J139" s="89">
        <f t="shared" si="83"/>
        <v>47483</v>
      </c>
      <c r="K139" s="89">
        <f t="shared" si="83"/>
        <v>47848</v>
      </c>
    </row>
    <row r="140" spans="3:11" ht="15" customHeight="1" x14ac:dyDescent="0.25"/>
    <row r="141" spans="3:11" ht="15" customHeight="1" x14ac:dyDescent="0.25">
      <c r="C141" s="29" t="s">
        <v>91</v>
      </c>
      <c r="D141" s="56"/>
      <c r="E141" s="14"/>
      <c r="F141" s="52"/>
      <c r="G141" s="52">
        <f>F144</f>
        <v>7897738</v>
      </c>
      <c r="H141" s="52">
        <f t="shared" ref="H141:K141" ca="1" si="84">G144</f>
        <v>10437559.253022846</v>
      </c>
      <c r="I141" s="52">
        <f t="shared" ca="1" si="84"/>
        <v>12889589.735615171</v>
      </c>
      <c r="J141" s="52">
        <f t="shared" ca="1" si="84"/>
        <v>14933163.277934065</v>
      </c>
      <c r="K141" s="52">
        <f t="shared" ca="1" si="84"/>
        <v>16192617.845653452</v>
      </c>
    </row>
    <row r="142" spans="3:11" ht="15" customHeight="1" x14ac:dyDescent="0.25">
      <c r="C142" s="57" t="s">
        <v>92</v>
      </c>
      <c r="D142" s="14">
        <v>561472</v>
      </c>
      <c r="E142" s="14">
        <v>2356922</v>
      </c>
      <c r="F142" s="14">
        <v>2979727</v>
      </c>
      <c r="G142" s="58">
        <f>G146*G16</f>
        <v>3198282.7383000003</v>
      </c>
      <c r="H142" s="58">
        <f t="shared" ref="H142:K142" si="85">H146*H16</f>
        <v>3289760.5154559994</v>
      </c>
      <c r="I142" s="58">
        <f t="shared" si="85"/>
        <v>3042750.7588639194</v>
      </c>
      <c r="J142" s="58">
        <f t="shared" si="85"/>
        <v>2377250.9026367324</v>
      </c>
      <c r="K142" s="58">
        <f t="shared" si="85"/>
        <v>2063930.2371259606</v>
      </c>
    </row>
    <row r="143" spans="3:11" ht="15" customHeight="1" x14ac:dyDescent="0.25">
      <c r="C143" s="57" t="s">
        <v>93</v>
      </c>
      <c r="D143" s="14">
        <v>-289525</v>
      </c>
      <c r="E143" s="14">
        <v>-341261</v>
      </c>
      <c r="F143" s="14">
        <v>-477510</v>
      </c>
      <c r="G143" s="35">
        <f ca="1" xml:space="preserve"> -G148 * AVERAGE(F60:G60)</f>
        <v>-658461.48527715274</v>
      </c>
      <c r="H143" s="35">
        <f ca="1" xml:space="preserve"> -H148 * AVERAGE(G60:H60)</f>
        <v>-837730.03286367189</v>
      </c>
      <c r="I143" s="35">
        <f ca="1" xml:space="preserve"> -I148 * AVERAGE(H60:I60)</f>
        <v>-999177.216545025</v>
      </c>
      <c r="J143" s="35">
        <f ca="1" xml:space="preserve"> -J148 * AVERAGE(I60:J60)</f>
        <v>-1117796.3349173451</v>
      </c>
      <c r="K143" s="35">
        <f ca="1" xml:space="preserve"> -K148 * AVERAGE(J60:K60)</f>
        <v>-1194258.0337221462</v>
      </c>
    </row>
    <row r="144" spans="3:11" ht="15" customHeight="1" x14ac:dyDescent="0.25">
      <c r="C144" s="26" t="s">
        <v>94</v>
      </c>
      <c r="D144" s="59"/>
      <c r="E144" s="60">
        <f>E60</f>
        <v>5398845</v>
      </c>
      <c r="F144" s="60">
        <f>F60</f>
        <v>7897738</v>
      </c>
      <c r="G144" s="61">
        <f ca="1">SUM(G141:G143)</f>
        <v>10437559.253022846</v>
      </c>
      <c r="H144" s="61">
        <f t="shared" ref="H144:K144" ca="1" si="86">SUM(H141:H143)</f>
        <v>12889589.735615171</v>
      </c>
      <c r="I144" s="61">
        <f t="shared" ca="1" si="86"/>
        <v>14933163.277934065</v>
      </c>
      <c r="J144" s="61">
        <f t="shared" ca="1" si="86"/>
        <v>16192617.845653452</v>
      </c>
      <c r="K144" s="61">
        <f t="shared" ca="1" si="86"/>
        <v>17062290.049057264</v>
      </c>
    </row>
    <row r="145" spans="1:11" ht="15" customHeight="1" x14ac:dyDescent="0.25">
      <c r="C145" s="20"/>
      <c r="D145" s="14"/>
      <c r="E145" s="227"/>
      <c r="F145" s="227"/>
      <c r="G145" s="228"/>
      <c r="H145" s="228"/>
      <c r="I145" s="228"/>
      <c r="J145" s="228"/>
      <c r="K145" s="228"/>
    </row>
    <row r="146" spans="1:11" ht="15" customHeight="1" x14ac:dyDescent="0.25">
      <c r="C146" s="9" t="s">
        <v>253</v>
      </c>
      <c r="D146" s="56"/>
      <c r="G146" s="1">
        <v>0.09</v>
      </c>
      <c r="H146" s="1">
        <v>0.08</v>
      </c>
      <c r="I146" s="1">
        <v>6.5000000000000002E-2</v>
      </c>
      <c r="J146" s="1">
        <v>4.4999999999999998E-2</v>
      </c>
      <c r="K146" s="1">
        <v>3.5000000000000003E-2</v>
      </c>
    </row>
    <row r="147" spans="1:11" ht="15" customHeight="1" x14ac:dyDescent="0.25">
      <c r="D147" s="56"/>
      <c r="G147" s="1"/>
      <c r="H147" s="1"/>
      <c r="I147" s="1"/>
      <c r="J147" s="1"/>
      <c r="K147" s="1"/>
    </row>
    <row r="148" spans="1:11" ht="15" customHeight="1" x14ac:dyDescent="0.25">
      <c r="C148" s="9" t="s">
        <v>254</v>
      </c>
      <c r="D148" s="56"/>
      <c r="E148" s="1">
        <f xml:space="preserve"> -E143 / AVERAGE(D60:E60)</f>
        <v>6.3210001398447263E-2</v>
      </c>
      <c r="F148" s="1">
        <f xml:space="preserve"> -F143 / AVERAGE(E60:F60)</f>
        <v>7.1824467985496729E-2</v>
      </c>
      <c r="G148" s="1">
        <f xml:space="preserve"> $F$148</f>
        <v>7.1824467985496729E-2</v>
      </c>
      <c r="H148" s="1">
        <f t="shared" ref="H148:K148" si="87" xml:space="preserve"> $F$148</f>
        <v>7.1824467985496729E-2</v>
      </c>
      <c r="I148" s="1">
        <f t="shared" si="87"/>
        <v>7.1824467985496729E-2</v>
      </c>
      <c r="J148" s="1">
        <f t="shared" si="87"/>
        <v>7.1824467985496729E-2</v>
      </c>
      <c r="K148" s="1">
        <f t="shared" si="87"/>
        <v>7.1824467985496729E-2</v>
      </c>
    </row>
    <row r="149" spans="1:11" ht="15" customHeight="1" x14ac:dyDescent="0.25">
      <c r="D149" s="56"/>
      <c r="E149" s="1"/>
      <c r="F149" s="1"/>
      <c r="G149" s="1"/>
      <c r="H149" s="1"/>
      <c r="I149" s="1"/>
      <c r="J149" s="1"/>
      <c r="K149" s="1"/>
    </row>
    <row r="150" spans="1:11" s="66" customFormat="1" ht="15" customHeight="1" x14ac:dyDescent="0.25">
      <c r="C150" s="90" t="s">
        <v>95</v>
      </c>
      <c r="D150" s="93"/>
      <c r="E150" s="93"/>
      <c r="F150" s="93"/>
      <c r="G150" s="93"/>
      <c r="H150" s="93"/>
      <c r="I150" s="93"/>
      <c r="J150" s="93"/>
      <c r="K150" s="93"/>
    </row>
    <row r="151" spans="1:11" s="62" customFormat="1" ht="15" customHeight="1" x14ac:dyDescent="0.25">
      <c r="C151" s="63"/>
      <c r="D151" s="64"/>
      <c r="E151" s="65"/>
      <c r="F151" s="65"/>
      <c r="G151" s="65"/>
      <c r="H151" s="65"/>
      <c r="I151" s="65"/>
      <c r="J151" s="65"/>
      <c r="K151" s="65"/>
    </row>
    <row r="152" spans="1:11" s="62" customFormat="1" ht="15" customHeight="1" x14ac:dyDescent="0.25">
      <c r="C152" s="66" t="s">
        <v>96</v>
      </c>
      <c r="D152" s="14">
        <v>41096</v>
      </c>
      <c r="E152" s="14">
        <v>48554</v>
      </c>
      <c r="F152" s="14">
        <v>44663</v>
      </c>
      <c r="G152" s="67">
        <f ca="1">G153*G16</f>
        <v>52932.963214288175</v>
      </c>
      <c r="H152" s="67">
        <f ca="1">H153*H16</f>
        <v>61252.830009687066</v>
      </c>
      <c r="I152" s="67">
        <f ca="1">I153*I16</f>
        <v>69727.626908317863</v>
      </c>
      <c r="J152" s="67">
        <f ca="1">J153*J16</f>
        <v>78689.062147950812</v>
      </c>
      <c r="K152" s="67">
        <f ca="1">K153*K16</f>
        <v>87837.270392748469</v>
      </c>
    </row>
    <row r="153" spans="1:11" s="62" customFormat="1" ht="15" customHeight="1" x14ac:dyDescent="0.25">
      <c r="A153" s="63"/>
      <c r="B153" s="63"/>
      <c r="C153" s="45" t="s">
        <v>97</v>
      </c>
      <c r="D153" s="68">
        <f>D152/D16</f>
        <v>2.6451787729166545E-3</v>
      </c>
      <c r="E153" s="68">
        <f>E152/E16</f>
        <v>1.9978919141873451E-3</v>
      </c>
      <c r="F153" s="68">
        <f>F152/F16</f>
        <v>1.489538942957292E-3</v>
      </c>
      <c r="G153" s="69">
        <f ca="1">G152/G16</f>
        <v>1.489538942957292E-3</v>
      </c>
      <c r="H153" s="69">
        <f t="shared" ref="H153:K153" ca="1" si="88">G153</f>
        <v>1.489538942957292E-3</v>
      </c>
      <c r="I153" s="69">
        <f t="shared" ca="1" si="88"/>
        <v>1.489538942957292E-3</v>
      </c>
      <c r="J153" s="69">
        <f t="shared" ca="1" si="88"/>
        <v>1.489538942957292E-3</v>
      </c>
      <c r="K153" s="69">
        <f t="shared" ca="1" si="88"/>
        <v>1.489538942957292E-3</v>
      </c>
    </row>
    <row r="154" spans="1:11" ht="15" customHeight="1" x14ac:dyDescent="0.25">
      <c r="C154" s="70" t="s">
        <v>98</v>
      </c>
      <c r="D154" s="60">
        <f t="shared" ref="D154:K154" si="89">-D143+D152</f>
        <v>330621</v>
      </c>
      <c r="E154" s="60">
        <f t="shared" si="89"/>
        <v>389815</v>
      </c>
      <c r="F154" s="60">
        <f t="shared" si="89"/>
        <v>522173</v>
      </c>
      <c r="G154" s="60">
        <f t="shared" ca="1" si="89"/>
        <v>711394.44849144085</v>
      </c>
      <c r="H154" s="60">
        <f t="shared" ca="1" si="89"/>
        <v>898982.862873359</v>
      </c>
      <c r="I154" s="60">
        <f t="shared" ca="1" si="89"/>
        <v>1068904.8434533428</v>
      </c>
      <c r="J154" s="60">
        <f t="shared" ca="1" si="89"/>
        <v>1196485.3970652958</v>
      </c>
      <c r="K154" s="60">
        <f t="shared" ca="1" si="89"/>
        <v>1282095.3041148947</v>
      </c>
    </row>
    <row r="155" spans="1:11" ht="15" customHeight="1" x14ac:dyDescent="0.25">
      <c r="D155" s="56"/>
    </row>
    <row r="156" spans="1:11" s="66" customFormat="1" ht="15" customHeight="1" x14ac:dyDescent="0.25">
      <c r="C156" s="90" t="s">
        <v>101</v>
      </c>
      <c r="D156" s="93"/>
      <c r="E156" s="93"/>
      <c r="F156" s="93"/>
      <c r="G156" s="93"/>
      <c r="H156" s="93"/>
      <c r="I156" s="93"/>
      <c r="J156" s="93"/>
      <c r="K156" s="93"/>
    </row>
    <row r="157" spans="1:11" s="62" customFormat="1" ht="15" customHeight="1" x14ac:dyDescent="0.25">
      <c r="A157" s="63"/>
      <c r="B157" s="63"/>
      <c r="D157" s="64"/>
      <c r="E157" s="65"/>
      <c r="F157" s="65"/>
      <c r="G157" s="65"/>
      <c r="H157" s="65"/>
      <c r="I157" s="65"/>
      <c r="J157" s="65"/>
      <c r="K157" s="65"/>
    </row>
    <row r="158" spans="1:11" s="62" customFormat="1" ht="15" customHeight="1" x14ac:dyDescent="0.25">
      <c r="A158" s="63"/>
      <c r="B158" s="63"/>
      <c r="C158" s="66" t="s">
        <v>91</v>
      </c>
      <c r="D158" s="64"/>
      <c r="E158" s="65"/>
      <c r="F158" s="65"/>
      <c r="G158" s="52">
        <f>F161</f>
        <v>758915</v>
      </c>
      <c r="H158" s="52">
        <f t="shared" ref="H158:K158" si="90">G161</f>
        <v>899438.45639055839</v>
      </c>
      <c r="I158" s="52">
        <f t="shared" si="90"/>
        <v>1040809.8758883564</v>
      </c>
      <c r="J158" s="52">
        <f t="shared" si="90"/>
        <v>1184813.8722236762</v>
      </c>
      <c r="K158" s="52">
        <f t="shared" si="90"/>
        <v>1337086.8414574054</v>
      </c>
    </row>
    <row r="159" spans="1:11" ht="15" customHeight="1" x14ac:dyDescent="0.25">
      <c r="C159" s="29" t="s">
        <v>99</v>
      </c>
      <c r="D159" s="56"/>
      <c r="E159" s="52"/>
      <c r="G159" s="52">
        <f ca="1">-G152</f>
        <v>-52932.963214288175</v>
      </c>
      <c r="H159" s="52">
        <f t="shared" ref="H159:K159" ca="1" si="91">-H152</f>
        <v>-61252.830009687066</v>
      </c>
      <c r="I159" s="52">
        <f t="shared" ca="1" si="91"/>
        <v>-69727.626908317863</v>
      </c>
      <c r="J159" s="52">
        <f t="shared" ca="1" si="91"/>
        <v>-78689.062147950812</v>
      </c>
      <c r="K159" s="52">
        <f t="shared" ca="1" si="91"/>
        <v>-87837.270392748469</v>
      </c>
    </row>
    <row r="160" spans="1:11" ht="15" customHeight="1" x14ac:dyDescent="0.25">
      <c r="C160" s="29" t="s">
        <v>100</v>
      </c>
      <c r="D160" s="56"/>
      <c r="G160" s="52">
        <f ca="1">G161-G159-G158</f>
        <v>193456.41960484651</v>
      </c>
      <c r="H160" s="52">
        <f t="shared" ref="H160:K160" ca="1" si="92">H161-H159-H158</f>
        <v>202624.24950748507</v>
      </c>
      <c r="I160" s="52">
        <f t="shared" ca="1" si="92"/>
        <v>213731.62324363773</v>
      </c>
      <c r="J160" s="52">
        <f t="shared" ca="1" si="92"/>
        <v>230962.03138167993</v>
      </c>
      <c r="K160" s="52">
        <f t="shared" ca="1" si="92"/>
        <v>243283.89198334049</v>
      </c>
    </row>
    <row r="161" spans="1:11" ht="15" customHeight="1" x14ac:dyDescent="0.25">
      <c r="C161" s="26" t="s">
        <v>94</v>
      </c>
      <c r="D161" s="71"/>
      <c r="E161" s="61">
        <f t="shared" ref="E161:K161" si="93">E62</f>
        <v>538744</v>
      </c>
      <c r="F161" s="61">
        <f t="shared" si="93"/>
        <v>758915</v>
      </c>
      <c r="G161" s="61">
        <f t="shared" si="93"/>
        <v>899438.45639055839</v>
      </c>
      <c r="H161" s="61">
        <f t="shared" si="93"/>
        <v>1040809.8758883564</v>
      </c>
      <c r="I161" s="61">
        <f t="shared" si="93"/>
        <v>1184813.8722236762</v>
      </c>
      <c r="J161" s="61">
        <f t="shared" si="93"/>
        <v>1337086.8414574054</v>
      </c>
      <c r="K161" s="61">
        <f t="shared" si="93"/>
        <v>1492533.4630479973</v>
      </c>
    </row>
    <row r="162" spans="1:11" ht="15" customHeight="1" x14ac:dyDescent="0.25">
      <c r="D162" s="56"/>
    </row>
    <row r="163" spans="1:11" s="66" customFormat="1" ht="15" customHeight="1" x14ac:dyDescent="0.25">
      <c r="C163" s="90" t="s">
        <v>105</v>
      </c>
      <c r="D163" s="93"/>
      <c r="E163" s="93"/>
      <c r="F163" s="93"/>
      <c r="G163" s="93"/>
      <c r="H163" s="93"/>
      <c r="I163" s="93"/>
      <c r="J163" s="93"/>
      <c r="K163" s="93"/>
    </row>
    <row r="164" spans="1:11" s="62" customFormat="1" ht="15" customHeight="1" x14ac:dyDescent="0.25">
      <c r="A164" s="63"/>
      <c r="B164" s="63"/>
      <c r="D164" s="64"/>
      <c r="E164" s="65"/>
      <c r="F164" s="65"/>
      <c r="G164" s="65"/>
      <c r="H164" s="65"/>
      <c r="I164" s="65"/>
      <c r="J164" s="65"/>
      <c r="K164" s="65"/>
    </row>
    <row r="165" spans="1:11" s="62" customFormat="1" ht="15" customHeight="1" x14ac:dyDescent="0.25">
      <c r="A165" s="63"/>
      <c r="B165" s="63"/>
      <c r="C165" s="66" t="s">
        <v>91</v>
      </c>
      <c r="D165" s="64"/>
      <c r="E165" s="65"/>
      <c r="F165" s="65"/>
      <c r="G165" s="52">
        <f>F168</f>
        <v>6595203</v>
      </c>
      <c r="H165" s="52">
        <f t="shared" ref="H165:K165" si="94">G168</f>
        <v>8684807.9853579942</v>
      </c>
      <c r="I165" s="52">
        <f t="shared" ca="1" si="94"/>
        <v>11241566.973873766</v>
      </c>
      <c r="J165" s="52">
        <f t="shared" ca="1" si="94"/>
        <v>14367813.003803536</v>
      </c>
      <c r="K165" s="52">
        <f t="shared" ca="1" si="94"/>
        <v>18221132.578526847</v>
      </c>
    </row>
    <row r="166" spans="1:11" ht="15" customHeight="1" x14ac:dyDescent="0.25">
      <c r="C166" s="29" t="s">
        <v>102</v>
      </c>
      <c r="D166" s="30">
        <f t="shared" ref="D166:K166" si="95">D28</f>
        <v>1137825</v>
      </c>
      <c r="E166" s="30">
        <f t="shared" si="95"/>
        <v>3255099</v>
      </c>
      <c r="F166" s="30">
        <f t="shared" si="95"/>
        <v>1910094</v>
      </c>
      <c r="G166" s="30">
        <f t="shared" si="95"/>
        <v>2452177.5733770002</v>
      </c>
      <c r="H166" s="30">
        <f t="shared" ca="1" si="95"/>
        <v>3000388.6361777224</v>
      </c>
      <c r="I166" s="30">
        <f t="shared" ca="1" si="95"/>
        <v>3668688.7986818701</v>
      </c>
      <c r="J166" s="30">
        <f t="shared" ca="1" si="95"/>
        <v>4521918.6929592257</v>
      </c>
      <c r="K166" s="30">
        <f t="shared" ca="1" si="95"/>
        <v>5462010.580748979</v>
      </c>
    </row>
    <row r="167" spans="1:11" ht="15" customHeight="1" x14ac:dyDescent="0.25">
      <c r="C167" s="29" t="s">
        <v>103</v>
      </c>
      <c r="D167" s="72">
        <f>-141210760/1000</f>
        <v>-141210.76</v>
      </c>
      <c r="E167" s="72">
        <f>-188281016/1000</f>
        <v>-188281.016</v>
      </c>
      <c r="F167" s="72">
        <f>-282421523/1000</f>
        <v>-282421.52299999999</v>
      </c>
      <c r="G167" s="30">
        <f>-G28*G170</f>
        <v>-362572.58801900671</v>
      </c>
      <c r="H167" s="30">
        <f ca="1">-H28*H170</f>
        <v>-443629.64766195021</v>
      </c>
      <c r="I167" s="30">
        <f ca="1">-I28*I170</f>
        <v>-542442.76875210018</v>
      </c>
      <c r="J167" s="30">
        <f ca="1">-J28*J170</f>
        <v>-668599.11823591602</v>
      </c>
      <c r="K167" s="30">
        <f ca="1">-K28*K170</f>
        <v>-807598.65580292954</v>
      </c>
    </row>
    <row r="168" spans="1:11" ht="15" customHeight="1" x14ac:dyDescent="0.25">
      <c r="C168" s="26" t="s">
        <v>94</v>
      </c>
      <c r="D168" s="61">
        <f>D91</f>
        <v>0</v>
      </c>
      <c r="E168" s="61">
        <f>E91</f>
        <v>4324258</v>
      </c>
      <c r="F168" s="61">
        <f>F91</f>
        <v>6595203</v>
      </c>
      <c r="G168" s="61">
        <f>SUM(G165:G167)</f>
        <v>8684807.9853579942</v>
      </c>
      <c r="H168" s="61">
        <f ca="1">SUM(H165:H167)</f>
        <v>11241566.973873766</v>
      </c>
      <c r="I168" s="61">
        <f ca="1">SUM(I165:I167)</f>
        <v>14367813.003803536</v>
      </c>
      <c r="J168" s="61">
        <f ca="1">SUM(J165:J167)</f>
        <v>18221132.578526847</v>
      </c>
      <c r="K168" s="61">
        <f ca="1">SUM(K165:K167)</f>
        <v>22875544.503472898</v>
      </c>
    </row>
    <row r="169" spans="1:11" ht="15" customHeight="1" x14ac:dyDescent="0.25"/>
    <row r="170" spans="1:11" ht="15" customHeight="1" x14ac:dyDescent="0.25">
      <c r="C170" s="9" t="s">
        <v>104</v>
      </c>
      <c r="D170" s="38">
        <f t="shared" ref="D170:F170" si="96">-D167/D166</f>
        <v>0.12410586865291236</v>
      </c>
      <c r="E170" s="38">
        <f t="shared" si="96"/>
        <v>5.7841870861685005E-2</v>
      </c>
      <c r="F170" s="38">
        <f t="shared" si="96"/>
        <v>0.14785739497637287</v>
      </c>
      <c r="G170" s="38">
        <f>$F$170</f>
        <v>0.14785739497637287</v>
      </c>
      <c r="H170" s="38">
        <f t="shared" ref="H170:K170" si="97">$F$170</f>
        <v>0.14785739497637287</v>
      </c>
      <c r="I170" s="38">
        <f t="shared" si="97"/>
        <v>0.14785739497637287</v>
      </c>
      <c r="J170" s="38">
        <f t="shared" si="97"/>
        <v>0.14785739497637287</v>
      </c>
      <c r="K170" s="38">
        <f t="shared" si="97"/>
        <v>0.14785739497637287</v>
      </c>
    </row>
    <row r="171" spans="1:11" ht="15" customHeight="1" x14ac:dyDescent="0.25"/>
    <row r="172" spans="1:11" s="66" customFormat="1" ht="15" customHeight="1" x14ac:dyDescent="0.25">
      <c r="C172" s="90" t="s">
        <v>109</v>
      </c>
      <c r="D172" s="93"/>
      <c r="E172" s="93"/>
      <c r="F172" s="93"/>
      <c r="G172" s="93"/>
      <c r="H172" s="93"/>
      <c r="I172" s="93"/>
      <c r="J172" s="93"/>
      <c r="K172" s="93"/>
    </row>
    <row r="173" spans="1:11" customFormat="1" x14ac:dyDescent="0.25">
      <c r="C173" t="s">
        <v>145</v>
      </c>
      <c r="D173" s="86">
        <f>D$13</f>
        <v>2023</v>
      </c>
      <c r="E173" s="86">
        <f t="shared" ref="E173:K173" si="98">E$13</f>
        <v>2024</v>
      </c>
      <c r="F173" s="86">
        <f t="shared" si="98"/>
        <v>2025</v>
      </c>
      <c r="G173" s="87">
        <f t="shared" si="98"/>
        <v>2026</v>
      </c>
      <c r="H173" s="87">
        <f t="shared" si="98"/>
        <v>2027</v>
      </c>
      <c r="I173" s="87">
        <f t="shared" si="98"/>
        <v>2028</v>
      </c>
      <c r="J173" s="87">
        <f t="shared" si="98"/>
        <v>2029</v>
      </c>
      <c r="K173" s="87">
        <f t="shared" si="98"/>
        <v>2030</v>
      </c>
    </row>
    <row r="174" spans="1:11" customFormat="1" x14ac:dyDescent="0.25">
      <c r="C174" s="88" t="s">
        <v>146</v>
      </c>
      <c r="D174" s="89">
        <f>D$14</f>
        <v>45291</v>
      </c>
      <c r="E174" s="89">
        <f t="shared" ref="E174:K174" si="99">E$14</f>
        <v>45657</v>
      </c>
      <c r="F174" s="89">
        <f t="shared" si="99"/>
        <v>46022</v>
      </c>
      <c r="G174" s="89">
        <f t="shared" si="99"/>
        <v>46387</v>
      </c>
      <c r="H174" s="89">
        <f t="shared" si="99"/>
        <v>46752</v>
      </c>
      <c r="I174" s="89">
        <f t="shared" si="99"/>
        <v>47118</v>
      </c>
      <c r="J174" s="89">
        <f t="shared" si="99"/>
        <v>47483</v>
      </c>
      <c r="K174" s="89">
        <f t="shared" si="99"/>
        <v>47848</v>
      </c>
    </row>
    <row r="175" spans="1:11" ht="15" customHeight="1" x14ac:dyDescent="0.25"/>
    <row r="176" spans="1:11" ht="15" customHeight="1" x14ac:dyDescent="0.25">
      <c r="C176" s="66" t="s">
        <v>110</v>
      </c>
      <c r="G176" s="52">
        <f>F52</f>
        <v>1091756</v>
      </c>
      <c r="H176" s="52">
        <f ca="1">G52</f>
        <v>499999.99999999977</v>
      </c>
      <c r="I176" s="52">
        <f ca="1">H52</f>
        <v>499999.99999999977</v>
      </c>
      <c r="J176" s="52">
        <f ca="1">I52</f>
        <v>499999.99999999977</v>
      </c>
      <c r="K176" s="52">
        <f ca="1">J52</f>
        <v>499999.99999999977</v>
      </c>
    </row>
    <row r="177" spans="3:11" ht="15" customHeight="1" x14ac:dyDescent="0.25">
      <c r="C177" s="66" t="s">
        <v>111</v>
      </c>
      <c r="G177" s="73">
        <v>-500000</v>
      </c>
      <c r="H177" s="73">
        <v>-500000</v>
      </c>
      <c r="I177" s="73">
        <v>-500000</v>
      </c>
      <c r="J177" s="73">
        <v>-500000</v>
      </c>
      <c r="K177" s="73">
        <v>-500000</v>
      </c>
    </row>
    <row r="178" spans="3:11" ht="15" customHeight="1" x14ac:dyDescent="0.25">
      <c r="C178" s="66" t="s">
        <v>112</v>
      </c>
      <c r="G178" s="52">
        <f ca="1">G116+G124+G128+G130+(G71-F71)+(G80-F80)</f>
        <v>-1420742.576198864</v>
      </c>
      <c r="H178" s="52">
        <f ca="1">H116+H124+H128+H130+(H71-G71)+(H80-G80)</f>
        <v>-911105.51439325814</v>
      </c>
      <c r="I178" s="52">
        <f ca="1">I116+I124+I128+I130+(I71-H71)+(I80-H80)</f>
        <v>55897.222156314878</v>
      </c>
      <c r="J178" s="52">
        <f ca="1">J116+J124+J128+J130+(J71-I71)+(J80-I80)</f>
        <v>1515152.2856200002</v>
      </c>
      <c r="K178" s="52">
        <f ca="1">K116+K124+K128+K130+(K71-J71)+(K80-J80)</f>
        <v>2647635.2368468717</v>
      </c>
    </row>
    <row r="179" spans="3:11" s="20" customFormat="1" ht="15" customHeight="1" x14ac:dyDescent="0.25">
      <c r="C179" s="74" t="s">
        <v>113</v>
      </c>
      <c r="D179" s="75"/>
      <c r="E179" s="26"/>
      <c r="F179" s="26"/>
      <c r="G179" s="61">
        <f ca="1">SUM(G176:G178)</f>
        <v>-828986.57619886403</v>
      </c>
      <c r="H179" s="61">
        <f ca="1">SUM(H176:H178)</f>
        <v>-911105.51439325837</v>
      </c>
      <c r="I179" s="61">
        <f t="shared" ref="I179:K179" ca="1" si="100">SUM(I176:I178)</f>
        <v>55897.222156314645</v>
      </c>
      <c r="J179" s="61">
        <f t="shared" ca="1" si="100"/>
        <v>1515152.28562</v>
      </c>
      <c r="K179" s="61">
        <f t="shared" ca="1" si="100"/>
        <v>2647635.2368468717</v>
      </c>
    </row>
    <row r="180" spans="3:11" ht="15" customHeight="1" x14ac:dyDescent="0.25"/>
    <row r="181" spans="3:11" s="66" customFormat="1" ht="15" customHeight="1" x14ac:dyDescent="0.25">
      <c r="C181" s="90" t="s">
        <v>116</v>
      </c>
      <c r="D181" s="93"/>
      <c r="E181" s="93"/>
      <c r="F181" s="93"/>
      <c r="G181" s="93"/>
      <c r="H181" s="93"/>
      <c r="I181" s="93"/>
      <c r="J181" s="93"/>
      <c r="K181" s="93"/>
    </row>
    <row r="182" spans="3:11" customFormat="1" x14ac:dyDescent="0.25">
      <c r="C182" s="94" t="s">
        <v>145</v>
      </c>
      <c r="D182" s="95">
        <f>D$13</f>
        <v>2023</v>
      </c>
      <c r="E182" s="95">
        <f t="shared" ref="E182:K182" si="101">E$13</f>
        <v>2024</v>
      </c>
      <c r="F182" s="95">
        <f t="shared" si="101"/>
        <v>2025</v>
      </c>
      <c r="G182" s="96">
        <f t="shared" si="101"/>
        <v>2026</v>
      </c>
      <c r="H182" s="96">
        <f t="shared" si="101"/>
        <v>2027</v>
      </c>
      <c r="I182" s="96">
        <f t="shared" si="101"/>
        <v>2028</v>
      </c>
      <c r="J182" s="96">
        <f t="shared" si="101"/>
        <v>2029</v>
      </c>
      <c r="K182" s="96">
        <f t="shared" si="101"/>
        <v>2030</v>
      </c>
    </row>
    <row r="183" spans="3:11" customFormat="1" x14ac:dyDescent="0.25">
      <c r="C183" s="88" t="s">
        <v>146</v>
      </c>
      <c r="D183" s="89">
        <f>D$14</f>
        <v>45291</v>
      </c>
      <c r="E183" s="89">
        <f t="shared" ref="E183:K183" si="102">E$14</f>
        <v>45657</v>
      </c>
      <c r="F183" s="89">
        <f t="shared" si="102"/>
        <v>46022</v>
      </c>
      <c r="G183" s="89">
        <f t="shared" si="102"/>
        <v>46387</v>
      </c>
      <c r="H183" s="89">
        <f t="shared" si="102"/>
        <v>46752</v>
      </c>
      <c r="I183" s="89">
        <f t="shared" si="102"/>
        <v>47118</v>
      </c>
      <c r="J183" s="89">
        <f t="shared" si="102"/>
        <v>47483</v>
      </c>
      <c r="K183" s="89">
        <f t="shared" si="102"/>
        <v>47848</v>
      </c>
    </row>
    <row r="184" spans="3:11" ht="15" customHeight="1" x14ac:dyDescent="0.25"/>
    <row r="185" spans="3:11" ht="15" customHeight="1" x14ac:dyDescent="0.25">
      <c r="C185" s="9" t="s">
        <v>117</v>
      </c>
      <c r="F185" s="52">
        <f>F190+F195</f>
        <v>1216190.3625</v>
      </c>
      <c r="G185" s="52">
        <f t="shared" ref="G185:K185" si="103">G190+G195</f>
        <v>1586590.6500000001</v>
      </c>
      <c r="H185" s="52">
        <f t="shared" ca="1" si="103"/>
        <v>1773112.6296447443</v>
      </c>
      <c r="I185" s="52">
        <f t="shared" ca="1" si="103"/>
        <v>1978111.3703832275</v>
      </c>
      <c r="J185" s="52">
        <f t="shared" ca="1" si="103"/>
        <v>1965534.4953980567</v>
      </c>
      <c r="K185" s="52">
        <f t="shared" ca="1" si="103"/>
        <v>1624625.2311335567</v>
      </c>
    </row>
    <row r="186" spans="3:11" ht="15" customHeight="1" x14ac:dyDescent="0.25"/>
    <row r="187" spans="3:11" s="20" customFormat="1" ht="15" customHeight="1" x14ac:dyDescent="0.25">
      <c r="C187" s="20" t="s">
        <v>118</v>
      </c>
      <c r="D187" s="50"/>
    </row>
    <row r="188" spans="3:11" ht="15" customHeight="1" x14ac:dyDescent="0.25">
      <c r="C188" s="29" t="s">
        <v>119</v>
      </c>
      <c r="E188" s="76"/>
      <c r="F188" s="77">
        <v>0.22500000000000001</v>
      </c>
      <c r="G188" s="38">
        <f>F188</f>
        <v>0.22500000000000001</v>
      </c>
      <c r="H188" s="38">
        <f t="shared" ref="H188:K188" si="104">G188</f>
        <v>0.22500000000000001</v>
      </c>
      <c r="I188" s="38">
        <f t="shared" si="104"/>
        <v>0.22500000000000001</v>
      </c>
      <c r="J188" s="38">
        <f t="shared" si="104"/>
        <v>0.22500000000000001</v>
      </c>
      <c r="K188" s="38">
        <f t="shared" si="104"/>
        <v>0.22500000000000001</v>
      </c>
    </row>
    <row r="189" spans="3:11" ht="15" customHeight="1" x14ac:dyDescent="0.25">
      <c r="C189" s="29" t="s">
        <v>120</v>
      </c>
      <c r="E189" s="52">
        <f t="shared" ref="E189:K189" si="105">E70</f>
        <v>2909496</v>
      </c>
      <c r="F189" s="52">
        <f t="shared" si="105"/>
        <v>5330641</v>
      </c>
      <c r="G189" s="52">
        <f t="shared" ca="1" si="105"/>
        <v>6159627.5761988638</v>
      </c>
      <c r="H189" s="52">
        <f t="shared" ca="1" si="105"/>
        <v>7070733.0905921217</v>
      </c>
      <c r="I189" s="52">
        <f t="shared" ca="1" si="105"/>
        <v>7014835.8684358075</v>
      </c>
      <c r="J189" s="52">
        <f t="shared" ca="1" si="105"/>
        <v>5499683.5828158073</v>
      </c>
      <c r="K189" s="52">
        <f t="shared" ca="1" si="105"/>
        <v>2852048.3459689356</v>
      </c>
    </row>
    <row r="190" spans="3:11" s="20" customFormat="1" ht="15" customHeight="1" x14ac:dyDescent="0.25">
      <c r="C190" s="26" t="s">
        <v>121</v>
      </c>
      <c r="D190" s="75"/>
      <c r="E190" s="26"/>
      <c r="F190" s="78">
        <f>AVERAGE(E189:F189)*F188</f>
        <v>927015.41249999998</v>
      </c>
      <c r="G190" s="78">
        <f>F189*G188</f>
        <v>1199394.2250000001</v>
      </c>
      <c r="H190" s="78">
        <f t="shared" ref="H190:K190" ca="1" si="106">G189*H188</f>
        <v>1385916.2046447443</v>
      </c>
      <c r="I190" s="78">
        <f t="shared" ca="1" si="106"/>
        <v>1590914.9453832274</v>
      </c>
      <c r="J190" s="78">
        <f t="shared" ca="1" si="106"/>
        <v>1578338.0703980566</v>
      </c>
      <c r="K190" s="78">
        <f t="shared" ca="1" si="106"/>
        <v>1237428.8061335566</v>
      </c>
    </row>
    <row r="191" spans="3:11" ht="15" customHeight="1" x14ac:dyDescent="0.25"/>
    <row r="192" spans="3:11" s="20" customFormat="1" ht="15" customHeight="1" x14ac:dyDescent="0.25">
      <c r="C192" s="20" t="s">
        <v>122</v>
      </c>
      <c r="D192" s="50"/>
    </row>
    <row r="193" spans="3:11" ht="15" customHeight="1" x14ac:dyDescent="0.25">
      <c r="C193" s="29" t="s">
        <v>120</v>
      </c>
      <c r="E193" s="52">
        <f t="shared" ref="E193:K193" si="107">E71+E80</f>
        <v>849571</v>
      </c>
      <c r="F193" s="52">
        <f t="shared" si="107"/>
        <v>1720873</v>
      </c>
      <c r="G193" s="52">
        <f t="shared" si="107"/>
        <v>1720873</v>
      </c>
      <c r="H193" s="52">
        <f t="shared" si="107"/>
        <v>1720873</v>
      </c>
      <c r="I193" s="52">
        <f t="shared" si="107"/>
        <v>1720873</v>
      </c>
      <c r="J193" s="52">
        <f t="shared" si="107"/>
        <v>1720873</v>
      </c>
      <c r="K193" s="52">
        <f t="shared" si="107"/>
        <v>1720873</v>
      </c>
    </row>
    <row r="194" spans="3:11" ht="15" customHeight="1" x14ac:dyDescent="0.25">
      <c r="C194" s="29" t="s">
        <v>119</v>
      </c>
      <c r="F194" s="77">
        <v>0.22500000000000001</v>
      </c>
      <c r="G194" s="38">
        <f>F194</f>
        <v>0.22500000000000001</v>
      </c>
      <c r="H194" s="38">
        <f t="shared" ref="H194:K194" si="108">G194</f>
        <v>0.22500000000000001</v>
      </c>
      <c r="I194" s="38">
        <f t="shared" si="108"/>
        <v>0.22500000000000001</v>
      </c>
      <c r="J194" s="38">
        <f t="shared" si="108"/>
        <v>0.22500000000000001</v>
      </c>
      <c r="K194" s="38">
        <f t="shared" si="108"/>
        <v>0.22500000000000001</v>
      </c>
    </row>
    <row r="195" spans="3:11" s="20" customFormat="1" ht="15" customHeight="1" x14ac:dyDescent="0.25">
      <c r="C195" s="20" t="s">
        <v>123</v>
      </c>
      <c r="D195" s="50"/>
      <c r="F195" s="79">
        <f>AVERAGE(E193:F193)*F194</f>
        <v>289174.95</v>
      </c>
      <c r="G195" s="79">
        <f>F193*G194</f>
        <v>387196.42499999999</v>
      </c>
      <c r="H195" s="79">
        <f t="shared" ref="H195:K195" si="109">G193*H194</f>
        <v>387196.42499999999</v>
      </c>
      <c r="I195" s="79">
        <f t="shared" si="109"/>
        <v>387196.42499999999</v>
      </c>
      <c r="J195" s="79">
        <f t="shared" si="109"/>
        <v>387196.42499999999</v>
      </c>
      <c r="K195" s="79">
        <f t="shared" si="109"/>
        <v>387196.42499999999</v>
      </c>
    </row>
    <row r="196" spans="3:11" ht="15" customHeight="1" x14ac:dyDescent="0.25"/>
    <row r="197" spans="3:11" s="20" customFormat="1" ht="15" customHeight="1" x14ac:dyDescent="0.25">
      <c r="C197" s="20" t="s">
        <v>124</v>
      </c>
      <c r="D197" s="50"/>
      <c r="F197" s="80"/>
      <c r="G197" s="76"/>
      <c r="H197" s="76"/>
      <c r="I197" s="76"/>
      <c r="J197" s="76"/>
      <c r="K197" s="76"/>
    </row>
    <row r="198" spans="3:11" ht="15" customHeight="1" x14ac:dyDescent="0.25">
      <c r="C198" s="9" t="s">
        <v>125</v>
      </c>
      <c r="F198" s="69">
        <v>7.6799999999999993E-2</v>
      </c>
      <c r="G198" s="68">
        <f>F198</f>
        <v>7.6799999999999993E-2</v>
      </c>
      <c r="H198" s="68">
        <f t="shared" ref="H198:K198" si="110">G198</f>
        <v>7.6799999999999993E-2</v>
      </c>
      <c r="I198" s="68">
        <f t="shared" si="110"/>
        <v>7.6799999999999993E-2</v>
      </c>
      <c r="J198" s="68">
        <f t="shared" si="110"/>
        <v>7.6799999999999993E-2</v>
      </c>
      <c r="K198" s="68">
        <f t="shared" si="110"/>
        <v>7.6799999999999993E-2</v>
      </c>
    </row>
    <row r="199" spans="3:11" ht="15" customHeight="1" x14ac:dyDescent="0.25">
      <c r="C199" s="9" t="s">
        <v>126</v>
      </c>
      <c r="F199" s="52">
        <f>AVERAGE(E52:F52)*F198</f>
        <v>111475.23839999999</v>
      </c>
      <c r="G199" s="52">
        <f xml:space="preserve"> F52*G198</f>
        <v>83846.860799999995</v>
      </c>
      <c r="H199" s="52">
        <f ca="1" xml:space="preserve"> G52*H198</f>
        <v>38399.999999999978</v>
      </c>
      <c r="I199" s="52">
        <f ca="1" xml:space="preserve"> H52*I198</f>
        <v>38399.999999999978</v>
      </c>
      <c r="J199" s="52">
        <f ca="1" xml:space="preserve"> I52*J198</f>
        <v>38399.999999999978</v>
      </c>
      <c r="K199" s="52">
        <f ca="1" xml:space="preserve"> J52*K198</f>
        <v>38399.999999999978</v>
      </c>
    </row>
    <row r="200" spans="3:11" ht="15" customHeight="1" x14ac:dyDescent="0.25"/>
    <row r="201" spans="3:11" ht="15" customHeight="1" x14ac:dyDescent="0.25">
      <c r="C201" s="20" t="s">
        <v>127</v>
      </c>
    </row>
    <row r="202" spans="3:11" ht="15" customHeight="1" x14ac:dyDescent="0.25">
      <c r="C202" s="9" t="s">
        <v>91</v>
      </c>
      <c r="G202" s="52">
        <f>F70</f>
        <v>5330641</v>
      </c>
      <c r="H202" s="52">
        <f ca="1">G70</f>
        <v>6159627.5761988638</v>
      </c>
      <c r="I202" s="52">
        <f ca="1">H70</f>
        <v>7070733.0905921217</v>
      </c>
      <c r="J202" s="52">
        <f ca="1">I70</f>
        <v>7014835.8684358075</v>
      </c>
      <c r="K202" s="52">
        <f ca="1">J70</f>
        <v>5499683.5828158073</v>
      </c>
    </row>
    <row r="203" spans="3:11" ht="15" customHeight="1" x14ac:dyDescent="0.25">
      <c r="C203" s="9" t="s">
        <v>114</v>
      </c>
      <c r="G203" s="52">
        <f ca="1">-MIN(G179,G202)</f>
        <v>828986.57619886403</v>
      </c>
      <c r="H203" s="52">
        <f t="shared" ref="H203:K203" ca="1" si="111">-MIN(H179,H202)</f>
        <v>911105.51439325837</v>
      </c>
      <c r="I203" s="52">
        <f t="shared" ca="1" si="111"/>
        <v>-55897.222156314645</v>
      </c>
      <c r="J203" s="52">
        <f t="shared" ca="1" si="111"/>
        <v>-1515152.28562</v>
      </c>
      <c r="K203" s="52">
        <f t="shared" ca="1" si="111"/>
        <v>-2647635.2368468717</v>
      </c>
    </row>
    <row r="204" spans="3:11" ht="15" customHeight="1" x14ac:dyDescent="0.25">
      <c r="C204" s="9" t="s">
        <v>115</v>
      </c>
      <c r="G204" s="35">
        <v>0</v>
      </c>
      <c r="H204" s="35">
        <v>0</v>
      </c>
      <c r="I204" s="35">
        <v>0</v>
      </c>
      <c r="J204" s="35">
        <v>0</v>
      </c>
      <c r="K204" s="35">
        <v>0</v>
      </c>
    </row>
    <row r="205" spans="3:11" ht="15" customHeight="1" x14ac:dyDescent="0.25">
      <c r="C205" s="26" t="s">
        <v>94</v>
      </c>
      <c r="D205" s="81"/>
      <c r="E205" s="82"/>
      <c r="F205" s="82"/>
      <c r="G205" s="61">
        <f ca="1">SUM(G202:G204)</f>
        <v>6159627.5761988638</v>
      </c>
      <c r="H205" s="61">
        <f t="shared" ref="H205:K205" ca="1" si="112">SUM(H202:H204)</f>
        <v>7070733.0905921217</v>
      </c>
      <c r="I205" s="61">
        <f t="shared" ca="1" si="112"/>
        <v>7014835.8684358075</v>
      </c>
      <c r="J205" s="61">
        <f t="shared" ca="1" si="112"/>
        <v>5499683.5828158073</v>
      </c>
      <c r="K205" s="61">
        <f t="shared" ca="1" si="112"/>
        <v>2852048.3459689356</v>
      </c>
    </row>
    <row r="206" spans="3:11" ht="15" customHeight="1" x14ac:dyDescent="0.25"/>
    <row r="207" spans="3:11" s="66" customFormat="1" ht="15" customHeight="1" x14ac:dyDescent="0.25">
      <c r="C207" s="90" t="s">
        <v>128</v>
      </c>
      <c r="D207" s="93"/>
      <c r="E207" s="93"/>
      <c r="F207" s="93"/>
      <c r="G207" s="93"/>
      <c r="H207" s="93"/>
      <c r="I207" s="93"/>
      <c r="J207" s="93"/>
      <c r="K207" s="93"/>
    </row>
    <row r="208" spans="3:11" customFormat="1" x14ac:dyDescent="0.25">
      <c r="C208" t="s">
        <v>145</v>
      </c>
      <c r="D208" s="86">
        <f>D$13</f>
        <v>2023</v>
      </c>
      <c r="E208" s="86">
        <f t="shared" ref="E208:K208" si="113">E$13</f>
        <v>2024</v>
      </c>
      <c r="F208" s="86">
        <f t="shared" si="113"/>
        <v>2025</v>
      </c>
      <c r="G208" s="87">
        <f t="shared" si="113"/>
        <v>2026</v>
      </c>
      <c r="H208" s="87">
        <f t="shared" si="113"/>
        <v>2027</v>
      </c>
      <c r="I208" s="87">
        <f t="shared" si="113"/>
        <v>2028</v>
      </c>
      <c r="J208" s="87">
        <f t="shared" si="113"/>
        <v>2029</v>
      </c>
      <c r="K208" s="87">
        <f t="shared" si="113"/>
        <v>2030</v>
      </c>
    </row>
    <row r="209" spans="3:11" customFormat="1" x14ac:dyDescent="0.25">
      <c r="C209" s="88" t="s">
        <v>146</v>
      </c>
      <c r="D209" s="89">
        <f>D$14</f>
        <v>45291</v>
      </c>
      <c r="E209" s="89">
        <f t="shared" ref="E209:K209" si="114">E$14</f>
        <v>45657</v>
      </c>
      <c r="F209" s="89">
        <f t="shared" si="114"/>
        <v>46022</v>
      </c>
      <c r="G209" s="89">
        <f t="shared" si="114"/>
        <v>46387</v>
      </c>
      <c r="H209" s="89">
        <f t="shared" si="114"/>
        <v>46752</v>
      </c>
      <c r="I209" s="89">
        <f t="shared" si="114"/>
        <v>47118</v>
      </c>
      <c r="J209" s="89">
        <f t="shared" si="114"/>
        <v>47483</v>
      </c>
      <c r="K209" s="89">
        <f t="shared" si="114"/>
        <v>47848</v>
      </c>
    </row>
    <row r="210" spans="3:11" ht="15" customHeight="1" x14ac:dyDescent="0.25"/>
    <row r="211" spans="3:11" ht="15" customHeight="1" x14ac:dyDescent="0.25">
      <c r="C211" s="20" t="s">
        <v>129</v>
      </c>
    </row>
    <row r="212" spans="3:11" ht="15" customHeight="1" x14ac:dyDescent="0.25">
      <c r="C212" s="9" t="s">
        <v>130</v>
      </c>
    </row>
    <row r="213" spans="3:11" ht="15" customHeight="1" x14ac:dyDescent="0.25">
      <c r="C213" s="29" t="s">
        <v>134</v>
      </c>
      <c r="D213" s="72">
        <v>8441382</v>
      </c>
      <c r="E213" s="72">
        <v>11644215</v>
      </c>
      <c r="F213" s="72">
        <v>15310403</v>
      </c>
      <c r="G213" s="30">
        <f>F213*(1+G222)</f>
        <v>18219379.57</v>
      </c>
      <c r="H213" s="30">
        <f t="shared" ref="H213:K213" si="115">G213*(1+H222)</f>
        <v>21134480.301199999</v>
      </c>
      <c r="I213" s="30">
        <f t="shared" si="115"/>
        <v>24093307.543368001</v>
      </c>
      <c r="J213" s="30">
        <f t="shared" si="115"/>
        <v>27225437.524005838</v>
      </c>
      <c r="K213" s="30">
        <f t="shared" si="115"/>
        <v>30492490.026886541</v>
      </c>
    </row>
    <row r="214" spans="3:11" ht="15" customHeight="1" x14ac:dyDescent="0.25">
      <c r="C214" s="29" t="s">
        <v>135</v>
      </c>
      <c r="D214" s="72">
        <v>3061005</v>
      </c>
      <c r="E214" s="72">
        <v>4821663</v>
      </c>
      <c r="F214" s="72">
        <v>6928868</v>
      </c>
      <c r="G214" s="30">
        <f t="shared" ref="G214:K214" si="116">F214*(1+G223)</f>
        <v>8314641.5999999996</v>
      </c>
      <c r="H214" s="30">
        <f t="shared" si="116"/>
        <v>9728130.6719999984</v>
      </c>
      <c r="I214" s="30">
        <f t="shared" si="116"/>
        <v>11187350.272799997</v>
      </c>
      <c r="J214" s="30">
        <f t="shared" si="116"/>
        <v>12753579.310991997</v>
      </c>
      <c r="K214" s="30">
        <f t="shared" si="116"/>
        <v>14284008.828311037</v>
      </c>
    </row>
    <row r="215" spans="3:11" ht="15" customHeight="1" x14ac:dyDescent="0.25">
      <c r="C215" s="29" t="s">
        <v>136</v>
      </c>
      <c r="D215" s="72">
        <v>2714846</v>
      </c>
      <c r="E215" s="72">
        <v>4526238</v>
      </c>
      <c r="F215" s="72">
        <v>6254520</v>
      </c>
      <c r="G215" s="30">
        <f t="shared" ref="G215:K215" si="117">F215*(1+G224)</f>
        <v>7380333.5999999996</v>
      </c>
      <c r="H215" s="30">
        <f t="shared" si="117"/>
        <v>8487383.6399999987</v>
      </c>
      <c r="I215" s="30">
        <f t="shared" si="117"/>
        <v>9590743.5131999981</v>
      </c>
      <c r="J215" s="30">
        <f t="shared" si="117"/>
        <v>10741632.734784</v>
      </c>
      <c r="K215" s="30">
        <f t="shared" si="117"/>
        <v>11923212.335610241</v>
      </c>
    </row>
    <row r="216" spans="3:11" ht="15" customHeight="1" x14ac:dyDescent="0.25">
      <c r="C216" s="29" t="s">
        <v>137</v>
      </c>
      <c r="D216" s="72">
        <v>995886</v>
      </c>
      <c r="E216" s="72">
        <v>2992337</v>
      </c>
      <c r="F216" s="72">
        <v>1314651</v>
      </c>
      <c r="G216" s="30">
        <f t="shared" ref="G216:K216" si="118">F216*(1+G225)</f>
        <v>1446116.1</v>
      </c>
      <c r="H216" s="30">
        <f t="shared" si="118"/>
        <v>1590727.7100000002</v>
      </c>
      <c r="I216" s="30">
        <f t="shared" si="118"/>
        <v>1749800.4810000004</v>
      </c>
      <c r="J216" s="30">
        <f t="shared" si="118"/>
        <v>1907282.5242900006</v>
      </c>
      <c r="K216" s="30">
        <f t="shared" si="118"/>
        <v>2059865.1262332008</v>
      </c>
    </row>
    <row r="217" spans="3:11" ht="15" customHeight="1" x14ac:dyDescent="0.25">
      <c r="C217" s="29" t="s">
        <v>138</v>
      </c>
      <c r="D217" s="72">
        <v>323071</v>
      </c>
      <c r="E217" s="72">
        <v>318163</v>
      </c>
      <c r="F217" s="72">
        <v>176004</v>
      </c>
      <c r="G217" s="30">
        <f t="shared" ref="G217:K217" si="119">F217*(1+G226)</f>
        <v>176004</v>
      </c>
      <c r="H217" s="30">
        <f t="shared" si="119"/>
        <v>181284.12</v>
      </c>
      <c r="I217" s="30">
        <f t="shared" si="119"/>
        <v>190348.326</v>
      </c>
      <c r="J217" s="30">
        <f t="shared" si="119"/>
        <v>199865.74230000001</v>
      </c>
      <c r="K217" s="30">
        <f t="shared" si="119"/>
        <v>209859.02941500003</v>
      </c>
    </row>
    <row r="218" spans="3:11" ht="15" customHeight="1" x14ac:dyDescent="0.25">
      <c r="C218" s="26" t="s">
        <v>131</v>
      </c>
      <c r="D218" s="83">
        <f>SUM(D213:D217)</f>
        <v>15536190</v>
      </c>
      <c r="E218" s="83">
        <f>SUM(E213:E217)</f>
        <v>24302616</v>
      </c>
      <c r="F218" s="83">
        <f>SUM(F213:F217)</f>
        <v>29984446</v>
      </c>
      <c r="G218" s="83">
        <f t="shared" ref="G218:K218" si="120">SUM(G213:G217)</f>
        <v>35536474.870000005</v>
      </c>
      <c r="H218" s="83">
        <f t="shared" si="120"/>
        <v>41122006.443199992</v>
      </c>
      <c r="I218" s="83">
        <f t="shared" si="120"/>
        <v>46811550.136367992</v>
      </c>
      <c r="J218" s="83">
        <f t="shared" si="120"/>
        <v>52827797.836371832</v>
      </c>
      <c r="K218" s="83">
        <f t="shared" si="120"/>
        <v>58969435.346456014</v>
      </c>
    </row>
    <row r="219" spans="3:11" ht="15" customHeight="1" x14ac:dyDescent="0.25">
      <c r="C219" s="29" t="s">
        <v>132</v>
      </c>
      <c r="D219" s="38"/>
      <c r="E219" s="38">
        <f>E218/D218-1</f>
        <v>0.56425841856980385</v>
      </c>
      <c r="F219" s="38">
        <f>F218/E218-1</f>
        <v>0.23379499556755534</v>
      </c>
      <c r="G219" s="38">
        <f t="shared" ref="G219:K219" si="121">G218/F218-1</f>
        <v>0.18516363017012227</v>
      </c>
      <c r="H219" s="38">
        <f t="shared" si="121"/>
        <v>0.15717742386190681</v>
      </c>
      <c r="I219" s="38">
        <f t="shared" si="121"/>
        <v>0.13835763828855763</v>
      </c>
      <c r="J219" s="38">
        <f t="shared" si="121"/>
        <v>0.12852058268691691</v>
      </c>
      <c r="K219" s="38">
        <f t="shared" si="121"/>
        <v>0.11625768556749638</v>
      </c>
    </row>
    <row r="220" spans="3:11" ht="15" customHeight="1" x14ac:dyDescent="0.25"/>
    <row r="221" spans="3:11" ht="15" customHeight="1" x14ac:dyDescent="0.25">
      <c r="C221" s="20" t="s">
        <v>133</v>
      </c>
    </row>
    <row r="222" spans="3:11" ht="15" customHeight="1" x14ac:dyDescent="0.25">
      <c r="C222" s="29" t="s">
        <v>134</v>
      </c>
      <c r="D222" s="38"/>
      <c r="E222" s="38">
        <f>E213/D213-1</f>
        <v>0.37942045508661981</v>
      </c>
      <c r="F222" s="38">
        <f>F213/E213-1</f>
        <v>0.31485059319155484</v>
      </c>
      <c r="G222" s="38">
        <v>0.19</v>
      </c>
      <c r="H222" s="38">
        <v>0.16</v>
      </c>
      <c r="I222" s="38">
        <v>0.14000000000000001</v>
      </c>
      <c r="J222" s="38">
        <v>0.13</v>
      </c>
      <c r="K222" s="38">
        <v>0.12</v>
      </c>
    </row>
    <row r="223" spans="3:11" ht="15" customHeight="1" x14ac:dyDescent="0.25">
      <c r="C223" s="29" t="s">
        <v>135</v>
      </c>
      <c r="D223" s="38"/>
      <c r="E223" s="38">
        <f t="shared" ref="E223:F223" si="122">E214/D214-1</f>
        <v>0.57518952108866195</v>
      </c>
      <c r="F223" s="38">
        <f t="shared" si="122"/>
        <v>0.43702867662049383</v>
      </c>
      <c r="G223" s="38">
        <v>0.2</v>
      </c>
      <c r="H223" s="38">
        <v>0.17</v>
      </c>
      <c r="I223" s="38">
        <v>0.15</v>
      </c>
      <c r="J223" s="38">
        <v>0.14000000000000001</v>
      </c>
      <c r="K223" s="38">
        <v>0.12</v>
      </c>
    </row>
    <row r="224" spans="3:11" ht="15" customHeight="1" x14ac:dyDescent="0.25">
      <c r="C224" s="29" t="s">
        <v>136</v>
      </c>
      <c r="D224" s="38"/>
      <c r="E224" s="38">
        <f t="shared" ref="E224:F224" si="123">E215/D215-1</f>
        <v>0.66721721968759917</v>
      </c>
      <c r="F224" s="38">
        <f t="shared" si="123"/>
        <v>0.38183630644256894</v>
      </c>
      <c r="G224" s="38">
        <v>0.18</v>
      </c>
      <c r="H224" s="38">
        <v>0.15</v>
      </c>
      <c r="I224" s="38">
        <v>0.13</v>
      </c>
      <c r="J224" s="38">
        <v>0.12</v>
      </c>
      <c r="K224" s="38">
        <v>0.11</v>
      </c>
    </row>
    <row r="225" spans="3:11" ht="15" customHeight="1" x14ac:dyDescent="0.25">
      <c r="C225" s="29" t="s">
        <v>137</v>
      </c>
      <c r="D225" s="38"/>
      <c r="E225" s="38">
        <f t="shared" ref="E225:F225" si="124">E216/D216-1</f>
        <v>2.0046983289251981</v>
      </c>
      <c r="F225" s="38">
        <f t="shared" si="124"/>
        <v>-0.56066078118874985</v>
      </c>
      <c r="G225" s="38">
        <v>0.1</v>
      </c>
      <c r="H225" s="38">
        <v>0.1</v>
      </c>
      <c r="I225" s="38">
        <v>0.1</v>
      </c>
      <c r="J225" s="38">
        <v>0.09</v>
      </c>
      <c r="K225" s="38">
        <v>0.08</v>
      </c>
    </row>
    <row r="226" spans="3:11" ht="15" customHeight="1" x14ac:dyDescent="0.25">
      <c r="C226" s="29" t="s">
        <v>138</v>
      </c>
      <c r="D226" s="38"/>
      <c r="E226" s="38">
        <f t="shared" ref="E226:F226" si="125">E217/D217-1</f>
        <v>-1.5191707086058437E-2</v>
      </c>
      <c r="F226" s="38">
        <f t="shared" si="125"/>
        <v>-0.44681185430109727</v>
      </c>
      <c r="G226" s="38">
        <v>0</v>
      </c>
      <c r="H226" s="38">
        <v>0.03</v>
      </c>
      <c r="I226" s="38">
        <v>0.05</v>
      </c>
      <c r="J226" s="38">
        <v>0.05</v>
      </c>
      <c r="K226" s="38">
        <v>0.05</v>
      </c>
    </row>
  </sheetData>
  <conditionalFormatting sqref="C40">
    <cfRule type="expression" dxfId="2" priority="1">
      <formula>#REF!=$C40</formula>
    </cfRule>
  </conditionalFormatting>
  <pageMargins left="0.7" right="0.7" top="0.75" bottom="0.75" header="0.511811023622047" footer="0.511811023622047"/>
  <pageSetup orientation="portrait" horizontalDpi="300" verticalDpi="300"/>
  <ignoredErrors>
    <ignoredError sqref="G91 H91:K91 G199" formula="1"/>
    <ignoredError sqref="E14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abSelected="1" topLeftCell="A60" zoomScaleNormal="100" workbookViewId="0">
      <selection activeCell="F67" sqref="F67"/>
    </sheetView>
  </sheetViews>
  <sheetFormatPr defaultColWidth="9.140625" defaultRowHeight="15" x14ac:dyDescent="0.25"/>
  <cols>
    <col min="1" max="1" width="1.42578125" style="97" customWidth="1"/>
    <col min="2" max="2" width="54.42578125" style="97" customWidth="1"/>
    <col min="3" max="3" width="13.42578125" style="97" customWidth="1"/>
    <col min="4" max="8" width="12.7109375" style="97" customWidth="1"/>
    <col min="9" max="9" width="15.28515625" style="97" bestFit="1" customWidth="1"/>
    <col min="10" max="10" width="1.7109375" style="97" customWidth="1"/>
    <col min="11" max="11" width="12.140625" style="97" bestFit="1" customWidth="1"/>
    <col min="12" max="16" width="9.42578125" style="97" customWidth="1"/>
    <col min="17" max="16384" width="9.140625" style="97"/>
  </cols>
  <sheetData>
    <row r="1" spans="2:10" ht="15.75" thickBot="1" x14ac:dyDescent="0.3"/>
    <row r="2" spans="2:10" ht="15.75" thickBot="1" x14ac:dyDescent="0.3">
      <c r="B2" s="98" t="s">
        <v>149</v>
      </c>
      <c r="C2" s="99"/>
      <c r="D2" s="99"/>
      <c r="E2" s="99"/>
      <c r="F2" s="99"/>
      <c r="G2" s="99"/>
      <c r="H2" s="99"/>
      <c r="I2" s="99"/>
    </row>
    <row r="3" spans="2:10" x14ac:dyDescent="0.25">
      <c r="B3" s="100" t="s">
        <v>251</v>
      </c>
    </row>
    <row r="4" spans="2:10" x14ac:dyDescent="0.25">
      <c r="B4" s="97" t="s">
        <v>150</v>
      </c>
      <c r="C4" s="101"/>
      <c r="D4" s="101">
        <v>46022</v>
      </c>
      <c r="F4" s="97" t="s">
        <v>151</v>
      </c>
      <c r="H4" s="102">
        <f>+WACC!E21</f>
        <v>0.24579663162234175</v>
      </c>
      <c r="I4" s="97" t="s">
        <v>152</v>
      </c>
    </row>
    <row r="5" spans="2:10" x14ac:dyDescent="0.25">
      <c r="B5" s="97" t="s">
        <v>153</v>
      </c>
      <c r="C5" s="103"/>
      <c r="D5" s="103">
        <f>EOMONTH(D4,12)</f>
        <v>46387</v>
      </c>
      <c r="F5" s="97" t="s">
        <v>154</v>
      </c>
      <c r="H5" s="223">
        <v>28.09</v>
      </c>
    </row>
    <row r="6" spans="2:10" x14ac:dyDescent="0.25">
      <c r="B6" s="97" t="s">
        <v>155</v>
      </c>
      <c r="C6" s="101"/>
      <c r="D6" s="101">
        <v>46022</v>
      </c>
      <c r="F6" s="97" t="s">
        <v>156</v>
      </c>
      <c r="H6" s="104">
        <v>46167</v>
      </c>
      <c r="J6" s="105"/>
    </row>
    <row r="7" spans="2:10" x14ac:dyDescent="0.25">
      <c r="B7" s="97" t="s">
        <v>157</v>
      </c>
      <c r="C7" s="101"/>
      <c r="D7" s="101">
        <v>46167</v>
      </c>
      <c r="E7" s="105"/>
      <c r="F7" s="249" t="s">
        <v>255</v>
      </c>
      <c r="G7" s="105"/>
      <c r="H7" s="223">
        <f ca="1">C73</f>
        <v>11.057984109917204</v>
      </c>
    </row>
    <row r="8" spans="2:10" x14ac:dyDescent="0.25">
      <c r="B8" s="97" t="s">
        <v>158</v>
      </c>
      <c r="C8" s="203"/>
      <c r="D8" s="203">
        <f>YEARFRAC(D7,D5)</f>
        <v>0.6</v>
      </c>
      <c r="F8" s="249" t="s">
        <v>256</v>
      </c>
      <c r="H8" s="250">
        <f ca="1">+(H7-H5)/H5</f>
        <v>-0.60633734033758624</v>
      </c>
    </row>
    <row r="9" spans="2:10" x14ac:dyDescent="0.25">
      <c r="D9" s="107"/>
    </row>
    <row r="10" spans="2:10" x14ac:dyDescent="0.25">
      <c r="B10" s="108" t="s">
        <v>159</v>
      </c>
      <c r="C10" s="109"/>
      <c r="D10" s="110"/>
      <c r="F10" s="109"/>
      <c r="G10" s="109"/>
      <c r="H10" s="109"/>
      <c r="I10" s="109"/>
    </row>
    <row r="11" spans="2:10" ht="17.25" customHeight="1" x14ac:dyDescent="0.4">
      <c r="C11" s="111" t="s">
        <v>160</v>
      </c>
      <c r="D11" s="111" t="s">
        <v>161</v>
      </c>
      <c r="E11" s="112" t="s">
        <v>162</v>
      </c>
      <c r="F11" s="111"/>
      <c r="G11" s="111"/>
      <c r="H11" s="111"/>
      <c r="I11" s="111"/>
    </row>
    <row r="12" spans="2:10" x14ac:dyDescent="0.25">
      <c r="B12" s="113" t="s">
        <v>163</v>
      </c>
      <c r="C12" s="114">
        <f>D7</f>
        <v>46167</v>
      </c>
      <c r="D12" s="115">
        <f>D4</f>
        <v>46022</v>
      </c>
      <c r="E12" s="116">
        <f>EOMONTH(D12,12)</f>
        <v>46387</v>
      </c>
      <c r="F12" s="117">
        <f>EOMONTH(E12,12)</f>
        <v>46752</v>
      </c>
      <c r="G12" s="117">
        <f t="shared" ref="G12:I12" si="0">EOMONTH(F12,12)</f>
        <v>47118</v>
      </c>
      <c r="H12" s="117">
        <f t="shared" si="0"/>
        <v>47483</v>
      </c>
      <c r="I12" s="117">
        <f t="shared" si="0"/>
        <v>47848</v>
      </c>
    </row>
    <row r="13" spans="2:10" x14ac:dyDescent="0.25">
      <c r="B13" s="113"/>
      <c r="D13" s="118"/>
      <c r="E13" s="119"/>
      <c r="F13" s="119"/>
      <c r="G13" s="119"/>
      <c r="H13" s="119"/>
      <c r="I13" s="119"/>
    </row>
    <row r="14" spans="2:10" x14ac:dyDescent="0.25">
      <c r="B14" s="97" t="s">
        <v>164</v>
      </c>
      <c r="C14" s="224">
        <f>E14*(1-$D$8)+D14*$D$8</f>
        <v>32205257.548</v>
      </c>
      <c r="D14" s="121">
        <f>FSM!F16</f>
        <v>29984446</v>
      </c>
      <c r="E14" s="121">
        <f>FSM!G16</f>
        <v>35536474.870000005</v>
      </c>
      <c r="F14" s="121">
        <f>FSM!H16</f>
        <v>41122006.443199992</v>
      </c>
      <c r="G14" s="121">
        <f>FSM!I16</f>
        <v>46811550.136367992</v>
      </c>
      <c r="H14" s="121">
        <f>FSM!J16</f>
        <v>52827797.836371832</v>
      </c>
      <c r="I14" s="121">
        <f>FSM!K16</f>
        <v>58969435.346456014</v>
      </c>
    </row>
    <row r="15" spans="2:10" x14ac:dyDescent="0.25">
      <c r="B15" s="123" t="s">
        <v>132</v>
      </c>
      <c r="D15" s="124"/>
      <c r="E15" s="106">
        <f>E14/D14-1</f>
        <v>0.18516363017012227</v>
      </c>
      <c r="F15" s="106">
        <f t="shared" ref="F15:I15" si="1">F14/E14-1</f>
        <v>0.15717742386190681</v>
      </c>
      <c r="G15" s="106">
        <f t="shared" si="1"/>
        <v>0.13835763828855763</v>
      </c>
      <c r="H15" s="106">
        <f t="shared" si="1"/>
        <v>0.12852058268691691</v>
      </c>
      <c r="I15" s="106">
        <f t="shared" si="1"/>
        <v>0.11625768556749638</v>
      </c>
    </row>
    <row r="16" spans="2:10" x14ac:dyDescent="0.25">
      <c r="B16" s="97" t="s">
        <v>49</v>
      </c>
      <c r="C16" s="224">
        <f ca="1">E16*(1-$D$8)+D16*$D$8</f>
        <v>4608573.732948577</v>
      </c>
      <c r="D16" s="121">
        <f>FSM!F31</f>
        <v>4095464</v>
      </c>
      <c r="E16" s="121">
        <f ca="1">FSM!G31</f>
        <v>5378238.3323714416</v>
      </c>
      <c r="F16" s="121">
        <f ca="1">FSM!H31</f>
        <v>6505164.7004893571</v>
      </c>
      <c r="G16" s="121">
        <f ca="1">FSM!I31</f>
        <v>7742408.2121357573</v>
      </c>
      <c r="H16" s="121">
        <f ca="1">FSM!J31</f>
        <v>8958353.6898300946</v>
      </c>
      <c r="I16" s="121">
        <f ca="1">FSM!K31</f>
        <v>9916076.12331165</v>
      </c>
    </row>
    <row r="17" spans="2:13" x14ac:dyDescent="0.25">
      <c r="B17" s="123" t="s">
        <v>165</v>
      </c>
      <c r="D17" s="125"/>
      <c r="E17" s="106">
        <f ca="1">E16/E14</f>
        <v>0.15134417108185838</v>
      </c>
      <c r="F17" s="106">
        <f t="shared" ref="F17:I17" ca="1" si="2">F16/F14</f>
        <v>0.15819181171217053</v>
      </c>
      <c r="G17" s="106">
        <f t="shared" ca="1" si="2"/>
        <v>0.16539525372650848</v>
      </c>
      <c r="H17" s="106">
        <f t="shared" ca="1" si="2"/>
        <v>0.16957651192611869</v>
      </c>
      <c r="I17" s="106">
        <f t="shared" ca="1" si="2"/>
        <v>0.16815619930991238</v>
      </c>
    </row>
    <row r="18" spans="2:13" x14ac:dyDescent="0.25">
      <c r="B18" s="97" t="s">
        <v>166</v>
      </c>
      <c r="C18" s="224">
        <f>E18*(1-$D$8)+D18*$D$8</f>
        <v>4010712.1535520004</v>
      </c>
      <c r="D18" s="121">
        <f>FSM!F23</f>
        <v>3573291</v>
      </c>
      <c r="E18" s="121">
        <f>FSM!G23</f>
        <v>4666843.8838800006</v>
      </c>
      <c r="F18" s="121">
        <f>FSM!H23</f>
        <v>5606181.8376159985</v>
      </c>
      <c r="G18" s="121">
        <f>FSM!I23</f>
        <v>6673503.3686824143</v>
      </c>
      <c r="H18" s="121">
        <f>FSM!J23</f>
        <v>7761868.2927647997</v>
      </c>
      <c r="I18" s="121">
        <f>FSM!K23</f>
        <v>8633980.8191967551</v>
      </c>
    </row>
    <row r="19" spans="2:13" x14ac:dyDescent="0.25">
      <c r="B19" s="123" t="s">
        <v>165</v>
      </c>
      <c r="D19" s="125"/>
      <c r="E19" s="106">
        <f>E18/E14</f>
        <v>0.13132545929083594</v>
      </c>
      <c r="F19" s="106">
        <f t="shared" ref="F19:I19" si="3">F18/F14</f>
        <v>0.13633045472524716</v>
      </c>
      <c r="G19" s="106">
        <f t="shared" si="3"/>
        <v>0.14256104207704404</v>
      </c>
      <c r="H19" s="106">
        <f t="shared" si="3"/>
        <v>0.14692772764835504</v>
      </c>
      <c r="I19" s="106">
        <f t="shared" si="3"/>
        <v>0.14641450725228364</v>
      </c>
    </row>
    <row r="20" spans="2:13" x14ac:dyDescent="0.25">
      <c r="B20" s="123"/>
      <c r="D20" s="121"/>
      <c r="E20" s="122"/>
      <c r="F20" s="122"/>
      <c r="G20" s="122"/>
      <c r="H20" s="122"/>
      <c r="I20" s="122"/>
    </row>
    <row r="21" spans="2:13" x14ac:dyDescent="0.25">
      <c r="B21" s="97" t="s">
        <v>167</v>
      </c>
      <c r="D21" s="126">
        <f>D22*D18</f>
        <v>734725.72029534657</v>
      </c>
      <c r="E21" s="126">
        <f t="shared" ref="E21:I21" si="4">E22*E18</f>
        <v>1050039.8738730003</v>
      </c>
      <c r="F21" s="126">
        <f t="shared" si="4"/>
        <v>1261390.9134635997</v>
      </c>
      <c r="G21" s="126">
        <f t="shared" si="4"/>
        <v>1501538.2579535432</v>
      </c>
      <c r="H21" s="126">
        <f t="shared" si="4"/>
        <v>1746420.36587208</v>
      </c>
      <c r="I21" s="126">
        <f t="shared" si="4"/>
        <v>1942645.6843192698</v>
      </c>
    </row>
    <row r="22" spans="2:13" ht="15" customHeight="1" x14ac:dyDescent="0.25">
      <c r="B22" s="123" t="s">
        <v>52</v>
      </c>
      <c r="D22" s="127">
        <f>FSM!F41</f>
        <v>0.20561597706297824</v>
      </c>
      <c r="E22" s="127">
        <f>FSM!G41</f>
        <v>0.22500000000000001</v>
      </c>
      <c r="F22" s="127">
        <f>FSM!H41</f>
        <v>0.22500000000000001</v>
      </c>
      <c r="G22" s="127">
        <f>FSM!I41</f>
        <v>0.22500000000000001</v>
      </c>
      <c r="H22" s="127">
        <f>FSM!J41</f>
        <v>0.22500000000000001</v>
      </c>
      <c r="I22" s="127">
        <f>FSM!K41</f>
        <v>0.22500000000000001</v>
      </c>
    </row>
    <row r="23" spans="2:13" x14ac:dyDescent="0.25">
      <c r="B23" s="128" t="s">
        <v>168</v>
      </c>
      <c r="C23" s="128"/>
      <c r="D23" s="129">
        <f>D18*(1-D22)</f>
        <v>2838565.2797046537</v>
      </c>
      <c r="E23" s="129">
        <f t="shared" ref="E23:I23" si="5">E18*(1-E22)</f>
        <v>3616804.0100070005</v>
      </c>
      <c r="F23" s="129">
        <f t="shared" si="5"/>
        <v>4344790.9241523985</v>
      </c>
      <c r="G23" s="129">
        <f t="shared" si="5"/>
        <v>5171965.1107288711</v>
      </c>
      <c r="H23" s="129">
        <f t="shared" si="5"/>
        <v>6015447.9268927202</v>
      </c>
      <c r="I23" s="129">
        <f t="shared" si="5"/>
        <v>6691335.1348774852</v>
      </c>
    </row>
    <row r="24" spans="2:13" x14ac:dyDescent="0.25">
      <c r="D24" s="120"/>
      <c r="E24" s="120"/>
      <c r="F24" s="120"/>
      <c r="G24" s="120"/>
      <c r="H24" s="120"/>
      <c r="I24" s="120"/>
    </row>
    <row r="25" spans="2:13" x14ac:dyDescent="0.25">
      <c r="B25" s="97" t="s">
        <v>48</v>
      </c>
      <c r="D25" s="122">
        <f>FSM!F30</f>
        <v>522173</v>
      </c>
      <c r="E25" s="122">
        <f ca="1">FSM!G30</f>
        <v>711394.44849144085</v>
      </c>
      <c r="F25" s="122">
        <f ca="1">FSM!H30</f>
        <v>898982.862873359</v>
      </c>
      <c r="G25" s="122">
        <f ca="1">FSM!I30</f>
        <v>1068904.8434533428</v>
      </c>
      <c r="H25" s="122">
        <f ca="1">FSM!J30</f>
        <v>1196485.3970652958</v>
      </c>
      <c r="I25" s="122">
        <f ca="1">FSM!K30</f>
        <v>1282095.3041148947</v>
      </c>
      <c r="M25" s="131"/>
    </row>
    <row r="26" spans="2:13" x14ac:dyDescent="0.25">
      <c r="B26" s="97" t="s">
        <v>169</v>
      </c>
      <c r="D26" s="120"/>
      <c r="E26" s="120">
        <f>D32-E32</f>
        <v>-943320.95700763538</v>
      </c>
      <c r="F26" s="120">
        <f t="shared" ref="F26:I26" si="6">E32-F32</f>
        <v>-988464.50307019521</v>
      </c>
      <c r="G26" s="120">
        <f t="shared" si="6"/>
        <v>-998896.08113805298</v>
      </c>
      <c r="H26" s="120">
        <f t="shared" si="6"/>
        <v>-1049232.6633041147</v>
      </c>
      <c r="I26" s="120">
        <f t="shared" si="6"/>
        <v>-1107010.0072850883</v>
      </c>
      <c r="M26" s="131"/>
    </row>
    <row r="27" spans="2:13" x14ac:dyDescent="0.25">
      <c r="B27" s="97" t="s">
        <v>170</v>
      </c>
      <c r="D27" s="122"/>
      <c r="E27" s="122">
        <f>FSM!G120</f>
        <v>-3198282.7383000003</v>
      </c>
      <c r="F27" s="122">
        <f>FSM!H120</f>
        <v>-3289760.5154559994</v>
      </c>
      <c r="G27" s="122">
        <f>FSM!I120</f>
        <v>-3042750.7588639194</v>
      </c>
      <c r="H27" s="122">
        <f>FSM!J120</f>
        <v>-2377250.9026367324</v>
      </c>
      <c r="I27" s="122">
        <f>FSM!K120</f>
        <v>-2063930.2371259606</v>
      </c>
      <c r="M27" s="131"/>
    </row>
    <row r="28" spans="2:13" x14ac:dyDescent="0.25">
      <c r="B28" s="123" t="s">
        <v>97</v>
      </c>
      <c r="D28" s="122"/>
      <c r="E28" s="106">
        <f>E27/E14</f>
        <v>-0.09</v>
      </c>
      <c r="F28" s="106">
        <f t="shared" ref="F28:I28" si="7">F27/F14</f>
        <v>-0.08</v>
      </c>
      <c r="G28" s="106">
        <f t="shared" si="7"/>
        <v>-6.5000000000000002E-2</v>
      </c>
      <c r="H28" s="106">
        <f t="shared" si="7"/>
        <v>-4.4999999999999998E-2</v>
      </c>
      <c r="I28" s="106">
        <f t="shared" si="7"/>
        <v>-3.5000000000000003E-2</v>
      </c>
      <c r="M28" s="131"/>
    </row>
    <row r="29" spans="2:13" x14ac:dyDescent="0.25">
      <c r="D29" s="122"/>
      <c r="E29" s="122"/>
      <c r="F29" s="122"/>
      <c r="G29" s="122"/>
      <c r="H29" s="122"/>
      <c r="I29" s="122"/>
      <c r="M29" s="131"/>
    </row>
    <row r="30" spans="2:13" x14ac:dyDescent="0.25">
      <c r="B30" s="128" t="s">
        <v>171</v>
      </c>
      <c r="C30" s="128"/>
      <c r="D30" s="130"/>
      <c r="E30" s="130">
        <f t="shared" ref="E30:I30" ca="1" si="8">E23+E25+E26+E27</f>
        <v>186594.76319080591</v>
      </c>
      <c r="F30" s="130">
        <f t="shared" ca="1" si="8"/>
        <v>965548.76849956252</v>
      </c>
      <c r="G30" s="130">
        <f t="shared" ca="1" si="8"/>
        <v>2199223.1141802417</v>
      </c>
      <c r="H30" s="130">
        <f t="shared" ca="1" si="8"/>
        <v>3785449.7580171688</v>
      </c>
      <c r="I30" s="130">
        <f t="shared" ca="1" si="8"/>
        <v>4802490.1945813317</v>
      </c>
      <c r="M30" s="130"/>
    </row>
    <row r="31" spans="2:13" x14ac:dyDescent="0.25">
      <c r="D31" s="122"/>
      <c r="M31" s="131"/>
    </row>
    <row r="32" spans="2:13" x14ac:dyDescent="0.25">
      <c r="B32" s="97" t="s">
        <v>172</v>
      </c>
      <c r="C32" s="122"/>
      <c r="D32" s="122">
        <f>SUM(FSM!F53:F54,FSM!F56)-SUM(FSM!F73,FSM!F75:F76)</f>
        <v>5411525</v>
      </c>
      <c r="E32" s="122">
        <f>SUM(FSM!G53:G54,FSM!G56)-SUM(FSM!G73,FSM!G75:G76)</f>
        <v>6354845.9570076354</v>
      </c>
      <c r="F32" s="122">
        <f>SUM(FSM!H53:H54,FSM!H56)-SUM(FSM!H73,FSM!H75:H76)</f>
        <v>7343310.4600778306</v>
      </c>
      <c r="G32" s="122">
        <f>SUM(FSM!I53:I54,FSM!I56)-SUM(FSM!I73,FSM!I75:I76)</f>
        <v>8342206.5412158836</v>
      </c>
      <c r="H32" s="122">
        <f>SUM(FSM!J53:J54,FSM!J56)-SUM(FSM!J73,FSM!J75:J76)</f>
        <v>9391439.2045199983</v>
      </c>
      <c r="I32" s="122">
        <f>SUM(FSM!K53:K54,FSM!K56)-SUM(FSM!K73,FSM!K75:K76)</f>
        <v>10498449.211805087</v>
      </c>
    </row>
    <row r="33" spans="2:13" x14ac:dyDescent="0.25">
      <c r="B33" s="123" t="s">
        <v>97</v>
      </c>
      <c r="D33" s="106">
        <f>D32/D14</f>
        <v>0.18047773835808073</v>
      </c>
      <c r="E33" s="106">
        <f t="shared" ref="E33:I33" si="9">E32/E14</f>
        <v>0.17882600849563768</v>
      </c>
      <c r="F33" s="106">
        <f t="shared" si="9"/>
        <v>0.17857373934856074</v>
      </c>
      <c r="G33" s="106">
        <f t="shared" si="9"/>
        <v>0.17820829510909117</v>
      </c>
      <c r="H33" s="106">
        <f t="shared" si="9"/>
        <v>0.17777457303082983</v>
      </c>
      <c r="I33" s="106">
        <f t="shared" si="9"/>
        <v>0.17803204575598891</v>
      </c>
      <c r="J33" s="122"/>
    </row>
    <row r="34" spans="2:13" x14ac:dyDescent="0.25">
      <c r="D34"/>
      <c r="E34" s="106"/>
      <c r="F34" s="106"/>
      <c r="G34" s="106"/>
      <c r="H34" s="106"/>
      <c r="I34" s="106"/>
      <c r="J34" s="122"/>
      <c r="K34" s="132"/>
      <c r="M34" s="106"/>
    </row>
    <row r="35" spans="2:13" x14ac:dyDescent="0.25">
      <c r="B35" s="108" t="str">
        <f>"Present value of UFCF on "&amp;TEXT(D7,"mmm dd, yyyy")&amp;" valuation date"</f>
        <v>Present value of UFCF on May 25, 2026 valuation date</v>
      </c>
      <c r="C35" s="109"/>
      <c r="D35" s="133"/>
      <c r="E35" s="109"/>
      <c r="F35" s="133"/>
      <c r="G35" s="133"/>
      <c r="H35" s="133"/>
      <c r="I35" s="133"/>
      <c r="J35" s="122"/>
    </row>
    <row r="36" spans="2:13" ht="17.25" x14ac:dyDescent="0.4">
      <c r="B36" s="128"/>
      <c r="D36" s="134" t="s">
        <v>173</v>
      </c>
      <c r="E36" s="134" t="s">
        <v>174</v>
      </c>
      <c r="F36" s="135" t="s">
        <v>175</v>
      </c>
      <c r="G36" s="135" t="s">
        <v>176</v>
      </c>
      <c r="H36" s="135" t="s">
        <v>177</v>
      </c>
      <c r="I36" s="135" t="s">
        <v>178</v>
      </c>
      <c r="J36" s="122"/>
    </row>
    <row r="37" spans="2:13" x14ac:dyDescent="0.25">
      <c r="B37" s="97" t="s">
        <v>179</v>
      </c>
      <c r="D37" s="136">
        <f>D7</f>
        <v>46167</v>
      </c>
      <c r="E37" s="225">
        <f ca="1">IF($H$7=1,AVERAGE(E12,D37),E12)</f>
        <v>46387</v>
      </c>
      <c r="F37" s="225">
        <f ca="1">IF($H$7=1,AVERAGE(F12,E12),F12)</f>
        <v>46752</v>
      </c>
      <c r="G37" s="225">
        <f ca="1">IF($H$7=1,AVERAGE(G12,F12),G12)</f>
        <v>47118</v>
      </c>
      <c r="H37" s="225">
        <f ca="1">IF($H$7=1,AVERAGE(H12,G12),H12)</f>
        <v>47483</v>
      </c>
      <c r="I37" s="225">
        <f ca="1">IF($H$7=1,AVERAGE(I12,H12),I12)</f>
        <v>47848</v>
      </c>
      <c r="J37" s="122"/>
    </row>
    <row r="38" spans="2:13" x14ac:dyDescent="0.25">
      <c r="B38" s="97" t="s">
        <v>180</v>
      </c>
      <c r="C38" s="137">
        <f>D8</f>
        <v>0.6</v>
      </c>
      <c r="D38" s="131"/>
      <c r="E38" s="138">
        <f ca="1">+E30*C38</f>
        <v>111956.85791448354</v>
      </c>
      <c r="F38" s="138">
        <f t="shared" ref="F38:I38" ca="1" si="10">+F30</f>
        <v>965548.76849956252</v>
      </c>
      <c r="G38" s="138">
        <f t="shared" ca="1" si="10"/>
        <v>2199223.1141802417</v>
      </c>
      <c r="H38" s="138">
        <f t="shared" ca="1" si="10"/>
        <v>3785449.7580171688</v>
      </c>
      <c r="I38" s="138">
        <f t="shared" ca="1" si="10"/>
        <v>4802490.1945813317</v>
      </c>
      <c r="J38" s="120"/>
    </row>
    <row r="39" spans="2:13" ht="15" customHeight="1" x14ac:dyDescent="0.25">
      <c r="B39" s="128" t="s">
        <v>181</v>
      </c>
      <c r="C39" s="139"/>
      <c r="D39" s="130"/>
      <c r="E39" s="130">
        <f ca="1">+E38/(1+$H$4)^((E37-$D$7)/365)</f>
        <v>98066.553160397714</v>
      </c>
      <c r="F39" s="130">
        <f t="shared" ref="F39:I39" ca="1" si="11">+F38/(1+$H$4)^((F37-$D$7)/365)</f>
        <v>678886.65467804705</v>
      </c>
      <c r="G39" s="130">
        <f t="shared" ca="1" si="11"/>
        <v>1240462.6642304005</v>
      </c>
      <c r="H39" s="130">
        <f t="shared" ca="1" si="11"/>
        <v>1713897.0847459729</v>
      </c>
      <c r="I39" s="130">
        <f t="shared" ca="1" si="11"/>
        <v>1745366.3077249073</v>
      </c>
      <c r="J39" s="120"/>
    </row>
    <row r="41" spans="2:13" x14ac:dyDescent="0.25">
      <c r="B41" s="108" t="s">
        <v>182</v>
      </c>
      <c r="C41" s="108"/>
      <c r="E41" s="108" t="s">
        <v>183</v>
      </c>
      <c r="F41" s="109"/>
      <c r="G41" s="109"/>
      <c r="H41" s="109"/>
      <c r="I41" s="109"/>
    </row>
    <row r="42" spans="2:13" x14ac:dyDescent="0.25">
      <c r="B42" s="97" t="s">
        <v>184</v>
      </c>
      <c r="C42" s="140">
        <v>0.1</v>
      </c>
      <c r="E42" s="97" t="s">
        <v>185</v>
      </c>
      <c r="I42" s="131">
        <f ca="1">I16</f>
        <v>9916076.12331165</v>
      </c>
      <c r="J42" s="131"/>
    </row>
    <row r="43" spans="2:13" x14ac:dyDescent="0.25">
      <c r="B43" s="141" t="str">
        <f>YEAR(I12)&amp;" FCF x (1+g)"</f>
        <v>2030 FCF x (1+g)</v>
      </c>
      <c r="C43" s="131">
        <f ca="1">I38*(1+C42)</f>
        <v>5282739.2140394654</v>
      </c>
      <c r="E43" s="97" t="s">
        <v>186</v>
      </c>
      <c r="I43" s="142">
        <v>8</v>
      </c>
      <c r="J43" s="142"/>
    </row>
    <row r="44" spans="2:13" x14ac:dyDescent="0.25">
      <c r="B44" s="97" t="str">
        <f>"Terminal value in "&amp;YEAR(I12)</f>
        <v>Terminal value in 2030</v>
      </c>
      <c r="C44" s="131">
        <f ca="1">+C43/(H4-C42)</f>
        <v>36233616.341174394</v>
      </c>
      <c r="E44" s="97" t="str">
        <f>"Terminal value in "&amp;YEAR(I12)</f>
        <v>Terminal value in 2030</v>
      </c>
      <c r="I44" s="131">
        <f ca="1">+I42*I43</f>
        <v>79328608.9864932</v>
      </c>
      <c r="J44" s="131"/>
    </row>
    <row r="45" spans="2:13" x14ac:dyDescent="0.25">
      <c r="B45" s="97" t="s">
        <v>187</v>
      </c>
      <c r="C45" s="131">
        <f ca="1">+C44/(1+H4)^((I37-$D$37)/365)</f>
        <v>13168362.788178392</v>
      </c>
      <c r="E45" s="97" t="s">
        <v>187</v>
      </c>
      <c r="I45" s="131">
        <f ca="1">+I44/(1+H4)^((I37-D37)/365)</f>
        <v>28830351.703774564</v>
      </c>
      <c r="J45" s="131"/>
    </row>
    <row r="46" spans="2:13" x14ac:dyDescent="0.25">
      <c r="B46" s="97" t="s">
        <v>188</v>
      </c>
      <c r="C46" s="120">
        <f ca="1">+SUM(E39:I39)</f>
        <v>5476679.2645397251</v>
      </c>
      <c r="E46" s="97" t="s">
        <v>188</v>
      </c>
      <c r="I46" s="131">
        <f ca="1">C46</f>
        <v>5476679.2645397251</v>
      </c>
      <c r="J46" s="131"/>
    </row>
    <row r="47" spans="2:13" x14ac:dyDescent="0.25">
      <c r="B47" s="128" t="s">
        <v>189</v>
      </c>
      <c r="C47" s="143">
        <f ca="1">+C45+C46</f>
        <v>18645042.052718118</v>
      </c>
      <c r="E47" s="128" t="s">
        <v>190</v>
      </c>
      <c r="I47" s="143">
        <f ca="1">SUM(I45:I46)</f>
        <v>34307030.96831429</v>
      </c>
      <c r="J47" s="143"/>
    </row>
    <row r="49" spans="2:10" x14ac:dyDescent="0.25">
      <c r="B49" s="144" t="s">
        <v>191</v>
      </c>
      <c r="C49" s="145">
        <f ca="1">+C45/$C$47</f>
        <v>0.706266188670713</v>
      </c>
      <c r="E49" s="144" t="s">
        <v>191</v>
      </c>
      <c r="I49" s="145">
        <f ca="1">+I45/I47</f>
        <v>0.84036277375334678</v>
      </c>
      <c r="J49" s="145"/>
    </row>
    <row r="50" spans="2:10" x14ac:dyDescent="0.25">
      <c r="B50" s="144" t="s">
        <v>192</v>
      </c>
      <c r="C50" s="145">
        <f ca="1">1-C49</f>
        <v>0.293733811329287</v>
      </c>
      <c r="E50" s="144" t="s">
        <v>193</v>
      </c>
      <c r="G50" s="146"/>
      <c r="I50" s="147">
        <f ca="1">1-I49</f>
        <v>0.15963722624665322</v>
      </c>
      <c r="J50" s="147"/>
    </row>
    <row r="51" spans="2:10" x14ac:dyDescent="0.25">
      <c r="B51" s="144" t="s">
        <v>194</v>
      </c>
      <c r="C51" s="148">
        <f ca="1">+C44/I16</f>
        <v>3.6540276507148812</v>
      </c>
      <c r="E51" s="97" t="s">
        <v>195</v>
      </c>
      <c r="I51" s="149">
        <f ca="1">(H4-I38/I44)/(1+I38/I44)</f>
        <v>0.17468230926062206</v>
      </c>
      <c r="J51" s="149"/>
    </row>
    <row r="52" spans="2:10" x14ac:dyDescent="0.25">
      <c r="B52" s="144"/>
      <c r="C52" s="113"/>
      <c r="D52" s="148"/>
      <c r="I52" s="149"/>
      <c r="J52" s="149"/>
    </row>
    <row r="53" spans="2:10" x14ac:dyDescent="0.25">
      <c r="B53" s="108" t="s">
        <v>196</v>
      </c>
      <c r="C53" s="109"/>
      <c r="E53" s="108" t="s">
        <v>84</v>
      </c>
      <c r="F53" s="109"/>
      <c r="G53" s="108"/>
      <c r="H53" s="109"/>
      <c r="I53" s="109"/>
    </row>
    <row r="54" spans="2:10" x14ac:dyDescent="0.25">
      <c r="B54" s="97" t="s">
        <v>197</v>
      </c>
      <c r="C54" s="104"/>
    </row>
    <row r="55" spans="2:10" x14ac:dyDescent="0.25">
      <c r="B55" s="150" t="s">
        <v>198</v>
      </c>
      <c r="C55" s="136"/>
      <c r="G55" s="151" t="s">
        <v>197</v>
      </c>
      <c r="H55" s="152" t="s">
        <v>199</v>
      </c>
      <c r="I55" s="152" t="s">
        <v>200</v>
      </c>
    </row>
    <row r="56" spans="2:10" x14ac:dyDescent="0.25">
      <c r="B56" s="153" t="s">
        <v>201</v>
      </c>
      <c r="C56" s="154"/>
      <c r="E56" s="97" t="s">
        <v>202</v>
      </c>
      <c r="G56" s="104" t="s">
        <v>252</v>
      </c>
      <c r="H56" s="104">
        <f>D4</f>
        <v>46022</v>
      </c>
      <c r="I56" s="155">
        <f>1176756353/1000</f>
        <v>1176756.3529999999</v>
      </c>
      <c r="J56" s="155"/>
    </row>
    <row r="57" spans="2:10" x14ac:dyDescent="0.25">
      <c r="B57" s="123" t="s">
        <v>203</v>
      </c>
      <c r="C57" s="156">
        <f>FSM!F70+FSM!F71+FSM!F72+FSM!F80+FSM!F81</f>
        <v>7260902</v>
      </c>
      <c r="E57" s="150" t="s">
        <v>204</v>
      </c>
      <c r="G57" s="104"/>
      <c r="H57" s="104"/>
      <c r="I57" s="155">
        <v>0</v>
      </c>
      <c r="J57" s="157"/>
    </row>
    <row r="58" spans="2:10" x14ac:dyDescent="0.25">
      <c r="B58" s="123" t="s">
        <v>205</v>
      </c>
      <c r="C58" s="158">
        <v>0</v>
      </c>
      <c r="E58" s="150" t="s">
        <v>206</v>
      </c>
      <c r="G58" s="104"/>
      <c r="H58" s="104"/>
      <c r="I58" s="159">
        <v>0</v>
      </c>
    </row>
    <row r="59" spans="2:10" ht="15" customHeight="1" x14ac:dyDescent="0.25">
      <c r="B59" s="123" t="s">
        <v>207</v>
      </c>
      <c r="C59" s="158">
        <v>0</v>
      </c>
      <c r="E59" s="97" t="s">
        <v>205</v>
      </c>
      <c r="G59" s="104"/>
      <c r="H59" s="104"/>
      <c r="I59" s="159">
        <v>0</v>
      </c>
    </row>
    <row r="60" spans="2:10" x14ac:dyDescent="0.25">
      <c r="B60" s="160" t="s">
        <v>208</v>
      </c>
      <c r="C60" s="156">
        <f>+FSM!F92</f>
        <v>1114</v>
      </c>
      <c r="E60" s="97" t="s">
        <v>209</v>
      </c>
      <c r="G60" s="104"/>
      <c r="H60" s="104"/>
      <c r="I60" s="159">
        <v>0</v>
      </c>
    </row>
    <row r="61" spans="2:10" ht="15" customHeight="1" x14ac:dyDescent="0.25">
      <c r="B61" s="153" t="s">
        <v>210</v>
      </c>
      <c r="E61" s="161" t="s">
        <v>211</v>
      </c>
      <c r="I61" s="162">
        <f>SUM(I56:I60)</f>
        <v>1176756.3529999999</v>
      </c>
      <c r="J61" s="163"/>
    </row>
    <row r="62" spans="2:10" x14ac:dyDescent="0.25">
      <c r="B62" s="164" t="s">
        <v>212</v>
      </c>
      <c r="C62" s="156">
        <f>+FSM!F52</f>
        <v>1091756</v>
      </c>
      <c r="J62" s="165"/>
    </row>
    <row r="63" spans="2:10" x14ac:dyDescent="0.25">
      <c r="B63" s="164" t="s">
        <v>213</v>
      </c>
      <c r="C63" s="156">
        <f>+FSM!F55</f>
        <v>537771</v>
      </c>
      <c r="J63" s="165"/>
    </row>
    <row r="64" spans="2:10" x14ac:dyDescent="0.25">
      <c r="J64" s="166"/>
    </row>
    <row r="65" spans="2:5" x14ac:dyDescent="0.25">
      <c r="B65" s="167" t="s">
        <v>196</v>
      </c>
      <c r="C65" s="168">
        <f>SUM(C57:C60)-SUM(C62:C63)</f>
        <v>5632489</v>
      </c>
    </row>
    <row r="67" spans="2:5" x14ac:dyDescent="0.25">
      <c r="B67" s="108" t="s">
        <v>214</v>
      </c>
      <c r="C67" s="109"/>
      <c r="D67" s="109"/>
    </row>
    <row r="68" spans="2:5" ht="17.25" x14ac:dyDescent="0.4">
      <c r="C68" s="169" t="s">
        <v>215</v>
      </c>
      <c r="D68" s="169" t="s">
        <v>49</v>
      </c>
    </row>
    <row r="69" spans="2:5" x14ac:dyDescent="0.25">
      <c r="B69" s="97" t="s">
        <v>216</v>
      </c>
      <c r="C69" s="170">
        <f ca="1">+C47</f>
        <v>18645042.052718118</v>
      </c>
      <c r="D69" s="170">
        <f ca="1">+I47</f>
        <v>34307030.96831429</v>
      </c>
    </row>
    <row r="70" spans="2:5" x14ac:dyDescent="0.25">
      <c r="B70" s="97" t="s">
        <v>196</v>
      </c>
      <c r="C70" s="171">
        <f>+C65</f>
        <v>5632489</v>
      </c>
      <c r="D70" s="171">
        <f>+C65</f>
        <v>5632489</v>
      </c>
    </row>
    <row r="71" spans="2:5" x14ac:dyDescent="0.25">
      <c r="B71" s="97" t="s">
        <v>217</v>
      </c>
      <c r="C71" s="172">
        <f ca="1">+C69-C70</f>
        <v>13012553.052718118</v>
      </c>
      <c r="D71" s="172">
        <f ca="1">+D69-D70</f>
        <v>28674541.96831429</v>
      </c>
    </row>
    <row r="72" spans="2:5" x14ac:dyDescent="0.25">
      <c r="B72" s="97" t="s">
        <v>84</v>
      </c>
      <c r="C72" s="172">
        <f>$I$56</f>
        <v>1176756.3529999999</v>
      </c>
      <c r="D72" s="172">
        <f>$I$56</f>
        <v>1176756.3529999999</v>
      </c>
    </row>
    <row r="73" spans="2:5" x14ac:dyDescent="0.25">
      <c r="B73" s="128" t="s">
        <v>218</v>
      </c>
      <c r="C73" s="173">
        <f ca="1">+C71/C72</f>
        <v>11.057984109917204</v>
      </c>
      <c r="D73" s="173">
        <f ca="1">+D71/D72</f>
        <v>24.367441820230642</v>
      </c>
    </row>
    <row r="75" spans="2:5" ht="17.25" x14ac:dyDescent="0.4">
      <c r="C75" s="111" t="s">
        <v>219</v>
      </c>
      <c r="D75" s="111"/>
    </row>
    <row r="76" spans="2:5" x14ac:dyDescent="0.25">
      <c r="B76" s="151"/>
      <c r="C76" s="152" t="s">
        <v>215</v>
      </c>
      <c r="D76" s="152" t="s">
        <v>49</v>
      </c>
    </row>
    <row r="77" spans="2:5" x14ac:dyDescent="0.25">
      <c r="B77" s="97" t="s">
        <v>220</v>
      </c>
      <c r="C77" s="174">
        <f ca="1">+C69/$C$14</f>
        <v>0.5789440443048407</v>
      </c>
      <c r="D77" s="174">
        <f ca="1">+D69/$C$14</f>
        <v>1.0652618106587635</v>
      </c>
    </row>
    <row r="78" spans="2:5" x14ac:dyDescent="0.25">
      <c r="B78" s="97" t="s">
        <v>221</v>
      </c>
      <c r="C78" s="175">
        <f ca="1">+C69/$C$16</f>
        <v>4.0457293586119913</v>
      </c>
      <c r="D78" s="175">
        <f ca="1">+D69/$C$16</f>
        <v>7.4441753471446717</v>
      </c>
    </row>
    <row r="79" spans="2:5" x14ac:dyDescent="0.25">
      <c r="B79" s="120" t="s">
        <v>222</v>
      </c>
      <c r="C79" s="175">
        <f ca="1">+C69/$C$18</f>
        <v>4.6488108193467683</v>
      </c>
      <c r="D79" s="175">
        <f ca="1">+D69/$D$18</f>
        <v>9.6009619614843267</v>
      </c>
    </row>
    <row r="80" spans="2:5" ht="17.25" x14ac:dyDescent="0.4">
      <c r="B80" s="120"/>
      <c r="C80" s="111" t="s">
        <v>223</v>
      </c>
      <c r="D80" s="111"/>
      <c r="E80" s="175"/>
    </row>
    <row r="81" spans="2:17" x14ac:dyDescent="0.25">
      <c r="B81" s="151"/>
      <c r="C81" s="152" t="s">
        <v>215</v>
      </c>
      <c r="D81" s="152" t="s">
        <v>49</v>
      </c>
      <c r="E81" s="175"/>
    </row>
    <row r="82" spans="2:17" x14ac:dyDescent="0.25">
      <c r="B82" s="97" t="s">
        <v>220</v>
      </c>
      <c r="C82" s="174">
        <f ca="1">+C69/$E$14</f>
        <v>0.52467337069660547</v>
      </c>
      <c r="D82" s="174">
        <f ca="1">+D69/$E$14</f>
        <v>0.96540332415684782</v>
      </c>
      <c r="E82" s="175"/>
    </row>
    <row r="83" spans="2:17" x14ac:dyDescent="0.25">
      <c r="B83" s="97" t="s">
        <v>221</v>
      </c>
      <c r="C83" s="175">
        <f ca="1">+C69/$E$16</f>
        <v>3.4667563801503953</v>
      </c>
      <c r="D83" s="175">
        <f ca="1">+D69/$E$16</f>
        <v>6.3788602973991289</v>
      </c>
      <c r="E83" s="175"/>
      <c r="F83" s="175"/>
    </row>
    <row r="84" spans="2:17" x14ac:dyDescent="0.25">
      <c r="B84" s="120" t="s">
        <v>222</v>
      </c>
      <c r="C84" s="175">
        <f ca="1">+C69/$E$18</f>
        <v>3.9952144354176862</v>
      </c>
      <c r="D84" s="175">
        <f ca="1">+D69/$E$18</f>
        <v>7.3512274723429414</v>
      </c>
      <c r="E84" s="175"/>
      <c r="F84" s="175"/>
    </row>
    <row r="86" spans="2:17" x14ac:dyDescent="0.25">
      <c r="B86" s="108" t="s">
        <v>224</v>
      </c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</row>
    <row r="87" spans="2:17" x14ac:dyDescent="0.25">
      <c r="B87" s="128"/>
    </row>
    <row r="88" spans="2:17" ht="17.25" customHeight="1" x14ac:dyDescent="0.4">
      <c r="B88" s="176"/>
      <c r="C88" s="128"/>
      <c r="D88" s="177" t="s">
        <v>218</v>
      </c>
      <c r="E88" s="111"/>
      <c r="F88" s="111"/>
      <c r="G88" s="111"/>
      <c r="H88" s="111"/>
      <c r="I88" s="111"/>
      <c r="J88" s="178"/>
      <c r="L88" s="177" t="s">
        <v>225</v>
      </c>
      <c r="M88" s="111"/>
      <c r="N88" s="111"/>
      <c r="O88" s="111"/>
      <c r="P88" s="111"/>
      <c r="Q88" s="111"/>
    </row>
    <row r="89" spans="2:17" ht="15" customHeight="1" x14ac:dyDescent="0.25">
      <c r="B89" s="176"/>
      <c r="D89" s="150"/>
      <c r="E89" s="179" t="s">
        <v>226</v>
      </c>
      <c r="F89" s="179"/>
      <c r="G89" s="179"/>
      <c r="H89" s="179"/>
      <c r="I89" s="179"/>
      <c r="J89" s="180"/>
      <c r="L89" s="179" t="s">
        <v>226</v>
      </c>
      <c r="M89" s="179"/>
      <c r="N89" s="179"/>
      <c r="O89" s="179"/>
      <c r="P89" s="179"/>
      <c r="Q89" s="179"/>
    </row>
    <row r="90" spans="2:17" ht="15" customHeight="1" x14ac:dyDescent="0.25">
      <c r="B90" s="176"/>
      <c r="C90" s="181"/>
      <c r="D90" s="230">
        <f ca="1">C73</f>
        <v>11.057984109917204</v>
      </c>
      <c r="E90" s="233">
        <f>+F90-0.5%</f>
        <v>0.09</v>
      </c>
      <c r="F90" s="182">
        <f>+G90-0.5%</f>
        <v>9.5000000000000001E-2</v>
      </c>
      <c r="G90" s="183">
        <v>0.1</v>
      </c>
      <c r="H90" s="182">
        <f>+G90+0.5%</f>
        <v>0.10500000000000001</v>
      </c>
      <c r="I90" s="234">
        <f>+H90+0.5%</f>
        <v>0.11000000000000001</v>
      </c>
      <c r="K90" s="188"/>
      <c r="L90" s="184">
        <f ca="1">+C78</f>
        <v>4.0457293586119913</v>
      </c>
      <c r="M90" s="233">
        <f>+N90-0.5%</f>
        <v>0.09</v>
      </c>
      <c r="N90" s="182">
        <f>+O90-0.5%</f>
        <v>9.5000000000000001E-2</v>
      </c>
      <c r="O90" s="183">
        <v>0.1</v>
      </c>
      <c r="P90" s="182">
        <f>+O90+0.5%</f>
        <v>0.10500000000000001</v>
      </c>
      <c r="Q90" s="234">
        <f>+P90+0.5%</f>
        <v>0.11000000000000001</v>
      </c>
    </row>
    <row r="91" spans="2:17" ht="15" customHeight="1" x14ac:dyDescent="0.25">
      <c r="B91" s="176"/>
      <c r="D91" s="185">
        <f>+D92+1%</f>
        <v>0.26579663162234174</v>
      </c>
      <c r="E91" s="186">
        <f t="dataTable" ref="E91:I95" dt2D="1" dtr="1" r1="C42" r2="H4" ca="1"/>
        <v>8.1691957477092814</v>
      </c>
      <c r="F91" s="186">
        <v>8.4597244351181402</v>
      </c>
      <c r="G91" s="186">
        <v>8.7677763185392479</v>
      </c>
      <c r="H91" s="186">
        <v>9.0949860587085372</v>
      </c>
      <c r="I91" s="186">
        <v>9.4431981618148164</v>
      </c>
      <c r="J91" s="187"/>
      <c r="L91" s="185">
        <f>+L92+1%</f>
        <v>0.26579663162234174</v>
      </c>
      <c r="M91" s="188">
        <f t="dataTable" ref="M91:Q95" dt2D="1" dtr="1" r1="C42" r2="H4" ca="1"/>
        <v>3.3081041724514799</v>
      </c>
      <c r="N91" s="188">
        <v>3.3822879651925781</v>
      </c>
      <c r="O91" s="188">
        <v>3.4609461427275776</v>
      </c>
      <c r="P91" s="188">
        <v>3.5444961004411404</v>
      </c>
      <c r="Q91" s="188">
        <v>3.6334088157986617</v>
      </c>
    </row>
    <row r="92" spans="2:17" ht="15" customHeight="1" x14ac:dyDescent="0.25">
      <c r="B92" s="176"/>
      <c r="D92" s="185">
        <f>+D93+1%</f>
        <v>0.25579663162234173</v>
      </c>
      <c r="E92" s="186">
        <v>9.1416420995582062</v>
      </c>
      <c r="F92" s="186">
        <v>9.4783441306371277</v>
      </c>
      <c r="G92" s="186">
        <v>9.8366577991162192</v>
      </c>
      <c r="H92" s="186">
        <v>10.218732851694156</v>
      </c>
      <c r="I92" s="186">
        <v>10.627013931690316</v>
      </c>
      <c r="J92" s="187"/>
      <c r="L92" s="185">
        <f>+L93+1%</f>
        <v>0.25579663162234173</v>
      </c>
      <c r="M92" s="188">
        <v>3.5564092856600626</v>
      </c>
      <c r="N92" s="188">
        <v>3.6423830113937776</v>
      </c>
      <c r="O92" s="188">
        <v>3.7338750673274763</v>
      </c>
      <c r="P92" s="188">
        <v>3.8314343712460524</v>
      </c>
      <c r="Q92" s="188">
        <v>3.9356851400381991</v>
      </c>
    </row>
    <row r="93" spans="2:17" ht="15" customHeight="1" x14ac:dyDescent="0.25">
      <c r="B93" s="176"/>
      <c r="C93" s="181" t="s">
        <v>227</v>
      </c>
      <c r="D93" s="189">
        <v>0.24579663162234175</v>
      </c>
      <c r="E93" s="186">
        <v>10.244513935139937</v>
      </c>
      <c r="F93" s="186">
        <v>10.637762809905226</v>
      </c>
      <c r="G93" s="186">
        <v>11.057984109917204</v>
      </c>
      <c r="H93" s="186">
        <v>11.50805138672351</v>
      </c>
      <c r="I93" s="186">
        <v>11.991261405837149</v>
      </c>
      <c r="J93" s="187"/>
      <c r="K93" s="181" t="s">
        <v>227</v>
      </c>
      <c r="L93" s="189">
        <v>0.24579663162234175</v>
      </c>
      <c r="M93" s="188">
        <v>3.8380173306365348</v>
      </c>
      <c r="N93" s="188">
        <v>3.9384297659159597</v>
      </c>
      <c r="O93" s="188">
        <v>4.0457293586119913</v>
      </c>
      <c r="P93" s="188">
        <v>4.160649843332191</v>
      </c>
      <c r="Q93" s="188">
        <v>4.2840330184260225</v>
      </c>
    </row>
    <row r="94" spans="2:17" ht="15" customHeight="1" x14ac:dyDescent="0.25">
      <c r="B94" s="176"/>
      <c r="D94" s="185">
        <f>+D93-1%</f>
        <v>0.23579663162234174</v>
      </c>
      <c r="E94" s="186">
        <v>11.504873449670814</v>
      </c>
      <c r="F94" s="186">
        <v>11.968210616919965</v>
      </c>
      <c r="G94" s="186">
        <v>12.465667714959283</v>
      </c>
      <c r="H94" s="186">
        <v>13.001157680654979</v>
      </c>
      <c r="I94" s="186">
        <v>13.579215556062545</v>
      </c>
      <c r="J94" s="187"/>
      <c r="L94" s="185">
        <f>+L93-1%</f>
        <v>0.23579663162234174</v>
      </c>
      <c r="M94" s="188">
        <v>4.1598383867226421</v>
      </c>
      <c r="N94" s="188">
        <v>4.2781472142983743</v>
      </c>
      <c r="O94" s="188">
        <v>4.4051682482199004</v>
      </c>
      <c r="P94" s="188">
        <v>4.5419006204493</v>
      </c>
      <c r="Q94" s="188">
        <v>4.6895023117110179</v>
      </c>
    </row>
    <row r="95" spans="2:17" ht="15" customHeight="1" x14ac:dyDescent="0.25">
      <c r="B95" s="190" t="s">
        <v>228</v>
      </c>
      <c r="D95" s="232">
        <f>+D94-1%</f>
        <v>0.22579663162234173</v>
      </c>
      <c r="E95" s="186">
        <v>12.95776568890958</v>
      </c>
      <c r="F95" s="186">
        <v>13.509174336279013</v>
      </c>
      <c r="G95" s="186">
        <v>14.104416323242535</v>
      </c>
      <c r="H95" s="186">
        <v>14.748934683145361</v>
      </c>
      <c r="I95" s="186">
        <v>15.449112551522056</v>
      </c>
      <c r="J95" s="187"/>
      <c r="L95" s="232">
        <f>+L94-1%</f>
        <v>0.22579663162234173</v>
      </c>
      <c r="M95" s="188">
        <v>4.5308208797497729</v>
      </c>
      <c r="N95" s="188">
        <v>4.6716179389900443</v>
      </c>
      <c r="O95" s="188">
        <v>4.8236074329898537</v>
      </c>
      <c r="P95" s="188">
        <v>4.988179189587429</v>
      </c>
      <c r="Q95" s="188">
        <v>5.1669630829537425</v>
      </c>
    </row>
    <row r="96" spans="2:17" ht="15" customHeight="1" x14ac:dyDescent="0.25">
      <c r="B96" s="190" t="s">
        <v>229</v>
      </c>
      <c r="E96" s="191"/>
      <c r="F96" s="191"/>
      <c r="G96" s="191"/>
      <c r="H96" s="191"/>
      <c r="I96" s="191"/>
      <c r="J96" s="191"/>
    </row>
    <row r="97" spans="2:17" ht="17.25" customHeight="1" x14ac:dyDescent="0.4">
      <c r="B97" s="176"/>
      <c r="D97" s="177" t="s">
        <v>218</v>
      </c>
      <c r="E97" s="111"/>
      <c r="F97" s="111"/>
      <c r="G97" s="111"/>
      <c r="H97" s="111"/>
      <c r="I97" s="111"/>
      <c r="J97" s="178"/>
      <c r="L97" s="177" t="s">
        <v>225</v>
      </c>
      <c r="M97" s="111"/>
      <c r="N97" s="111"/>
      <c r="O97" s="111"/>
      <c r="P97" s="111"/>
      <c r="Q97" s="111"/>
    </row>
    <row r="98" spans="2:17" ht="15" customHeight="1" x14ac:dyDescent="0.25">
      <c r="B98" s="176"/>
      <c r="E98" s="179" t="s">
        <v>230</v>
      </c>
      <c r="F98" s="179"/>
      <c r="G98" s="179"/>
      <c r="H98" s="179"/>
      <c r="I98" s="179"/>
      <c r="J98" s="180"/>
      <c r="M98" s="179" t="s">
        <v>230</v>
      </c>
      <c r="N98" s="179"/>
      <c r="O98" s="179"/>
      <c r="P98" s="179"/>
      <c r="Q98" s="179"/>
    </row>
    <row r="99" spans="2:17" ht="15" customHeight="1" x14ac:dyDescent="0.25">
      <c r="B99" s="176"/>
      <c r="D99" s="231">
        <f ca="1">D73</f>
        <v>24.367441820230642</v>
      </c>
      <c r="E99" s="235">
        <f>+F99-0.5</f>
        <v>7</v>
      </c>
      <c r="F99" s="235">
        <f>+G99-0.5</f>
        <v>7.5</v>
      </c>
      <c r="G99" s="192">
        <f>I43</f>
        <v>8</v>
      </c>
      <c r="H99" s="235">
        <f>+G99+0.5</f>
        <v>8.5</v>
      </c>
      <c r="I99" s="235">
        <f>+H99+0.5</f>
        <v>9</v>
      </c>
      <c r="J99" s="193"/>
      <c r="L99" s="184">
        <f ca="1">D78</f>
        <v>7.4441753471446717</v>
      </c>
      <c r="M99" s="235">
        <f>+N99-0.5</f>
        <v>7</v>
      </c>
      <c r="N99" s="235">
        <f>+O99-0.5</f>
        <v>7.5</v>
      </c>
      <c r="O99" s="192">
        <f>I43</f>
        <v>8</v>
      </c>
      <c r="P99" s="235">
        <f>+O99+0.5</f>
        <v>8.5</v>
      </c>
      <c r="Q99" s="235">
        <f>+P99+0.5</f>
        <v>9</v>
      </c>
    </row>
    <row r="100" spans="2:17" ht="15" customHeight="1" x14ac:dyDescent="0.25">
      <c r="B100" s="176"/>
      <c r="D100" s="185">
        <f>+D101+1%</f>
        <v>0.26579663162234174</v>
      </c>
      <c r="E100" s="186">
        <f t="dataTable" ref="E100:I104" dt2D="1" dtr="1" r1="I43" r2="H4" ca="1"/>
        <v>19.544473891986382</v>
      </c>
      <c r="F100" s="186">
        <v>18.12152827416983</v>
      </c>
      <c r="G100" s="186">
        <v>18.12152827416983</v>
      </c>
      <c r="H100" s="186">
        <v>19.544473891986382</v>
      </c>
      <c r="I100" s="186">
        <v>22.390365127619496</v>
      </c>
      <c r="J100" s="187"/>
      <c r="L100" s="185">
        <f>+L101+1%</f>
        <v>0.26579663162234174</v>
      </c>
      <c r="M100" s="188">
        <f t="dataTable" ref="M100:Q104" dt2D="1" dtr="1" r1="I43" r2="H4" ca="1"/>
        <v>6.2126754344275303</v>
      </c>
      <c r="N100" s="188">
        <v>5.8493395320923378</v>
      </c>
      <c r="O100" s="188">
        <v>5.8493395320923378</v>
      </c>
      <c r="P100" s="188">
        <v>6.2126754344275303</v>
      </c>
      <c r="Q100" s="188">
        <v>6.9393472390979181</v>
      </c>
    </row>
    <row r="101" spans="2:17" ht="15" customHeight="1" x14ac:dyDescent="0.25">
      <c r="B101" s="176"/>
      <c r="D101" s="185">
        <f>+D102+1%</f>
        <v>0.25579663162234173</v>
      </c>
      <c r="E101" s="186">
        <v>20.405499727314897</v>
      </c>
      <c r="F101" s="186">
        <v>18.92961500371522</v>
      </c>
      <c r="G101" s="186">
        <v>18.92961500371522</v>
      </c>
      <c r="H101" s="186">
        <v>20.405499727314897</v>
      </c>
      <c r="I101" s="186">
        <v>23.357269174514261</v>
      </c>
      <c r="J101" s="187"/>
      <c r="L101" s="185">
        <f>+L102+1%</f>
        <v>0.25579663162234173</v>
      </c>
      <c r="M101" s="188">
        <v>6.432530357128682</v>
      </c>
      <c r="N101" s="188">
        <v>6.0556769474989762</v>
      </c>
      <c r="O101" s="188">
        <v>6.0556769474989762</v>
      </c>
      <c r="P101" s="188">
        <v>6.432530357128682</v>
      </c>
      <c r="Q101" s="188">
        <v>7.1862371763880946</v>
      </c>
    </row>
    <row r="102" spans="2:17" ht="15" customHeight="1" x14ac:dyDescent="0.25">
      <c r="B102" s="176"/>
      <c r="C102" s="181" t="s">
        <v>227</v>
      </c>
      <c r="D102" s="189">
        <v>0.24579663162234175</v>
      </c>
      <c r="E102" s="186">
        <v>21.304960828490611</v>
      </c>
      <c r="F102" s="186">
        <v>19.773720332620599</v>
      </c>
      <c r="G102" s="186">
        <v>19.773720332620599</v>
      </c>
      <c r="H102" s="186">
        <v>21.304960828490611</v>
      </c>
      <c r="I102" s="186">
        <v>24.367441820230642</v>
      </c>
      <c r="J102" s="187"/>
      <c r="K102" s="181" t="s">
        <v>227</v>
      </c>
      <c r="L102" s="189">
        <v>0.24579663162234175</v>
      </c>
      <c r="M102" s="188">
        <v>6.6621993667655746</v>
      </c>
      <c r="N102" s="188">
        <v>6.2712113765760265</v>
      </c>
      <c r="O102" s="188">
        <v>6.2712113765760265</v>
      </c>
      <c r="P102" s="188">
        <v>6.6621993667655746</v>
      </c>
      <c r="Q102" s="188">
        <v>7.4441753471446717</v>
      </c>
    </row>
    <row r="103" spans="2:17" ht="15" customHeight="1" x14ac:dyDescent="0.25">
      <c r="B103" s="176"/>
      <c r="D103" s="185">
        <f>+D102-1%</f>
        <v>0.23579663162234174</v>
      </c>
      <c r="E103" s="186">
        <v>22.244914969332314</v>
      </c>
      <c r="F103" s="186">
        <v>20.655770968442226</v>
      </c>
      <c r="G103" s="186">
        <v>20.655770968442226</v>
      </c>
      <c r="H103" s="186">
        <v>22.244914969332314</v>
      </c>
      <c r="I103" s="186">
        <v>25.423202971112495</v>
      </c>
      <c r="J103" s="187"/>
      <c r="L103" s="185">
        <f>+L102-1%</f>
        <v>0.23579663162234174</v>
      </c>
      <c r="M103" s="188">
        <v>6.9022078967053666</v>
      </c>
      <c r="N103" s="188">
        <v>6.4964347861419833</v>
      </c>
      <c r="O103" s="188">
        <v>6.4964347861419833</v>
      </c>
      <c r="P103" s="188">
        <v>6.9022078967053666</v>
      </c>
      <c r="Q103" s="188">
        <v>7.7137541178321349</v>
      </c>
    </row>
    <row r="104" spans="2:17" ht="15" customHeight="1" x14ac:dyDescent="0.25">
      <c r="B104" s="176"/>
      <c r="D104" s="232">
        <f>+D103-1%</f>
        <v>0.22579663162234173</v>
      </c>
      <c r="E104" s="186">
        <v>23.227548395688011</v>
      </c>
      <c r="F104" s="186">
        <v>21.577813838771263</v>
      </c>
      <c r="G104" s="186">
        <v>21.577813838771263</v>
      </c>
      <c r="H104" s="186">
        <v>23.227548395688011</v>
      </c>
      <c r="I104" s="186">
        <v>26.527017509521514</v>
      </c>
      <c r="J104" s="187"/>
      <c r="L104" s="232">
        <f>+L103-1%</f>
        <v>0.22579663162234173</v>
      </c>
      <c r="M104" s="188">
        <v>7.1531141844505797</v>
      </c>
      <c r="N104" s="188">
        <v>6.7318698400808623</v>
      </c>
      <c r="O104" s="188">
        <v>6.7318698400808623</v>
      </c>
      <c r="P104" s="188">
        <v>7.1531141844505797</v>
      </c>
      <c r="Q104" s="188">
        <v>7.9956028731900153</v>
      </c>
    </row>
    <row r="105" spans="2:17" x14ac:dyDescent="0.25">
      <c r="J105" s="194"/>
    </row>
    <row r="106" spans="2:17" x14ac:dyDescent="0.25">
      <c r="B106" s="195" t="s">
        <v>231</v>
      </c>
      <c r="C106" s="195"/>
      <c r="D106" s="195"/>
      <c r="E106" s="195"/>
      <c r="G106" s="195" t="s">
        <v>232</v>
      </c>
      <c r="H106" s="195"/>
      <c r="I106" s="195"/>
      <c r="J106" s="196"/>
      <c r="K106" s="195"/>
      <c r="L106" s="195"/>
      <c r="M106" s="195"/>
      <c r="N106" s="195"/>
      <c r="O106" s="195"/>
      <c r="P106" s="195"/>
    </row>
    <row r="107" spans="2:17" x14ac:dyDescent="0.25">
      <c r="J107" s="194"/>
    </row>
    <row r="108" spans="2:17" x14ac:dyDescent="0.25">
      <c r="J108" s="194"/>
    </row>
    <row r="109" spans="2:17" x14ac:dyDescent="0.25">
      <c r="J109" s="194"/>
    </row>
    <row r="110" spans="2:17" x14ac:dyDescent="0.25">
      <c r="J110" s="194"/>
    </row>
    <row r="111" spans="2:17" x14ac:dyDescent="0.25">
      <c r="J111" s="194"/>
    </row>
    <row r="112" spans="2:17" x14ac:dyDescent="0.25">
      <c r="J112" s="194"/>
    </row>
    <row r="113" spans="2:17" x14ac:dyDescent="0.25">
      <c r="J113" s="194"/>
    </row>
    <row r="114" spans="2:17" x14ac:dyDescent="0.25">
      <c r="J114" s="194"/>
    </row>
    <row r="115" spans="2:17" x14ac:dyDescent="0.25">
      <c r="J115" s="194"/>
    </row>
    <row r="116" spans="2:17" x14ac:dyDescent="0.25">
      <c r="J116" s="194"/>
    </row>
    <row r="117" spans="2:17" x14ac:dyDescent="0.25">
      <c r="J117" s="194"/>
    </row>
    <row r="118" spans="2:17" x14ac:dyDescent="0.25">
      <c r="J118" s="194"/>
    </row>
    <row r="119" spans="2:17" x14ac:dyDescent="0.25">
      <c r="J119" s="194"/>
    </row>
    <row r="120" spans="2:17" x14ac:dyDescent="0.25">
      <c r="J120" s="194"/>
      <c r="M120" s="197"/>
    </row>
    <row r="121" spans="2:17" x14ac:dyDescent="0.25">
      <c r="J121" s="194"/>
    </row>
    <row r="122" spans="2:17" x14ac:dyDescent="0.25">
      <c r="J122" s="194"/>
    </row>
    <row r="123" spans="2:17" x14ac:dyDescent="0.25">
      <c r="J123" s="194"/>
    </row>
    <row r="124" spans="2:17" x14ac:dyDescent="0.25">
      <c r="J124" s="194"/>
    </row>
    <row r="125" spans="2:17" x14ac:dyDescent="0.25">
      <c r="J125" s="194"/>
    </row>
    <row r="126" spans="2:17" x14ac:dyDescent="0.25">
      <c r="J126" s="194"/>
    </row>
    <row r="127" spans="2:17" x14ac:dyDescent="0.25">
      <c r="B127" s="198"/>
      <c r="C127" s="199" t="s">
        <v>233</v>
      </c>
      <c r="D127" s="199" t="s">
        <v>234</v>
      </c>
      <c r="E127" s="200" t="s">
        <v>235</v>
      </c>
      <c r="G127" s="198"/>
      <c r="H127" s="201"/>
      <c r="I127" s="201"/>
      <c r="J127" s="202"/>
      <c r="K127" s="201"/>
      <c r="L127" s="201"/>
      <c r="M127" s="201"/>
      <c r="N127" s="201"/>
      <c r="O127" s="199" t="s">
        <v>233</v>
      </c>
      <c r="P127" s="199" t="s">
        <v>234</v>
      </c>
      <c r="Q127" s="200" t="s">
        <v>235</v>
      </c>
    </row>
    <row r="128" spans="2:17" x14ac:dyDescent="0.25">
      <c r="B128" s="236" t="str">
        <f>"DCF Value at "&amp;TEXT(E99,"0.0x")&amp;"-"&amp;TEXT(I99,"0.0x")&amp;" Exit EBITDA Range at "&amp;TEXT(D102,"0.0%")&amp;" WACC"</f>
        <v>DCF Value at 7.0x-9.0x Exit EBITDA Range at 24.6% WACC</v>
      </c>
      <c r="C128" s="237">
        <f>E102</f>
        <v>21.304960828490611</v>
      </c>
      <c r="D128" s="237">
        <f>E128-C128</f>
        <v>3.0624809917400313</v>
      </c>
      <c r="E128" s="238">
        <f>I102</f>
        <v>24.367441820230642</v>
      </c>
      <c r="G128" s="236" t="str">
        <f>"LTM EBITDA Purchase Multiple at "&amp;TEXT(M90,"0.0%")&amp;"-"&amp;TEXT(Q90,"0.0%")&amp;" Perpetuity Growth at "&amp;TEXT(L93,"0.0%")&amp;" WACC"</f>
        <v>LTM EBITDA Purchase Multiple at 9.0%-11.0% Perpetuity Growth at 24.6% WACC</v>
      </c>
      <c r="H128"/>
      <c r="I128"/>
      <c r="J128" s="244"/>
      <c r="K128"/>
      <c r="L128"/>
      <c r="M128"/>
      <c r="N128"/>
      <c r="O128" s="245">
        <f>M93</f>
        <v>3.8380173306365348</v>
      </c>
      <c r="P128" s="245">
        <f>Q128-O128</f>
        <v>0.44601568778948764</v>
      </c>
      <c r="Q128" s="246">
        <f>Q93</f>
        <v>4.2840330184260225</v>
      </c>
    </row>
    <row r="129" spans="2:17" x14ac:dyDescent="0.25">
      <c r="B129" s="239" t="str">
        <f>"DCF Value at "&amp;TEXT(E90,"0.0%")&amp;"-"&amp;TEXT(I90,"0.0%")&amp;" Perpetuity Range at "&amp;TEXT(D102,"0.0%")&amp;" WACC"</f>
        <v>DCF Value at 9.0%-11.0% Perpetuity Range at 24.6% WACC</v>
      </c>
      <c r="C129" s="237">
        <f>E93</f>
        <v>10.244513935139937</v>
      </c>
      <c r="D129" s="237">
        <f>E129-C129</f>
        <v>1.7467474706972119</v>
      </c>
      <c r="E129" s="238">
        <f>I93</f>
        <v>11.991261405837149</v>
      </c>
      <c r="G129" s="239" t="str">
        <f>"LTM EBITDA Purchase Multiple at "&amp;TEXT(M102,"0.0x")&amp;"-"&amp;TEXT(Q102,"0.0x")&amp;" Exit EBITDA Multiple at "&amp;TEXT(L102,"0.0%")&amp;" WACC"</f>
        <v>LTM EBITDA Purchase Multiple at 6.7x-7.4x Exit EBITDA Multiple at 24.6% WACC</v>
      </c>
      <c r="H129"/>
      <c r="I129"/>
      <c r="J129" s="244"/>
      <c r="K129"/>
      <c r="L129"/>
      <c r="M129"/>
      <c r="N129"/>
      <c r="O129" s="245">
        <f>M102</f>
        <v>6.6621993667655746</v>
      </c>
      <c r="P129" s="245">
        <f>Q129-O129</f>
        <v>0.7819759803790971</v>
      </c>
      <c r="Q129" s="246">
        <f>Q102</f>
        <v>7.4441753471446717</v>
      </c>
    </row>
    <row r="130" spans="2:17" x14ac:dyDescent="0.25">
      <c r="B130" s="240" t="s">
        <v>236</v>
      </c>
      <c r="C130" s="241">
        <v>169.5</v>
      </c>
      <c r="D130" s="242">
        <f>E130-C130</f>
        <v>158.35000000000002</v>
      </c>
      <c r="E130" s="243">
        <v>327.85</v>
      </c>
      <c r="G130" s="240" t="str">
        <f>"LTM EBITDA Purchase Multiple at "&amp;TEXT(L104,"0.0%")&amp;"-"&amp;TEXT(L100,"0.0%")&amp;" WACC at "&amp;TEXT(O99,"0.0x")&amp;" Exit EBITDA"</f>
        <v>LTM EBITDA Purchase Multiple at 22.6%-26.6% WACC at 8.0x Exit EBITDA</v>
      </c>
      <c r="H130" s="85"/>
      <c r="I130" s="85"/>
      <c r="J130" s="247"/>
      <c r="K130" s="85"/>
      <c r="L130" s="85"/>
      <c r="M130" s="85"/>
      <c r="N130" s="85"/>
      <c r="O130" s="242">
        <f>O100</f>
        <v>5.8493395320923378</v>
      </c>
      <c r="P130" s="242">
        <f>Q130-O130</f>
        <v>0.8825303079885245</v>
      </c>
      <c r="Q130" s="248">
        <f>O104</f>
        <v>6.7318698400808623</v>
      </c>
    </row>
    <row r="131" spans="2:17" x14ac:dyDescent="0.25">
      <c r="J131" s="194"/>
    </row>
    <row r="132" spans="2:17" x14ac:dyDescent="0.25">
      <c r="J132" s="194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C12" sqref="C12"/>
    </sheetView>
  </sheetViews>
  <sheetFormatPr defaultColWidth="9.140625" defaultRowHeight="15" x14ac:dyDescent="0.25"/>
  <cols>
    <col min="1" max="1" width="1.42578125" style="97" customWidth="1"/>
    <col min="2" max="2" width="50.28515625" style="97" customWidth="1"/>
    <col min="3" max="3" width="13.42578125" style="97" customWidth="1"/>
    <col min="4" max="9" width="12.7109375" style="97" customWidth="1"/>
    <col min="10" max="10" width="1.7109375" style="97" customWidth="1"/>
    <col min="11" max="11" width="11" style="97" bestFit="1" customWidth="1"/>
    <col min="12" max="16" width="9.42578125" style="97" customWidth="1"/>
    <col min="17" max="16384" width="9.140625" style="97"/>
  </cols>
  <sheetData>
    <row r="1" spans="2:9" ht="15.75" thickBot="1" x14ac:dyDescent="0.3"/>
    <row r="2" spans="2:9" ht="15.75" thickBot="1" x14ac:dyDescent="0.3">
      <c r="B2" s="98" t="s">
        <v>237</v>
      </c>
      <c r="C2" s="99"/>
      <c r="D2" s="99"/>
      <c r="E2" s="99"/>
      <c r="F2" s="99"/>
      <c r="G2" s="99"/>
      <c r="H2" s="99"/>
      <c r="I2" s="99"/>
    </row>
    <row r="3" spans="2:9" x14ac:dyDescent="0.25">
      <c r="B3" s="100" t="str">
        <f>DCF!B3</f>
        <v xml:space="preserve">EGP and shares in thousands, except per share data </v>
      </c>
    </row>
    <row r="4" spans="2:9" ht="15" customHeight="1" x14ac:dyDescent="0.25">
      <c r="B4" s="204" t="s">
        <v>238</v>
      </c>
      <c r="C4" s="205"/>
      <c r="D4" s="205"/>
      <c r="E4" s="206"/>
      <c r="F4" s="207"/>
    </row>
    <row r="5" spans="2:9" x14ac:dyDescent="0.25">
      <c r="E5" s="151"/>
    </row>
    <row r="6" spans="2:9" ht="15" customHeight="1" x14ac:dyDescent="0.25">
      <c r="B6" s="97" t="s">
        <v>239</v>
      </c>
      <c r="C6" s="210">
        <v>0.22500000000000001</v>
      </c>
    </row>
    <row r="7" spans="2:9" ht="15" customHeight="1" x14ac:dyDescent="0.25">
      <c r="B7" s="97" t="s">
        <v>52</v>
      </c>
      <c r="C7" s="211">
        <f>DCF!I22</f>
        <v>0.22500000000000001</v>
      </c>
    </row>
    <row r="8" spans="2:9" ht="15" customHeight="1" x14ac:dyDescent="0.25">
      <c r="B8" s="97" t="s">
        <v>240</v>
      </c>
      <c r="C8" s="212">
        <f>+C6*(1-C7)</f>
        <v>0.174375</v>
      </c>
    </row>
    <row r="10" spans="2:9" x14ac:dyDescent="0.25">
      <c r="B10" s="97" t="s">
        <v>241</v>
      </c>
      <c r="C10" s="210">
        <v>0.21579999999999999</v>
      </c>
    </row>
    <row r="11" spans="2:9" x14ac:dyDescent="0.25">
      <c r="B11" s="97" t="s">
        <v>242</v>
      </c>
      <c r="C11" s="226">
        <f>(2/3 * 0.65) + (1/3)</f>
        <v>0.76666666666666661</v>
      </c>
    </row>
    <row r="12" spans="2:9" ht="15" customHeight="1" x14ac:dyDescent="0.25">
      <c r="B12" s="97" t="s">
        <v>243</v>
      </c>
      <c r="C12" s="213">
        <v>5.5E-2</v>
      </c>
    </row>
    <row r="13" spans="2:9" x14ac:dyDescent="0.25">
      <c r="B13" s="97" t="s">
        <v>244</v>
      </c>
      <c r="C13" s="214">
        <f>C10+C11*C12</f>
        <v>0.25796666666666668</v>
      </c>
    </row>
    <row r="14" spans="2:9" x14ac:dyDescent="0.25">
      <c r="C14" s="215"/>
    </row>
    <row r="15" spans="2:9" x14ac:dyDescent="0.25">
      <c r="B15" s="208" t="s">
        <v>245</v>
      </c>
      <c r="C15" s="216"/>
      <c r="D15" s="216"/>
      <c r="E15" s="216"/>
    </row>
    <row r="16" spans="2:9" x14ac:dyDescent="0.25">
      <c r="B16" s="128"/>
      <c r="C16" s="181"/>
      <c r="D16" s="181" t="s">
        <v>246</v>
      </c>
    </row>
    <row r="17" spans="2:5" ht="17.25" x14ac:dyDescent="0.4">
      <c r="C17" s="217" t="s">
        <v>247</v>
      </c>
      <c r="D17" s="217" t="s">
        <v>248</v>
      </c>
      <c r="E17" s="217" t="s">
        <v>249</v>
      </c>
    </row>
    <row r="18" spans="2:5" x14ac:dyDescent="0.25">
      <c r="B18" s="97" t="s">
        <v>20</v>
      </c>
      <c r="C18" s="122">
        <f>+DCF!H5*DCF!I61</f>
        <v>33055085.955769997</v>
      </c>
      <c r="D18" s="218"/>
      <c r="E18" s="219">
        <f xml:space="preserve"> C18 / (C18 + C19)</f>
        <v>0.85441090566055355</v>
      </c>
    </row>
    <row r="19" spans="2:5" x14ac:dyDescent="0.25">
      <c r="B19" s="97" t="s">
        <v>203</v>
      </c>
      <c r="C19" s="122">
        <f>+DCF!C65</f>
        <v>5632489</v>
      </c>
      <c r="D19" s="220">
        <f>1-D18%</f>
        <v>1</v>
      </c>
      <c r="E19" s="220">
        <f xml:space="preserve"> C19 / (C18 + C19)</f>
        <v>0.14558909433944633</v>
      </c>
    </row>
    <row r="21" spans="2:5" x14ac:dyDescent="0.25">
      <c r="B21" s="209" t="s">
        <v>250</v>
      </c>
      <c r="C21" s="221"/>
      <c r="D21" s="201"/>
      <c r="E21" s="222">
        <f>+C8*E19+C13*E18</f>
        <v>0.24579663162234175</v>
      </c>
    </row>
    <row r="22" spans="2:5" x14ac:dyDescent="0.25">
      <c r="B22" s="123"/>
      <c r="C22" s="157"/>
    </row>
    <row r="23" spans="2:5" x14ac:dyDescent="0.25">
      <c r="B23" s="123"/>
      <c r="C23" s="157"/>
    </row>
    <row r="24" spans="2:5" x14ac:dyDescent="0.25">
      <c r="B24" s="123"/>
      <c r="C24" s="157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2026-05-31T15:17:10Z</dcterms:modified>
  <dc:language>en-US</dc:language>
</cp:coreProperties>
</file>