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7\LCSW - CA\"/>
    </mc:Choice>
  </mc:AlternateContent>
  <xr:revisionPtr revIDLastSave="0" documentId="13_ncr:1_{D99B33E4-9E21-41D7-870D-633B8DF2A0BF}" xr6:coauthVersionLast="47" xr6:coauthVersionMax="47" xr10:uidLastSave="{00000000-0000-0000-0000-000000000000}"/>
  <bookViews>
    <workbookView xWindow="-120" yWindow="-120" windowWidth="29040" windowHeight="15840" tabRatio="646" activeTab="1" xr2:uid="{00000000-000D-0000-FFFF-FFFF00000000}"/>
  </bookViews>
  <sheets>
    <sheet name="FSM" sheetId="1" r:id="rId1"/>
    <sheet name="DCF" sheetId="2" r:id="rId2"/>
    <sheet name="WACC" sheetId="3" r:id="rId3"/>
    <sheet name="Trading Comps" sheetId="5" r:id="rId4"/>
  </sheets>
  <definedNames>
    <definedName name="CIQWBGuid" localSheetId="1" hidden="1">"DCF_complete.xlsx"</definedName>
    <definedName name="CIQWBGuid" localSheetId="2" hidden="1">"DCF_complete.xlsx"</definedName>
    <definedName name="CIQWBGuid" hidden="1">"a611639b-bab1-425e-aaa5-008c326fdfdb"</definedName>
    <definedName name="Company_Name" localSheetId="0">FSM!$D$5</definedName>
    <definedName name="Company_Name">#REF!</definedName>
    <definedName name="Hist_Yr" localSheetId="0">FSM!#REF!</definedName>
    <definedName name="Hist_Yr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" hidden="1">43549.6880671296</definedName>
    <definedName name="IQ_NAMES_REVISION_DATE_" localSheetId="2" hidden="1">43549.6880671296</definedName>
    <definedName name="IQ_NAMES_REVISION_DATE_" hidden="1">43588.5561574074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LNK841c85bef3244d5c8fb6b3f84988d79e" localSheetId="1" hidden="1">#REF!</definedName>
    <definedName name="MLNK841c85bef3244d5c8fb6b3f84988d79e" localSheetId="2" hidden="1">#REF!</definedName>
    <definedName name="MLNK841c85bef3244d5c8fb6b3f84988d79e" hidden="1">#REF!</definedName>
    <definedName name="MLNKa7775792bf444a4785f8ed5c82461a24" localSheetId="1" hidden="1">#REF!</definedName>
    <definedName name="MLNKa7775792bf444a4785f8ed5c82461a24" localSheetId="2" hidden="1">#REF!</definedName>
    <definedName name="MLNKa7775792bf444a4785f8ed5c82461a24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9" i="1" l="1"/>
  <c r="G43" i="3"/>
  <c r="I43" i="3" s="1"/>
  <c r="H83" i="1"/>
  <c r="I83" i="1" s="1"/>
  <c r="J83" i="1" s="1"/>
  <c r="K83" i="1" s="1"/>
  <c r="G83" i="1"/>
  <c r="D199" i="1"/>
  <c r="E199" i="1"/>
  <c r="F199" i="1"/>
  <c r="C67" i="5"/>
  <c r="F45" i="5"/>
  <c r="F44" i="5"/>
  <c r="B46" i="3"/>
  <c r="C57" i="2"/>
  <c r="F43" i="3"/>
  <c r="I22" i="2"/>
  <c r="H22" i="2"/>
  <c r="G22" i="2"/>
  <c r="F22" i="2"/>
  <c r="E22" i="2"/>
  <c r="C68" i="5"/>
  <c r="C61" i="5"/>
  <c r="C52" i="5"/>
  <c r="F40" i="5"/>
  <c r="E40" i="5"/>
  <c r="F37" i="5"/>
  <c r="F34" i="5"/>
  <c r="E34" i="5"/>
  <c r="D34" i="5"/>
  <c r="C34" i="5"/>
  <c r="F27" i="5"/>
  <c r="F38" i="5" s="1"/>
  <c r="E27" i="5"/>
  <c r="E37" i="5" s="1"/>
  <c r="F26" i="5"/>
  <c r="E26" i="5"/>
  <c r="D26" i="5"/>
  <c r="D40" i="5" s="1"/>
  <c r="F23" i="5"/>
  <c r="E23" i="5"/>
  <c r="D23" i="5"/>
  <c r="C15" i="5"/>
  <c r="C17" i="5" s="1"/>
  <c r="C63" i="5" s="1"/>
  <c r="C72" i="5" s="1"/>
  <c r="F17" i="5"/>
  <c r="E17" i="5"/>
  <c r="D17" i="5"/>
  <c r="C11" i="5"/>
  <c r="C26" i="5" s="1"/>
  <c r="F42" i="3"/>
  <c r="I42" i="3" s="1"/>
  <c r="F41" i="3"/>
  <c r="I41" i="3" s="1"/>
  <c r="F40" i="3"/>
  <c r="I40" i="3" s="1"/>
  <c r="D72" i="2"/>
  <c r="C72" i="2"/>
  <c r="C12" i="3"/>
  <c r="F47" i="5" l="1"/>
  <c r="F46" i="5"/>
  <c r="C60" i="5"/>
  <c r="C62" i="5" s="1"/>
  <c r="C64" i="5" s="1"/>
  <c r="C56" i="5"/>
  <c r="E39" i="5"/>
  <c r="E38" i="5"/>
  <c r="C69" i="5" s="1"/>
  <c r="F39" i="5"/>
  <c r="D27" i="5"/>
  <c r="C40" i="5"/>
  <c r="C45" i="3"/>
  <c r="C46" i="3" s="1"/>
  <c r="I61" i="2"/>
  <c r="C63" i="2"/>
  <c r="C62" i="2"/>
  <c r="C60" i="2"/>
  <c r="C21" i="5" s="1"/>
  <c r="D14" i="2"/>
  <c r="D8" i="2"/>
  <c r="H5" i="2"/>
  <c r="C18" i="3" s="1"/>
  <c r="D37" i="5" l="1"/>
  <c r="D38" i="5"/>
  <c r="D39" i="5"/>
  <c r="C20" i="5"/>
  <c r="C19" i="3"/>
  <c r="E19" i="3" s="1"/>
  <c r="C65" i="2"/>
  <c r="C22" i="5"/>
  <c r="E47" i="5" l="1"/>
  <c r="E46" i="5"/>
  <c r="E45" i="5"/>
  <c r="E44" i="5"/>
  <c r="D47" i="5"/>
  <c r="D46" i="5"/>
  <c r="D44" i="5"/>
  <c r="D45" i="5"/>
  <c r="C51" i="5" s="1"/>
  <c r="C53" i="5" s="1"/>
  <c r="C45" i="5"/>
  <c r="C44" i="5"/>
  <c r="C47" i="5"/>
  <c r="C46" i="5"/>
  <c r="E18" i="3"/>
  <c r="C70" i="2"/>
  <c r="D70" i="2"/>
  <c r="C23" i="5"/>
  <c r="F281" i="1"/>
  <c r="F277" i="1" s="1"/>
  <c r="E281" i="1"/>
  <c r="E277" i="1" s="1"/>
  <c r="D281" i="1"/>
  <c r="G281" i="1" s="1"/>
  <c r="C54" i="5" l="1"/>
  <c r="C55" i="5" s="1"/>
  <c r="C57" i="5" s="1"/>
  <c r="C70" i="5"/>
  <c r="C71" i="5" s="1"/>
  <c r="C73" i="5" s="1"/>
  <c r="C27" i="5"/>
  <c r="D277" i="1"/>
  <c r="H281" i="1"/>
  <c r="C39" i="5" l="1"/>
  <c r="C38" i="5"/>
  <c r="C37" i="5"/>
  <c r="I281" i="1"/>
  <c r="J281" i="1" l="1"/>
  <c r="K281" i="1" l="1"/>
  <c r="F95" i="1" l="1"/>
  <c r="F97" i="1" s="1"/>
  <c r="E95" i="1"/>
  <c r="E97" i="1" s="1"/>
  <c r="F86" i="1"/>
  <c r="E86" i="1"/>
  <c r="F78" i="1"/>
  <c r="E78" i="1"/>
  <c r="F64" i="1"/>
  <c r="E64" i="1"/>
  <c r="F56" i="1"/>
  <c r="E56" i="1"/>
  <c r="D259" i="1"/>
  <c r="E259" i="1"/>
  <c r="F259" i="1"/>
  <c r="G131" i="1"/>
  <c r="E66" i="1" l="1"/>
  <c r="E88" i="1"/>
  <c r="E99" i="1" s="1"/>
  <c r="E101" i="1" s="1"/>
  <c r="F66" i="1"/>
  <c r="F88" i="1"/>
  <c r="F99" i="1" s="1"/>
  <c r="F101" i="1" l="1"/>
  <c r="D150" i="1" l="1"/>
  <c r="D151" i="1" s="1"/>
  <c r="E150" i="1"/>
  <c r="F150" i="1"/>
  <c r="F224" i="1"/>
  <c r="E224" i="1"/>
  <c r="D224" i="1"/>
  <c r="F226" i="1"/>
  <c r="G223" i="1" s="1"/>
  <c r="E226" i="1"/>
  <c r="F223" i="1" s="1"/>
  <c r="D226" i="1"/>
  <c r="E223" i="1" s="1"/>
  <c r="F220" i="1" l="1"/>
  <c r="G217" i="1" s="1"/>
  <c r="E220" i="1"/>
  <c r="F217" i="1" s="1"/>
  <c r="D220" i="1"/>
  <c r="E217" i="1" s="1"/>
  <c r="G85" i="1"/>
  <c r="H85" i="1" s="1"/>
  <c r="I85" i="1" s="1"/>
  <c r="J85" i="1" s="1"/>
  <c r="K85" i="1" s="1"/>
  <c r="F242" i="1"/>
  <c r="E242" i="1"/>
  <c r="D242" i="1"/>
  <c r="F247" i="1"/>
  <c r="E247" i="1"/>
  <c r="D247" i="1"/>
  <c r="F246" i="1"/>
  <c r="E246" i="1"/>
  <c r="D246" i="1"/>
  <c r="F245" i="1"/>
  <c r="E245" i="1"/>
  <c r="D245" i="1"/>
  <c r="F244" i="1"/>
  <c r="G244" i="1" s="1"/>
  <c r="E244" i="1"/>
  <c r="D244" i="1"/>
  <c r="F241" i="1"/>
  <c r="G236" i="1" s="1"/>
  <c r="E241" i="1"/>
  <c r="F236" i="1" s="1"/>
  <c r="D241" i="1"/>
  <c r="E236" i="1" s="1"/>
  <c r="G63" i="1"/>
  <c r="H63" i="1" s="1"/>
  <c r="I63" i="1" s="1"/>
  <c r="J63" i="1" s="1"/>
  <c r="K63" i="1" s="1"/>
  <c r="G62" i="1"/>
  <c r="H62" i="1" s="1"/>
  <c r="I62" i="1" s="1"/>
  <c r="J62" i="1" s="1"/>
  <c r="K62" i="1" s="1"/>
  <c r="F271" i="1"/>
  <c r="E271" i="1"/>
  <c r="F270" i="1"/>
  <c r="E270" i="1"/>
  <c r="D271" i="1"/>
  <c r="D270" i="1"/>
  <c r="F268" i="1"/>
  <c r="G265" i="1" s="1"/>
  <c r="E268" i="1"/>
  <c r="F265" i="1" s="1"/>
  <c r="D268" i="1"/>
  <c r="E265" i="1" s="1"/>
  <c r="F258" i="1"/>
  <c r="E258" i="1"/>
  <c r="D258" i="1"/>
  <c r="F256" i="1"/>
  <c r="G253" i="1" s="1"/>
  <c r="E256" i="1"/>
  <c r="F253" i="1" s="1"/>
  <c r="D256" i="1"/>
  <c r="E253" i="1" s="1"/>
  <c r="D152" i="1"/>
  <c r="E152" i="1"/>
  <c r="F151" i="1"/>
  <c r="F145" i="1"/>
  <c r="E145" i="1"/>
  <c r="D145" i="1"/>
  <c r="D146" i="1"/>
  <c r="F143" i="1"/>
  <c r="G140" i="1" s="1"/>
  <c r="E143" i="1"/>
  <c r="F140" i="1" s="1"/>
  <c r="F146" i="1" s="1"/>
  <c r="D143" i="1"/>
  <c r="E140" i="1" s="1"/>
  <c r="E146" i="1" s="1"/>
  <c r="G93" i="1"/>
  <c r="H93" i="1" s="1"/>
  <c r="I93" i="1" s="1"/>
  <c r="J93" i="1" s="1"/>
  <c r="K93" i="1" s="1"/>
  <c r="G92" i="1"/>
  <c r="H92" i="1" s="1"/>
  <c r="I92" i="1" s="1"/>
  <c r="J92" i="1" s="1"/>
  <c r="K92" i="1" s="1"/>
  <c r="G91" i="1"/>
  <c r="H91" i="1" s="1"/>
  <c r="I91" i="1" s="1"/>
  <c r="J91" i="1" s="1"/>
  <c r="K91" i="1" s="1"/>
  <c r="G76" i="1"/>
  <c r="H76" i="1" s="1"/>
  <c r="I76" i="1" s="1"/>
  <c r="J76" i="1" s="1"/>
  <c r="K76" i="1" s="1"/>
  <c r="G84" i="1"/>
  <c r="H84" i="1" s="1"/>
  <c r="I84" i="1" s="1"/>
  <c r="J84" i="1" s="1"/>
  <c r="K84" i="1" s="1"/>
  <c r="G73" i="1"/>
  <c r="H73" i="1" s="1"/>
  <c r="I73" i="1" s="1"/>
  <c r="J73" i="1" s="1"/>
  <c r="K73" i="1" s="1"/>
  <c r="G71" i="1"/>
  <c r="G81" i="1"/>
  <c r="H81" i="1" s="1"/>
  <c r="F176" i="1"/>
  <c r="F190" i="1" s="1"/>
  <c r="E176" i="1"/>
  <c r="E190" i="1" s="1"/>
  <c r="F175" i="1"/>
  <c r="E175" i="1"/>
  <c r="F181" i="1"/>
  <c r="E181" i="1"/>
  <c r="F180" i="1"/>
  <c r="E180" i="1"/>
  <c r="D181" i="1"/>
  <c r="D180" i="1"/>
  <c r="D176" i="1"/>
  <c r="D175" i="1"/>
  <c r="D189" i="1" s="1"/>
  <c r="G198" i="1"/>
  <c r="G208" i="1" s="1"/>
  <c r="F198" i="1"/>
  <c r="E198" i="1"/>
  <c r="D191" i="1" l="1"/>
  <c r="D182" i="1"/>
  <c r="F191" i="1"/>
  <c r="F182" i="1"/>
  <c r="E191" i="1"/>
  <c r="E182" i="1"/>
  <c r="I81" i="1"/>
  <c r="H71" i="1"/>
  <c r="H244" i="1"/>
  <c r="G258" i="1"/>
  <c r="H258" i="1" s="1"/>
  <c r="G242" i="1"/>
  <c r="H242" i="1" s="1"/>
  <c r="I242" i="1" s="1"/>
  <c r="J242" i="1" s="1"/>
  <c r="K242" i="1" s="1"/>
  <c r="D177" i="1"/>
  <c r="G145" i="1"/>
  <c r="H145" i="1" s="1"/>
  <c r="G247" i="1"/>
  <c r="H247" i="1" s="1"/>
  <c r="I247" i="1" s="1"/>
  <c r="G246" i="1"/>
  <c r="H246" i="1" s="1"/>
  <c r="G245" i="1"/>
  <c r="H245" i="1" s="1"/>
  <c r="I245" i="1" s="1"/>
  <c r="I244" i="1"/>
  <c r="J244" i="1" s="1"/>
  <c r="K244" i="1" s="1"/>
  <c r="G271" i="1"/>
  <c r="H271" i="1" s="1"/>
  <c r="G270" i="1"/>
  <c r="H270" i="1" s="1"/>
  <c r="I270" i="1" s="1"/>
  <c r="G259" i="1"/>
  <c r="H259" i="1" s="1"/>
  <c r="I259" i="1" s="1"/>
  <c r="F177" i="1"/>
  <c r="E151" i="1"/>
  <c r="D190" i="1"/>
  <c r="G190" i="1" s="1"/>
  <c r="H190" i="1" s="1"/>
  <c r="G146" i="1"/>
  <c r="E177" i="1"/>
  <c r="E189" i="1"/>
  <c r="G191" i="1"/>
  <c r="F200" i="1"/>
  <c r="F201" i="1" s="1"/>
  <c r="C8" i="3" s="1"/>
  <c r="F189" i="1"/>
  <c r="F152" i="1"/>
  <c r="E200" i="1"/>
  <c r="E201" i="1" s="1"/>
  <c r="I71" i="1" l="1"/>
  <c r="J81" i="1"/>
  <c r="D184" i="1"/>
  <c r="D185" i="1" s="1"/>
  <c r="F184" i="1"/>
  <c r="J247" i="1"/>
  <c r="I246" i="1"/>
  <c r="J246" i="1" s="1"/>
  <c r="J245" i="1"/>
  <c r="G189" i="1"/>
  <c r="H189" i="1" s="1"/>
  <c r="I258" i="1"/>
  <c r="I145" i="1"/>
  <c r="I271" i="1"/>
  <c r="E184" i="1"/>
  <c r="H191" i="1"/>
  <c r="G142" i="1"/>
  <c r="H146" i="1"/>
  <c r="I146" i="1" s="1"/>
  <c r="J146" i="1" s="1"/>
  <c r="K146" i="1" s="1"/>
  <c r="J259" i="1"/>
  <c r="I190" i="1"/>
  <c r="J270" i="1"/>
  <c r="E186" i="1" l="1"/>
  <c r="K81" i="1"/>
  <c r="F185" i="1"/>
  <c r="D32" i="2"/>
  <c r="J71" i="1"/>
  <c r="H201" i="1"/>
  <c r="G27" i="1"/>
  <c r="G108" i="1"/>
  <c r="K247" i="1"/>
  <c r="K245" i="1"/>
  <c r="K246" i="1"/>
  <c r="J271" i="1"/>
  <c r="J190" i="1"/>
  <c r="K259" i="1"/>
  <c r="J258" i="1"/>
  <c r="E185" i="1"/>
  <c r="F186" i="1"/>
  <c r="J145" i="1"/>
  <c r="I189" i="1"/>
  <c r="I191" i="1"/>
  <c r="K270" i="1"/>
  <c r="K71" i="1" l="1"/>
  <c r="D33" i="2"/>
  <c r="J191" i="1"/>
  <c r="K145" i="1"/>
  <c r="K258" i="1"/>
  <c r="K190" i="1"/>
  <c r="J189" i="1"/>
  <c r="K271" i="1"/>
  <c r="J201" i="1"/>
  <c r="K189" i="1" l="1"/>
  <c r="K191" i="1"/>
  <c r="K201" i="1"/>
  <c r="F204" i="1" l="1"/>
  <c r="E204" i="1"/>
  <c r="D204" i="1"/>
  <c r="F210" i="1"/>
  <c r="E210" i="1"/>
  <c r="D210" i="1"/>
  <c r="D40" i="1"/>
  <c r="E40" i="1"/>
  <c r="F40" i="1"/>
  <c r="G40" i="1" s="1"/>
  <c r="H40" i="1" s="1"/>
  <c r="I40" i="1" s="1"/>
  <c r="J40" i="1" s="1"/>
  <c r="K40" i="1" s="1"/>
  <c r="C2" i="1"/>
  <c r="F44" i="1"/>
  <c r="E44" i="1"/>
  <c r="D44" i="1"/>
  <c r="F43" i="1"/>
  <c r="E43" i="1"/>
  <c r="D43" i="1"/>
  <c r="F42" i="1"/>
  <c r="E42" i="1"/>
  <c r="D42" i="1"/>
  <c r="F41" i="1"/>
  <c r="E41" i="1"/>
  <c r="D41" i="1"/>
  <c r="D38" i="1"/>
  <c r="F38" i="1"/>
  <c r="E38" i="1"/>
  <c r="G161" i="1"/>
  <c r="H161" i="1" s="1"/>
  <c r="I161" i="1" s="1"/>
  <c r="J161" i="1" s="1"/>
  <c r="K161" i="1" s="1"/>
  <c r="G160" i="1"/>
  <c r="H160" i="1" s="1"/>
  <c r="I160" i="1" s="1"/>
  <c r="J160" i="1" s="1"/>
  <c r="K160" i="1" s="1"/>
  <c r="G159" i="1"/>
  <c r="H159" i="1" s="1"/>
  <c r="I159" i="1" s="1"/>
  <c r="F168" i="1"/>
  <c r="E168" i="1"/>
  <c r="F167" i="1"/>
  <c r="E167" i="1"/>
  <c r="F166" i="1"/>
  <c r="E166" i="1"/>
  <c r="F162" i="1"/>
  <c r="F164" i="1" s="1"/>
  <c r="E162" i="1"/>
  <c r="E164" i="1" s="1"/>
  <c r="D162" i="1"/>
  <c r="D164" i="1" s="1"/>
  <c r="D86" i="1"/>
  <c r="D95" i="1"/>
  <c r="D97" i="1" s="1"/>
  <c r="D78" i="1"/>
  <c r="D56" i="1"/>
  <c r="D64" i="1"/>
  <c r="F18" i="1"/>
  <c r="F24" i="1" s="1"/>
  <c r="E18" i="1"/>
  <c r="E24" i="1" s="1"/>
  <c r="D18" i="1"/>
  <c r="D24" i="1" s="1"/>
  <c r="F34" i="1" l="1"/>
  <c r="D18" i="2"/>
  <c r="D28" i="1"/>
  <c r="D45" i="1" s="1"/>
  <c r="D34" i="1"/>
  <c r="D35" i="1" s="1"/>
  <c r="E28" i="1"/>
  <c r="E34" i="1"/>
  <c r="E35" i="1" s="1"/>
  <c r="E205" i="1"/>
  <c r="E206" i="1" s="1"/>
  <c r="F205" i="1"/>
  <c r="F206" i="1" s="1"/>
  <c r="F28" i="1"/>
  <c r="G43" i="1"/>
  <c r="H43" i="1" s="1"/>
  <c r="I43" i="1" s="1"/>
  <c r="J43" i="1" s="1"/>
  <c r="K43" i="1" s="1"/>
  <c r="G44" i="1"/>
  <c r="H44" i="1" s="1"/>
  <c r="G42" i="1"/>
  <c r="H42" i="1" s="1"/>
  <c r="I42" i="1" s="1"/>
  <c r="G41" i="1"/>
  <c r="H41" i="1" s="1"/>
  <c r="I41" i="1" s="1"/>
  <c r="E39" i="1"/>
  <c r="F39" i="1"/>
  <c r="D39" i="1"/>
  <c r="G162" i="1"/>
  <c r="G16" i="1" s="1"/>
  <c r="E14" i="2" s="1"/>
  <c r="J159" i="1"/>
  <c r="I162" i="1"/>
  <c r="H162" i="1"/>
  <c r="C28" i="3"/>
  <c r="C27" i="3" s="1"/>
  <c r="C26" i="3" s="1"/>
  <c r="F14" i="1"/>
  <c r="F13" i="1"/>
  <c r="Q130" i="2"/>
  <c r="O130" i="2"/>
  <c r="D130" i="2"/>
  <c r="Q129" i="2"/>
  <c r="O129" i="2"/>
  <c r="E129" i="2"/>
  <c r="C129" i="2"/>
  <c r="Q128" i="2"/>
  <c r="O128" i="2"/>
  <c r="E128" i="2"/>
  <c r="C128" i="2"/>
  <c r="O99" i="2"/>
  <c r="P99" i="2" s="1"/>
  <c r="Q99" i="2" s="1"/>
  <c r="G99" i="2"/>
  <c r="H99" i="2" s="1"/>
  <c r="I99" i="2" s="1"/>
  <c r="O90" i="2"/>
  <c r="P90" i="2" s="1"/>
  <c r="Q90" i="2" s="1"/>
  <c r="G90" i="2"/>
  <c r="H90" i="2" s="1"/>
  <c r="I90" i="2" s="1"/>
  <c r="C38" i="2"/>
  <c r="D37" i="2"/>
  <c r="B35" i="2"/>
  <c r="D12" i="2"/>
  <c r="E12" i="2" s="1"/>
  <c r="C12" i="2"/>
  <c r="D5" i="2"/>
  <c r="B3" i="2"/>
  <c r="B3" i="3" s="1"/>
  <c r="C14" i="2" l="1"/>
  <c r="E15" i="2"/>
  <c r="F30" i="1"/>
  <c r="F230" i="1" s="1"/>
  <c r="G230" i="1" s="1"/>
  <c r="F45" i="1"/>
  <c r="D22" i="2" s="1"/>
  <c r="D23" i="2" s="1"/>
  <c r="D19" i="2"/>
  <c r="D30" i="1"/>
  <c r="D229" i="1" s="1"/>
  <c r="E30" i="1"/>
  <c r="E230" i="1" s="1"/>
  <c r="E45" i="1"/>
  <c r="F35" i="1"/>
  <c r="D16" i="2"/>
  <c r="D17" i="2" s="1"/>
  <c r="G237" i="1"/>
  <c r="G277" i="1"/>
  <c r="F155" i="1"/>
  <c r="F274" i="1"/>
  <c r="F172" i="1"/>
  <c r="F275" i="1"/>
  <c r="G206" i="1"/>
  <c r="H206" i="1" s="1"/>
  <c r="D230" i="1"/>
  <c r="G239" i="1"/>
  <c r="G126" i="1" s="1"/>
  <c r="G240" i="1"/>
  <c r="G238" i="1"/>
  <c r="G255" i="1"/>
  <c r="G141" i="1"/>
  <c r="G176" i="1"/>
  <c r="G54" i="1" s="1"/>
  <c r="G267" i="1"/>
  <c r="G150" i="1" s="1"/>
  <c r="G254" i="1"/>
  <c r="G119" i="1" s="1"/>
  <c r="G266" i="1"/>
  <c r="G120" i="1" s="1"/>
  <c r="G164" i="1"/>
  <c r="I16" i="1"/>
  <c r="G21" i="1"/>
  <c r="G22" i="1"/>
  <c r="G20" i="1"/>
  <c r="G38" i="1"/>
  <c r="G23" i="1"/>
  <c r="G19" i="1"/>
  <c r="G17" i="1"/>
  <c r="H16" i="1"/>
  <c r="J41" i="1"/>
  <c r="J42" i="1"/>
  <c r="K159" i="1"/>
  <c r="K162" i="1" s="1"/>
  <c r="J162" i="1"/>
  <c r="D66" i="1"/>
  <c r="E13" i="1"/>
  <c r="F48" i="1"/>
  <c r="D88" i="1"/>
  <c r="D99" i="1" s="1"/>
  <c r="F138" i="1"/>
  <c r="G14" i="1"/>
  <c r="G275" i="1" s="1"/>
  <c r="F156" i="1"/>
  <c r="G13" i="1"/>
  <c r="G274" i="1" s="1"/>
  <c r="F171" i="1"/>
  <c r="E14" i="1"/>
  <c r="F49" i="1"/>
  <c r="F90" i="2"/>
  <c r="E90" i="2" s="1"/>
  <c r="D128" i="2"/>
  <c r="D129" i="2"/>
  <c r="N99" i="2"/>
  <c r="M99" i="2" s="1"/>
  <c r="F99" i="2"/>
  <c r="E99" i="2" s="1"/>
  <c r="P130" i="2"/>
  <c r="P129" i="2"/>
  <c r="N90" i="2"/>
  <c r="M90" i="2" s="1"/>
  <c r="E37" i="2"/>
  <c r="F12" i="2"/>
  <c r="P128" i="2"/>
  <c r="F250" i="1"/>
  <c r="F194" i="1"/>
  <c r="F262" i="1"/>
  <c r="F233" i="1"/>
  <c r="F213" i="1"/>
  <c r="F251" i="1"/>
  <c r="F263" i="1"/>
  <c r="F195" i="1"/>
  <c r="F234" i="1"/>
  <c r="F214" i="1"/>
  <c r="F137" i="1"/>
  <c r="C29" i="3"/>
  <c r="C30" i="3" s="1"/>
  <c r="E31" i="1" l="1"/>
  <c r="E218" i="1" s="1"/>
  <c r="E228" i="1" s="1"/>
  <c r="E229" i="1"/>
  <c r="F31" i="1"/>
  <c r="F218" i="1" s="1"/>
  <c r="F228" i="1" s="1"/>
  <c r="H228" i="1" s="1"/>
  <c r="I228" i="1" s="1"/>
  <c r="H277" i="1"/>
  <c r="F14" i="2"/>
  <c r="F15" i="2" s="1"/>
  <c r="I277" i="1"/>
  <c r="G14" i="2"/>
  <c r="G15" i="2" s="1"/>
  <c r="D31" i="1"/>
  <c r="D218" i="1" s="1"/>
  <c r="D21" i="2"/>
  <c r="E27" i="2"/>
  <c r="E28" i="2" s="1"/>
  <c r="G143" i="1"/>
  <c r="G59" i="1" s="1"/>
  <c r="F229" i="1"/>
  <c r="G229" i="1" s="1"/>
  <c r="H229" i="1" s="1"/>
  <c r="E172" i="1"/>
  <c r="E275" i="1"/>
  <c r="E48" i="1"/>
  <c r="E274" i="1"/>
  <c r="I206" i="1"/>
  <c r="G118" i="1"/>
  <c r="G121" i="1" s="1"/>
  <c r="H230" i="1"/>
  <c r="G109" i="1"/>
  <c r="G151" i="1"/>
  <c r="G152" i="1"/>
  <c r="E25" i="2" s="1"/>
  <c r="G268" i="1"/>
  <c r="G61" i="1" s="1"/>
  <c r="G241" i="1"/>
  <c r="G82" i="1" s="1"/>
  <c r="G86" i="1" s="1"/>
  <c r="H240" i="1"/>
  <c r="H237" i="1"/>
  <c r="H239" i="1"/>
  <c r="H126" i="1" s="1"/>
  <c r="H238" i="1"/>
  <c r="I237" i="1"/>
  <c r="I240" i="1"/>
  <c r="I238" i="1"/>
  <c r="I239" i="1"/>
  <c r="I126" i="1" s="1"/>
  <c r="G256" i="1"/>
  <c r="G60" i="1" s="1"/>
  <c r="H266" i="1"/>
  <c r="H120" i="1" s="1"/>
  <c r="H255" i="1"/>
  <c r="H267" i="1"/>
  <c r="H150" i="1" s="1"/>
  <c r="H176" i="1"/>
  <c r="H54" i="1" s="1"/>
  <c r="H254" i="1"/>
  <c r="H119" i="1" s="1"/>
  <c r="H141" i="1"/>
  <c r="I21" i="1"/>
  <c r="I266" i="1"/>
  <c r="I120" i="1" s="1"/>
  <c r="I255" i="1"/>
  <c r="I267" i="1"/>
  <c r="I150" i="1" s="1"/>
  <c r="I254" i="1"/>
  <c r="I119" i="1" s="1"/>
  <c r="I141" i="1"/>
  <c r="I176" i="1"/>
  <c r="I54" i="1" s="1"/>
  <c r="G18" i="1"/>
  <c r="G24" i="1" s="1"/>
  <c r="E18" i="2" s="1"/>
  <c r="G175" i="1"/>
  <c r="G180" i="1"/>
  <c r="G75" i="1" s="1"/>
  <c r="I20" i="1"/>
  <c r="I17" i="1"/>
  <c r="K16" i="1"/>
  <c r="I14" i="2" s="1"/>
  <c r="H22" i="1"/>
  <c r="H17" i="1"/>
  <c r="H38" i="1"/>
  <c r="H19" i="1"/>
  <c r="H23" i="1"/>
  <c r="H21" i="1"/>
  <c r="H20" i="1"/>
  <c r="H164" i="1"/>
  <c r="J16" i="1"/>
  <c r="I38" i="1"/>
  <c r="I19" i="1"/>
  <c r="I23" i="1"/>
  <c r="I22" i="1"/>
  <c r="I164" i="1"/>
  <c r="K42" i="1"/>
  <c r="K41" i="1"/>
  <c r="D101" i="1"/>
  <c r="E155" i="1"/>
  <c r="E213" i="1"/>
  <c r="E233" i="1"/>
  <c r="G262" i="1"/>
  <c r="D13" i="1"/>
  <c r="G250" i="1"/>
  <c r="E194" i="1"/>
  <c r="E137" i="1"/>
  <c r="H13" i="1"/>
  <c r="G104" i="1"/>
  <c r="E250" i="1"/>
  <c r="E171" i="1"/>
  <c r="G137" i="1"/>
  <c r="E262" i="1"/>
  <c r="G171" i="1"/>
  <c r="E263" i="1"/>
  <c r="G195" i="1"/>
  <c r="G156" i="1"/>
  <c r="E214" i="1"/>
  <c r="G138" i="1"/>
  <c r="G214" i="1"/>
  <c r="E234" i="1"/>
  <c r="E195" i="1"/>
  <c r="E138" i="1"/>
  <c r="G172" i="1"/>
  <c r="G234" i="1"/>
  <c r="G48" i="1"/>
  <c r="G213" i="1"/>
  <c r="G155" i="1"/>
  <c r="E251" i="1"/>
  <c r="G251" i="1"/>
  <c r="G194" i="1"/>
  <c r="G233" i="1"/>
  <c r="D14" i="1"/>
  <c r="D275" i="1" s="1"/>
  <c r="E156" i="1"/>
  <c r="E49" i="1"/>
  <c r="G49" i="1"/>
  <c r="G263" i="1"/>
  <c r="G105" i="1"/>
  <c r="H14" i="1"/>
  <c r="H275" i="1" s="1"/>
  <c r="H233" i="1"/>
  <c r="F37" i="2"/>
  <c r="G12" i="2"/>
  <c r="J277" i="1" l="1"/>
  <c r="H14" i="2"/>
  <c r="H15" i="2" s="1"/>
  <c r="I118" i="1"/>
  <c r="I121" i="1" s="1"/>
  <c r="G27" i="2"/>
  <c r="G28" i="2" s="1"/>
  <c r="C18" i="2"/>
  <c r="E23" i="2"/>
  <c r="E19" i="2"/>
  <c r="E21" i="2"/>
  <c r="I151" i="1"/>
  <c r="I109" i="1"/>
  <c r="H151" i="1"/>
  <c r="H109" i="1"/>
  <c r="F27" i="2"/>
  <c r="F28" i="2" s="1"/>
  <c r="H118" i="1"/>
  <c r="H121" i="1" s="1"/>
  <c r="K17" i="1"/>
  <c r="K175" i="1" s="1"/>
  <c r="K53" i="1" s="1"/>
  <c r="K277" i="1"/>
  <c r="H213" i="1"/>
  <c r="H274" i="1"/>
  <c r="D137" i="1"/>
  <c r="D274" i="1"/>
  <c r="G64" i="1"/>
  <c r="J206" i="1"/>
  <c r="H140" i="1"/>
  <c r="H265" i="1"/>
  <c r="H268" i="1" s="1"/>
  <c r="H236" i="1"/>
  <c r="H241" i="1" s="1"/>
  <c r="G34" i="1"/>
  <c r="I230" i="1"/>
  <c r="I229" i="1"/>
  <c r="K21" i="1"/>
  <c r="G74" i="1"/>
  <c r="J228" i="1"/>
  <c r="J237" i="1"/>
  <c r="J239" i="1"/>
  <c r="J126" i="1" s="1"/>
  <c r="J238" i="1"/>
  <c r="J240" i="1"/>
  <c r="K237" i="1"/>
  <c r="K240" i="1"/>
  <c r="K239" i="1"/>
  <c r="K126" i="1" s="1"/>
  <c r="K238" i="1"/>
  <c r="H253" i="1"/>
  <c r="H256" i="1" s="1"/>
  <c r="J21" i="1"/>
  <c r="J266" i="1"/>
  <c r="J120" i="1" s="1"/>
  <c r="J255" i="1"/>
  <c r="J254" i="1"/>
  <c r="J119" i="1" s="1"/>
  <c r="J176" i="1"/>
  <c r="J54" i="1" s="1"/>
  <c r="J267" i="1"/>
  <c r="J150" i="1" s="1"/>
  <c r="J141" i="1"/>
  <c r="K266" i="1"/>
  <c r="K120" i="1" s="1"/>
  <c r="K255" i="1"/>
  <c r="K141" i="1"/>
  <c r="K267" i="1"/>
  <c r="K150" i="1" s="1"/>
  <c r="K176" i="1"/>
  <c r="K54" i="1" s="1"/>
  <c r="K254" i="1"/>
  <c r="K119" i="1" s="1"/>
  <c r="H18" i="1"/>
  <c r="H24" i="1" s="1"/>
  <c r="F18" i="2" s="1"/>
  <c r="H175" i="1"/>
  <c r="H180" i="1"/>
  <c r="I18" i="1"/>
  <c r="I24" i="1" s="1"/>
  <c r="G18" i="2" s="1"/>
  <c r="I180" i="1"/>
  <c r="I175" i="1"/>
  <c r="G53" i="1"/>
  <c r="G177" i="1"/>
  <c r="K20" i="1"/>
  <c r="J20" i="1"/>
  <c r="J17" i="1"/>
  <c r="J164" i="1"/>
  <c r="K38" i="1"/>
  <c r="K22" i="1"/>
  <c r="K19" i="1"/>
  <c r="K23" i="1"/>
  <c r="J38" i="1"/>
  <c r="J22" i="1"/>
  <c r="J19" i="1"/>
  <c r="J23" i="1"/>
  <c r="K164" i="1"/>
  <c r="D250" i="1"/>
  <c r="D171" i="1"/>
  <c r="D48" i="1"/>
  <c r="D233" i="1"/>
  <c r="D155" i="1"/>
  <c r="H250" i="1"/>
  <c r="D213" i="1"/>
  <c r="D194" i="1"/>
  <c r="D262" i="1"/>
  <c r="H137" i="1"/>
  <c r="I13" i="1"/>
  <c r="H194" i="1"/>
  <c r="H155" i="1"/>
  <c r="H48" i="1"/>
  <c r="H171" i="1"/>
  <c r="H104" i="1"/>
  <c r="H262" i="1"/>
  <c r="H234" i="1"/>
  <c r="H172" i="1"/>
  <c r="H49" i="1"/>
  <c r="H214" i="1"/>
  <c r="H195" i="1"/>
  <c r="H251" i="1"/>
  <c r="H263" i="1"/>
  <c r="H105" i="1"/>
  <c r="H156" i="1"/>
  <c r="H138" i="1"/>
  <c r="I14" i="1"/>
  <c r="I275" i="1" s="1"/>
  <c r="D49" i="1"/>
  <c r="D214" i="1"/>
  <c r="D138" i="1"/>
  <c r="D195" i="1"/>
  <c r="D263" i="1"/>
  <c r="D251" i="1"/>
  <c r="D156" i="1"/>
  <c r="D234" i="1"/>
  <c r="D172" i="1"/>
  <c r="C35" i="3"/>
  <c r="C11" i="3" s="1"/>
  <c r="G37" i="2"/>
  <c r="H12" i="2"/>
  <c r="K180" i="1" l="1"/>
  <c r="K75" i="1" s="1"/>
  <c r="I265" i="1"/>
  <c r="I268" i="1" s="1"/>
  <c r="H61" i="1"/>
  <c r="I75" i="1"/>
  <c r="G23" i="2"/>
  <c r="G21" i="2"/>
  <c r="G19" i="2"/>
  <c r="G35" i="1"/>
  <c r="E16" i="2"/>
  <c r="H75" i="1"/>
  <c r="H27" i="2"/>
  <c r="H28" i="2" s="1"/>
  <c r="J118" i="1"/>
  <c r="J121" i="1" s="1"/>
  <c r="I253" i="1"/>
  <c r="I256" i="1" s="1"/>
  <c r="H60" i="1"/>
  <c r="I236" i="1"/>
  <c r="I241" i="1" s="1"/>
  <c r="H74" i="1"/>
  <c r="H82" i="1"/>
  <c r="H86" i="1" s="1"/>
  <c r="F21" i="2"/>
  <c r="F19" i="2"/>
  <c r="F23" i="2"/>
  <c r="I27" i="2"/>
  <c r="I28" i="2" s="1"/>
  <c r="K118" i="1"/>
  <c r="K121" i="1" s="1"/>
  <c r="K18" i="1"/>
  <c r="I177" i="1"/>
  <c r="I53" i="1"/>
  <c r="H177" i="1"/>
  <c r="H53" i="1"/>
  <c r="K151" i="1"/>
  <c r="K109" i="1"/>
  <c r="J151" i="1"/>
  <c r="J109" i="1"/>
  <c r="I15" i="2"/>
  <c r="I155" i="1"/>
  <c r="I274" i="1"/>
  <c r="K206" i="1"/>
  <c r="H142" i="1"/>
  <c r="H143" i="1" s="1"/>
  <c r="J230" i="1"/>
  <c r="J229" i="1"/>
  <c r="K228" i="1"/>
  <c r="J18" i="1"/>
  <c r="J24" i="1" s="1"/>
  <c r="H18" i="2" s="1"/>
  <c r="J175" i="1"/>
  <c r="J180" i="1"/>
  <c r="K177" i="1"/>
  <c r="K24" i="1"/>
  <c r="I18" i="2" s="1"/>
  <c r="I262" i="1"/>
  <c r="I137" i="1"/>
  <c r="I171" i="1"/>
  <c r="I194" i="1"/>
  <c r="I233" i="1"/>
  <c r="I250" i="1"/>
  <c r="I213" i="1"/>
  <c r="J13" i="1"/>
  <c r="I48" i="1"/>
  <c r="I104" i="1"/>
  <c r="I156" i="1"/>
  <c r="I214" i="1"/>
  <c r="J14" i="1"/>
  <c r="J275" i="1" s="1"/>
  <c r="I49" i="1"/>
  <c r="I234" i="1"/>
  <c r="I195" i="1"/>
  <c r="I138" i="1"/>
  <c r="I251" i="1"/>
  <c r="I263" i="1"/>
  <c r="I172" i="1"/>
  <c r="I105" i="1"/>
  <c r="H37" i="2"/>
  <c r="I12" i="2"/>
  <c r="H19" i="2" l="1"/>
  <c r="H23" i="2"/>
  <c r="H21" i="2"/>
  <c r="J75" i="1"/>
  <c r="J253" i="1"/>
  <c r="J256" i="1" s="1"/>
  <c r="I60" i="1"/>
  <c r="I23" i="2"/>
  <c r="I21" i="2"/>
  <c r="I19" i="2"/>
  <c r="J177" i="1"/>
  <c r="J53" i="1"/>
  <c r="J236" i="1"/>
  <c r="J241" i="1" s="1"/>
  <c r="I74" i="1"/>
  <c r="I82" i="1"/>
  <c r="I86" i="1" s="1"/>
  <c r="C16" i="2"/>
  <c r="E17" i="2"/>
  <c r="J265" i="1"/>
  <c r="J268" i="1" s="1"/>
  <c r="I61" i="1"/>
  <c r="H152" i="1"/>
  <c r="H108" i="1"/>
  <c r="J250" i="1"/>
  <c r="J274" i="1"/>
  <c r="K230" i="1"/>
  <c r="K229" i="1"/>
  <c r="J155" i="1"/>
  <c r="J104" i="1"/>
  <c r="K13" i="1"/>
  <c r="K274" i="1" s="1"/>
  <c r="J171" i="1"/>
  <c r="J213" i="1"/>
  <c r="J194" i="1"/>
  <c r="J262" i="1"/>
  <c r="J137" i="1"/>
  <c r="J48" i="1"/>
  <c r="J233" i="1"/>
  <c r="J251" i="1"/>
  <c r="J234" i="1"/>
  <c r="J138" i="1"/>
  <c r="J214" i="1"/>
  <c r="J156" i="1"/>
  <c r="J263" i="1"/>
  <c r="J172" i="1"/>
  <c r="J105" i="1"/>
  <c r="J195" i="1"/>
  <c r="K14" i="1"/>
  <c r="K275" i="1" s="1"/>
  <c r="J49" i="1"/>
  <c r="E44" i="2"/>
  <c r="B43" i="2"/>
  <c r="B44" i="2"/>
  <c r="I37" i="2"/>
  <c r="K265" i="1" l="1"/>
  <c r="K268" i="1" s="1"/>
  <c r="K61" i="1" s="1"/>
  <c r="J61" i="1"/>
  <c r="K253" i="1"/>
  <c r="K256" i="1" s="1"/>
  <c r="K60" i="1" s="1"/>
  <c r="J60" i="1"/>
  <c r="K236" i="1"/>
  <c r="K241" i="1" s="1"/>
  <c r="J82" i="1"/>
  <c r="J86" i="1" s="1"/>
  <c r="J74" i="1"/>
  <c r="H34" i="1"/>
  <c r="F25" i="2"/>
  <c r="I140" i="1"/>
  <c r="H59" i="1"/>
  <c r="H64" i="1" s="1"/>
  <c r="K155" i="1"/>
  <c r="K48" i="1"/>
  <c r="K213" i="1"/>
  <c r="K233" i="1"/>
  <c r="K194" i="1"/>
  <c r="K262" i="1"/>
  <c r="K137" i="1"/>
  <c r="K250" i="1"/>
  <c r="K104" i="1"/>
  <c r="K171" i="1"/>
  <c r="K263" i="1"/>
  <c r="K49" i="1"/>
  <c r="K251" i="1"/>
  <c r="K195" i="1"/>
  <c r="K156" i="1"/>
  <c r="K172" i="1"/>
  <c r="K234" i="1"/>
  <c r="K105" i="1"/>
  <c r="K138" i="1"/>
  <c r="K214" i="1"/>
  <c r="I142" i="1" l="1"/>
  <c r="I108" i="1" s="1"/>
  <c r="I152" i="1"/>
  <c r="I34" i="1" s="1"/>
  <c r="K82" i="1"/>
  <c r="K86" i="1" s="1"/>
  <c r="K74" i="1"/>
  <c r="H35" i="1"/>
  <c r="F16" i="2"/>
  <c r="F17" i="2" s="1"/>
  <c r="G25" i="2"/>
  <c r="I143" i="1" l="1"/>
  <c r="I35" i="1"/>
  <c r="G16" i="2"/>
  <c r="G17" i="2" s="1"/>
  <c r="J140" i="1" l="1"/>
  <c r="I59" i="1"/>
  <c r="I64" i="1" s="1"/>
  <c r="J142" i="1" l="1"/>
  <c r="J143" i="1"/>
  <c r="K140" i="1" l="1"/>
  <c r="J59" i="1"/>
  <c r="J64" i="1" s="1"/>
  <c r="J152" i="1"/>
  <c r="J108" i="1"/>
  <c r="J34" i="1" l="1"/>
  <c r="H25" i="2"/>
  <c r="K142" i="1"/>
  <c r="K152" i="1" l="1"/>
  <c r="K108" i="1"/>
  <c r="K143" i="1"/>
  <c r="K59" i="1" s="1"/>
  <c r="K64" i="1" s="1"/>
  <c r="J35" i="1"/>
  <c r="H16" i="2"/>
  <c r="H17" i="2" s="1"/>
  <c r="K34" i="1" l="1"/>
  <c r="I25" i="2"/>
  <c r="I16" i="2" l="1"/>
  <c r="K35" i="1"/>
  <c r="I42" i="2" l="1"/>
  <c r="I44" i="2" s="1"/>
  <c r="I17" i="2"/>
  <c r="C13" i="3"/>
  <c r="E21" i="3" s="1"/>
  <c r="C25" i="3" s="1"/>
  <c r="E25" i="3"/>
  <c r="F25" i="3" s="1"/>
  <c r="L102" i="2" l="1"/>
  <c r="G129" i="2" s="1"/>
  <c r="D25" i="3"/>
  <c r="D93" i="2"/>
  <c r="D102" i="2"/>
  <c r="H4" i="2"/>
  <c r="L93" i="2"/>
  <c r="L101" i="2" l="1"/>
  <c r="L100" i="2" s="1"/>
  <c r="L103" i="2"/>
  <c r="L104" i="2" s="1"/>
  <c r="B129" i="2"/>
  <c r="D103" i="2"/>
  <c r="D104" i="2" s="1"/>
  <c r="B128" i="2"/>
  <c r="D101" i="2"/>
  <c r="D100" i="2" s="1"/>
  <c r="D92" i="2"/>
  <c r="D91" i="2" s="1"/>
  <c r="D94" i="2"/>
  <c r="D95" i="2" s="1"/>
  <c r="L92" i="2"/>
  <c r="L91" i="2" s="1"/>
  <c r="L94" i="2"/>
  <c r="L95" i="2" s="1"/>
  <c r="G128" i="2"/>
  <c r="I45" i="2"/>
  <c r="G130" i="2" l="1"/>
  <c r="G210" i="1"/>
  <c r="G26" i="1"/>
  <c r="G28" i="1" s="1"/>
  <c r="G29" i="1" s="1"/>
  <c r="G181" i="1" l="1"/>
  <c r="G30" i="1"/>
  <c r="G107" i="1" l="1"/>
  <c r="G110" i="1" s="1"/>
  <c r="G225" i="1"/>
  <c r="G125" i="1" s="1"/>
  <c r="G224" i="1"/>
  <c r="G72" i="1"/>
  <c r="G182" i="1"/>
  <c r="G184" i="1" s="1"/>
  <c r="G32" i="1" l="1"/>
  <c r="G31" i="1" s="1"/>
  <c r="G218" i="1" s="1"/>
  <c r="G226" i="1"/>
  <c r="G186" i="1"/>
  <c r="G113" i="1" s="1"/>
  <c r="G114" i="1" s="1"/>
  <c r="G115" i="1" s="1"/>
  <c r="G185" i="1"/>
  <c r="E32" i="2"/>
  <c r="E26" i="2" l="1"/>
  <c r="E30" i="2" s="1"/>
  <c r="E38" i="2" s="1"/>
  <c r="E39" i="2" s="1"/>
  <c r="E33" i="2"/>
  <c r="H223" i="1"/>
  <c r="G96" i="1"/>
  <c r="G219" i="1"/>
  <c r="G124" i="1" s="1"/>
  <c r="G278" i="1" l="1"/>
  <c r="G279" i="1" s="1"/>
  <c r="G220" i="1"/>
  <c r="G280" i="1" l="1"/>
  <c r="G127" i="1" s="1"/>
  <c r="G128" i="1" s="1"/>
  <c r="G130" i="1" s="1"/>
  <c r="G132" i="1" s="1"/>
  <c r="G55" i="1" s="1"/>
  <c r="G77" i="1"/>
  <c r="G94" i="1"/>
  <c r="G95" i="1" s="1"/>
  <c r="G97" i="1" s="1"/>
  <c r="H217" i="1"/>
  <c r="G199" i="1" l="1"/>
  <c r="G78" i="1"/>
  <c r="G88" i="1" s="1"/>
  <c r="G99" i="1" s="1"/>
  <c r="H131" i="1"/>
  <c r="G134" i="1"/>
  <c r="G56" i="1"/>
  <c r="G66" i="1" s="1"/>
  <c r="G204" i="1"/>
  <c r="H209" i="1" s="1"/>
  <c r="G101" i="1" l="1"/>
  <c r="G205" i="1"/>
  <c r="G200" i="1"/>
  <c r="H198" i="1"/>
  <c r="H208" i="1" l="1"/>
  <c r="H27" i="1" l="1"/>
  <c r="H210" i="1"/>
  <c r="H26" i="1"/>
  <c r="H28" i="1" s="1"/>
  <c r="H29" i="1" s="1"/>
  <c r="H181" i="1" s="1"/>
  <c r="H72" i="1" s="1"/>
  <c r="H30" i="1"/>
  <c r="H224" i="1" l="1"/>
  <c r="H107" i="1"/>
  <c r="H110" i="1" s="1"/>
  <c r="H225" i="1"/>
  <c r="H125" i="1" s="1"/>
  <c r="H182" i="1"/>
  <c r="H184" i="1" s="1"/>
  <c r="F32" i="2" l="1"/>
  <c r="H185" i="1"/>
  <c r="H186" i="1"/>
  <c r="H113" i="1" s="1"/>
  <c r="H114" i="1" s="1"/>
  <c r="H115" i="1" s="1"/>
  <c r="H32" i="1"/>
  <c r="H31" i="1" s="1"/>
  <c r="H218" i="1" s="1"/>
  <c r="H226" i="1"/>
  <c r="H96" i="1" l="1"/>
  <c r="I223" i="1"/>
  <c r="H219" i="1"/>
  <c r="H124" i="1" s="1"/>
  <c r="F33" i="2"/>
  <c r="F26" i="2"/>
  <c r="F30" i="2" s="1"/>
  <c r="F38" i="2" s="1"/>
  <c r="F39" i="2" s="1"/>
  <c r="H278" i="1" l="1"/>
  <c r="H279" i="1" s="1"/>
  <c r="H220" i="1"/>
  <c r="I217" i="1" l="1"/>
  <c r="H94" i="1"/>
  <c r="H95" i="1" s="1"/>
  <c r="H97" i="1" s="1"/>
  <c r="H77" i="1"/>
  <c r="H280" i="1"/>
  <c r="H127" i="1" s="1"/>
  <c r="H128" i="1" s="1"/>
  <c r="H130" i="1" s="1"/>
  <c r="H132" i="1" s="1"/>
  <c r="H55" i="1" s="1"/>
  <c r="H199" i="1" l="1"/>
  <c r="H78" i="1"/>
  <c r="H88" i="1" s="1"/>
  <c r="H99" i="1" s="1"/>
  <c r="H134" i="1"/>
  <c r="H56" i="1"/>
  <c r="H66" i="1" s="1"/>
  <c r="H101" i="1" s="1"/>
  <c r="I131" i="1"/>
  <c r="H204" i="1"/>
  <c r="I209" i="1" l="1"/>
  <c r="I26" i="1" s="1"/>
  <c r="H205" i="1"/>
  <c r="I198" i="1"/>
  <c r="H200" i="1"/>
  <c r="I208" i="1" l="1"/>
  <c r="I210" i="1" l="1"/>
  <c r="I27" i="1"/>
  <c r="I28" i="1" s="1"/>
  <c r="I29" i="1" l="1"/>
  <c r="I181" i="1" s="1"/>
  <c r="I182" i="1" l="1"/>
  <c r="I184" i="1" s="1"/>
  <c r="I72" i="1"/>
  <c r="I30" i="1"/>
  <c r="I224" i="1" l="1"/>
  <c r="I225" i="1"/>
  <c r="I125" i="1" s="1"/>
  <c r="I107" i="1"/>
  <c r="I110" i="1" s="1"/>
  <c r="I115" i="1" s="1"/>
  <c r="G32" i="2"/>
  <c r="I185" i="1"/>
  <c r="I186" i="1"/>
  <c r="I113" i="1" s="1"/>
  <c r="I114" i="1" s="1"/>
  <c r="G33" i="2" l="1"/>
  <c r="G26" i="2"/>
  <c r="G30" i="2" s="1"/>
  <c r="G38" i="2" s="1"/>
  <c r="G39" i="2" s="1"/>
  <c r="I32" i="1"/>
  <c r="I31" i="1" s="1"/>
  <c r="I218" i="1" s="1"/>
  <c r="I226" i="1"/>
  <c r="J223" i="1" l="1"/>
  <c r="I96" i="1"/>
  <c r="I219" i="1"/>
  <c r="I124" i="1" s="1"/>
  <c r="I220" i="1"/>
  <c r="J217" i="1" l="1"/>
  <c r="I94" i="1"/>
  <c r="I95" i="1" s="1"/>
  <c r="I97" i="1" s="1"/>
  <c r="I278" i="1"/>
  <c r="I279" i="1" s="1"/>
  <c r="I280" i="1" l="1"/>
  <c r="I127" i="1" s="1"/>
  <c r="I128" i="1" s="1"/>
  <c r="I130" i="1" s="1"/>
  <c r="I132" i="1" s="1"/>
  <c r="I55" i="1" s="1"/>
  <c r="I77" i="1"/>
  <c r="I199" i="1" l="1"/>
  <c r="I78" i="1"/>
  <c r="I88" i="1" s="1"/>
  <c r="I99" i="1" s="1"/>
  <c r="J131" i="1"/>
  <c r="I204" i="1"/>
  <c r="I134" i="1"/>
  <c r="I56" i="1"/>
  <c r="I66" i="1" s="1"/>
  <c r="I101" i="1" s="1"/>
  <c r="J209" i="1" l="1"/>
  <c r="J26" i="1" s="1"/>
  <c r="I205" i="1"/>
  <c r="J198" i="1"/>
  <c r="I200" i="1"/>
  <c r="J208" i="1" l="1"/>
  <c r="J27" i="1" l="1"/>
  <c r="J28" i="1" s="1"/>
  <c r="J210" i="1"/>
  <c r="J29" i="1" l="1"/>
  <c r="J181" i="1" s="1"/>
  <c r="J30" i="1"/>
  <c r="J224" i="1" l="1"/>
  <c r="J107" i="1"/>
  <c r="J110" i="1" s="1"/>
  <c r="J225" i="1"/>
  <c r="J125" i="1" s="1"/>
  <c r="J72" i="1"/>
  <c r="J182" i="1"/>
  <c r="J184" i="1" s="1"/>
  <c r="H32" i="2" l="1"/>
  <c r="J185" i="1"/>
  <c r="J186" i="1"/>
  <c r="J113" i="1" s="1"/>
  <c r="J114" i="1" s="1"/>
  <c r="J115" i="1" s="1"/>
  <c r="J32" i="1"/>
  <c r="J31" i="1" s="1"/>
  <c r="J218" i="1" s="1"/>
  <c r="J226" i="1"/>
  <c r="K223" i="1" l="1"/>
  <c r="J96" i="1"/>
  <c r="H33" i="2"/>
  <c r="H26" i="2"/>
  <c r="H30" i="2" s="1"/>
  <c r="H38" i="2" s="1"/>
  <c r="H39" i="2" s="1"/>
  <c r="J219" i="1"/>
  <c r="J124" i="1" s="1"/>
  <c r="J220" i="1" l="1"/>
  <c r="J278" i="1"/>
  <c r="J279" i="1" s="1"/>
  <c r="J280" i="1" l="1"/>
  <c r="J127" i="1" s="1"/>
  <c r="J128" i="1" s="1"/>
  <c r="J130" i="1" s="1"/>
  <c r="J132" i="1" s="1"/>
  <c r="J55" i="1" s="1"/>
  <c r="J77" i="1"/>
  <c r="K217" i="1"/>
  <c r="J94" i="1"/>
  <c r="J95" i="1" s="1"/>
  <c r="J97" i="1" s="1"/>
  <c r="J134" i="1" l="1"/>
  <c r="J56" i="1"/>
  <c r="J66" i="1" s="1"/>
  <c r="J204" i="1"/>
  <c r="K131" i="1"/>
  <c r="J199" i="1"/>
  <c r="J78" i="1"/>
  <c r="J88" i="1" s="1"/>
  <c r="J99" i="1" s="1"/>
  <c r="J101" i="1" l="1"/>
  <c r="K209" i="1"/>
  <c r="K26" i="1" s="1"/>
  <c r="J205" i="1"/>
  <c r="K198" i="1"/>
  <c r="J200" i="1"/>
  <c r="K208" i="1" l="1"/>
  <c r="K27" i="1" l="1"/>
  <c r="K28" i="1" s="1"/>
  <c r="K210" i="1"/>
  <c r="K29" i="1" l="1"/>
  <c r="K181" i="1" s="1"/>
  <c r="K182" i="1" l="1"/>
  <c r="K184" i="1" s="1"/>
  <c r="K72" i="1"/>
  <c r="K30" i="1"/>
  <c r="K225" i="1" l="1"/>
  <c r="K125" i="1" s="1"/>
  <c r="K224" i="1"/>
  <c r="K107" i="1"/>
  <c r="K110" i="1" s="1"/>
  <c r="K185" i="1"/>
  <c r="I32" i="2"/>
  <c r="K186" i="1"/>
  <c r="K113" i="1" s="1"/>
  <c r="K114" i="1" s="1"/>
  <c r="K115" i="1" l="1"/>
  <c r="K32" i="1"/>
  <c r="K31" i="1" s="1"/>
  <c r="K218" i="1" s="1"/>
  <c r="K226" i="1"/>
  <c r="K96" i="1" s="1"/>
  <c r="I33" i="2"/>
  <c r="I26" i="2"/>
  <c r="I30" i="2" s="1"/>
  <c r="I38" i="2" s="1"/>
  <c r="K219" i="1" l="1"/>
  <c r="K124" i="1" s="1"/>
  <c r="K220" i="1"/>
  <c r="K94" i="1" s="1"/>
  <c r="K95" i="1" s="1"/>
  <c r="K97" i="1" s="1"/>
  <c r="I51" i="2"/>
  <c r="C43" i="2"/>
  <c r="C44" i="2" s="1"/>
  <c r="I39" i="2"/>
  <c r="C46" i="2" s="1"/>
  <c r="I46" i="2" s="1"/>
  <c r="I47" i="2" s="1"/>
  <c r="K278" i="1"/>
  <c r="K279" i="1" s="1"/>
  <c r="C51" i="2" l="1"/>
  <c r="C45" i="2"/>
  <c r="K280" i="1"/>
  <c r="K127" i="1" s="1"/>
  <c r="K128" i="1" s="1"/>
  <c r="K130" i="1" s="1"/>
  <c r="K132" i="1" s="1"/>
  <c r="K55" i="1" s="1"/>
  <c r="K77" i="1"/>
  <c r="I49" i="2"/>
  <c r="I50" i="2" s="1"/>
  <c r="D69" i="2"/>
  <c r="K204" i="1" l="1"/>
  <c r="K205" i="1" s="1"/>
  <c r="K56" i="1"/>
  <c r="K66" i="1" s="1"/>
  <c r="K101" i="1" s="1"/>
  <c r="K134" i="1"/>
  <c r="K199" i="1"/>
  <c r="K200" i="1" s="1"/>
  <c r="K78" i="1"/>
  <c r="K88" i="1" s="1"/>
  <c r="K99" i="1" s="1"/>
  <c r="D71" i="2"/>
  <c r="D73" i="2" s="1"/>
  <c r="D99" i="2" s="1"/>
  <c r="D77" i="2"/>
  <c r="D82" i="2"/>
  <c r="D78" i="2"/>
  <c r="L99" i="2" s="1"/>
  <c r="D79" i="2"/>
  <c r="D83" i="2"/>
  <c r="D84" i="2"/>
  <c r="C47" i="2"/>
  <c r="C69" i="2" s="1"/>
  <c r="C77" i="2" l="1"/>
  <c r="C79" i="2"/>
  <c r="C71" i="2"/>
  <c r="C73" i="2" s="1"/>
  <c r="C82" i="2"/>
  <c r="C83" i="2"/>
  <c r="C78" i="2"/>
  <c r="L90" i="2" s="1"/>
  <c r="C84" i="2"/>
  <c r="C49" i="2"/>
  <c r="C50" i="2" s="1"/>
  <c r="D90" i="2" l="1"/>
  <c r="H7" i="2"/>
  <c r="H8" i="2" s="1"/>
  <c r="I8" i="2" s="1" a="1"/>
  <c r="I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Wall Street Prep</author>
  </authors>
  <commentList>
    <comment ref="I51" authorId="0" shapeId="0" xr:uid="{79043F20-B62C-42FC-BA25-3ED596C81CDB}">
      <text>
        <r>
          <rPr>
            <sz val="11"/>
            <color theme="1"/>
            <rFont val="Calibri"/>
            <family val="2"/>
            <charset val="1"/>
          </rPr>
          <t>Wall Street Prep:
Implied g = [r -FCF(t)/TV]/(1+FCF(t)/TV)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 Wael</author>
  </authors>
  <commentList>
    <comment ref="C10" authorId="0" shapeId="0" xr:uid="{00000000-0006-0000-0200-000001000000}">
      <text>
        <r>
          <rPr>
            <sz val="11"/>
            <color theme="1"/>
            <rFont val="Calibri"/>
            <family val="2"/>
            <charset val="1"/>
          </rPr>
          <t>Ahmed Wael:
Egypt 10 Years Bond - Egypt 5 Years CDS</t>
        </r>
      </text>
    </comment>
    <comment ref="C12" authorId="0" shapeId="0" xr:uid="{00000000-0006-0000-0200-000003000000}">
      <text>
        <r>
          <rPr>
            <sz val="11"/>
            <color theme="1"/>
            <rFont val="Calibri"/>
            <family val="2"/>
            <charset val="1"/>
          </rPr>
          <t>Ahmed Wael:
country-risk premium - Egypt's total ERP</t>
        </r>
      </text>
    </comment>
    <comment ref="I39" authorId="0" shapeId="0" xr:uid="{00000000-0006-0000-0200-000004000000}">
      <text>
        <r>
          <rPr>
            <sz val="11"/>
            <color theme="1"/>
            <rFont val="Calibri"/>
            <family val="2"/>
            <charset val="1"/>
          </rPr>
          <t>Ahmed Wael:
Unlevered Beta</t>
        </r>
      </text>
    </comment>
    <comment ref="C46" authorId="0" shapeId="0" xr:uid="{00000000-0006-0000-0200-000005000000}">
      <text>
        <r>
          <rPr>
            <sz val="11"/>
            <color theme="1"/>
            <rFont val="Calibri"/>
            <family val="2"/>
            <charset val="1"/>
          </rPr>
          <t>Ahmed Wael:
Re-levered Beta</t>
        </r>
      </text>
    </comment>
  </commentList>
</comments>
</file>

<file path=xl/sharedStrings.xml><?xml version="1.0" encoding="utf-8"?>
<sst xmlns="http://schemas.openxmlformats.org/spreadsheetml/2006/main" count="472" uniqueCount="363">
  <si>
    <t>Discounted Cash Flow Valuation</t>
  </si>
  <si>
    <t>Most recent fiscal year end</t>
  </si>
  <si>
    <t>Discount rate (WACC)</t>
  </si>
  <si>
    <t>Link from WACC</t>
  </si>
  <si>
    <t>End of first fiscal year</t>
  </si>
  <si>
    <t>Share price (Public Co)</t>
  </si>
  <si>
    <t>Most recent quarter end date</t>
  </si>
  <si>
    <t>Share price date</t>
  </si>
  <si>
    <t xml:space="preserve">Valuation date </t>
  </si>
  <si>
    <t>Implied Share Price</t>
  </si>
  <si>
    <t>Portion of First Year Cash Flows</t>
  </si>
  <si>
    <t>Upside / (Downside)</t>
  </si>
  <si>
    <t>Midyear adjustment?</t>
  </si>
  <si>
    <t>Unlevered Free Cash Flows</t>
  </si>
  <si>
    <t>LTM</t>
  </si>
  <si>
    <t>Actual</t>
  </si>
  <si>
    <t>Forecasts</t>
  </si>
  <si>
    <t>Fiscal year ended</t>
  </si>
  <si>
    <t>Revenue</t>
  </si>
  <si>
    <t>% growth</t>
  </si>
  <si>
    <t>EBITDA</t>
  </si>
  <si>
    <t>% margin</t>
  </si>
  <si>
    <t>EBIT</t>
  </si>
  <si>
    <t>Tax on EBIT</t>
  </si>
  <si>
    <t>Tax rate</t>
  </si>
  <si>
    <t>NOPAT (aka EBIAT)</t>
  </si>
  <si>
    <t>Depreciation &amp; amortization</t>
  </si>
  <si>
    <t>Changes in net working capital</t>
  </si>
  <si>
    <t>Capital expenditures</t>
  </si>
  <si>
    <t>as % of revenue</t>
  </si>
  <si>
    <t>Unlevered free cash flows (UFCF)</t>
  </si>
  <si>
    <t>Net working capital (WC Assets - WC liabilities)</t>
  </si>
  <si>
    <t>Val date</t>
  </si>
  <si>
    <t xml:space="preserve">Yr 1 - Stub </t>
  </si>
  <si>
    <t>Year 2</t>
  </si>
  <si>
    <t>Year 3</t>
  </si>
  <si>
    <t>Year 4</t>
  </si>
  <si>
    <t>Year 5</t>
  </si>
  <si>
    <t>Date for discounting cash flows</t>
  </si>
  <si>
    <t>Unlevered free cash flows (UFCF) stub adjusted</t>
  </si>
  <si>
    <t>Present value of of unlevered free cash flows</t>
  </si>
  <si>
    <t>Terminal value - growth in perpetuity approach</t>
  </si>
  <si>
    <t>Terminal value - EBITDA multiple approach</t>
  </si>
  <si>
    <t>Long term growth rate</t>
  </si>
  <si>
    <t>Terminal year EBITDA</t>
  </si>
  <si>
    <t>EBITDA multiple</t>
  </si>
  <si>
    <t>Present value of terminal value</t>
  </si>
  <si>
    <t>Present value of stage 1 cash flows</t>
  </si>
  <si>
    <t>Total enterprise value (TEV)</t>
  </si>
  <si>
    <t>Enterprise value (stage 1 + 2)</t>
  </si>
  <si>
    <t>Terminal value as % of TEV</t>
  </si>
  <si>
    <t>Stage 1 cash flows as % of TEV</t>
  </si>
  <si>
    <t>Cash flows as % of TEV</t>
  </si>
  <si>
    <t>Implied TV exit EBITDA multiple</t>
  </si>
  <si>
    <t>Implied terminal growth rate</t>
  </si>
  <si>
    <t>Net debt</t>
  </si>
  <si>
    <t>Shares outstanding</t>
  </si>
  <si>
    <t>Source doc</t>
  </si>
  <si>
    <t>Consolidated FS 2025</t>
  </si>
  <si>
    <t>Source date</t>
  </si>
  <si>
    <t>12/31/2025</t>
  </si>
  <si>
    <t>Date</t>
  </si>
  <si>
    <t>Shares</t>
  </si>
  <si>
    <t>Gross debt and equivalents</t>
  </si>
  <si>
    <t>Basic shares</t>
  </si>
  <si>
    <t>Debt</t>
  </si>
  <si>
    <t>Restricted stock / RSUs</t>
  </si>
  <si>
    <t>Convertible debt</t>
  </si>
  <si>
    <t>Options / warrants</t>
  </si>
  <si>
    <t>Preferred stock</t>
  </si>
  <si>
    <t>Noncontrolling (minority) interests</t>
  </si>
  <si>
    <t>Convertible preferred stock</t>
  </si>
  <si>
    <t>Nonoperating assets</t>
  </si>
  <si>
    <t>Net diluted shares outstanding</t>
  </si>
  <si>
    <t xml:space="preserve">Cash </t>
  </si>
  <si>
    <t xml:space="preserve">Equity investments </t>
  </si>
  <si>
    <t>Debt securities (optional cash asset)</t>
  </si>
  <si>
    <t>Valuation</t>
  </si>
  <si>
    <t>Perpetuity</t>
  </si>
  <si>
    <t>Enterprise value</t>
  </si>
  <si>
    <t xml:space="preserve">Equity value </t>
  </si>
  <si>
    <t>Equity value per share</t>
  </si>
  <si>
    <t>Last twelve months (LTM)</t>
  </si>
  <si>
    <t>EV / Revenue</t>
  </si>
  <si>
    <t xml:space="preserve">EV / EBITDA </t>
  </si>
  <si>
    <t>EV / EBIT</t>
  </si>
  <si>
    <t>Year 1</t>
  </si>
  <si>
    <t>Outputs</t>
  </si>
  <si>
    <t>LTM EBITDA multiple</t>
  </si>
  <si>
    <t>Long term growth rate (g):</t>
  </si>
  <si>
    <t>WACC:</t>
  </si>
  <si>
    <t xml:space="preserve">Data </t>
  </si>
  <si>
    <t>Tables</t>
  </si>
  <si>
    <t>Exit EBITDA Multiple</t>
  </si>
  <si>
    <t>Equity value range</t>
  </si>
  <si>
    <t>Football field</t>
  </si>
  <si>
    <t>Low</t>
  </si>
  <si>
    <t>Diff.</t>
  </si>
  <si>
    <t>High</t>
  </si>
  <si>
    <t>52 Week Market High/Low</t>
  </si>
  <si>
    <t>All amounts are shown in EGP, except per-share data, ratios, and shares outstanding</t>
  </si>
  <si>
    <t>Company Name</t>
  </si>
  <si>
    <t>Ticker</t>
  </si>
  <si>
    <t>Latest Closing Share Price</t>
  </si>
  <si>
    <t>Latest Closing Share Price Date</t>
  </si>
  <si>
    <t>Last Historical Year</t>
  </si>
  <si>
    <t>INCOME STATEMENT</t>
  </si>
  <si>
    <t xml:space="preserve">Fiscal year  </t>
  </si>
  <si>
    <t>Fiscal year end date</t>
  </si>
  <si>
    <t>General and administrative expenses</t>
  </si>
  <si>
    <t>Finance income</t>
  </si>
  <si>
    <t>EBITDA margin %</t>
  </si>
  <si>
    <t>Growth Rates &amp; Margins</t>
  </si>
  <si>
    <t>Revenue growth</t>
  </si>
  <si>
    <t>Gross Margin % of Revenue</t>
  </si>
  <si>
    <t>BALANCE SHEET</t>
  </si>
  <si>
    <t>ASSETS</t>
  </si>
  <si>
    <t>Current Assets</t>
  </si>
  <si>
    <t>Total Current Assets</t>
  </si>
  <si>
    <t>Non-Current Assets</t>
  </si>
  <si>
    <t>Total Non-Current Assets</t>
  </si>
  <si>
    <t>Total Assets</t>
  </si>
  <si>
    <t>LIABILITIES AND EQUITY</t>
  </si>
  <si>
    <t>Current Liabilities</t>
  </si>
  <si>
    <t>Total Current Liabilities</t>
  </si>
  <si>
    <t>Non-Current Liabilities</t>
  </si>
  <si>
    <t>Total Non-Current Liabilities</t>
  </si>
  <si>
    <t>Total Liabilities</t>
  </si>
  <si>
    <t>Equity</t>
  </si>
  <si>
    <t>Retained earnings</t>
  </si>
  <si>
    <t>Total Equity</t>
  </si>
  <si>
    <t>Total Liabilites &amp; Equity</t>
  </si>
  <si>
    <t>Balance Check</t>
  </si>
  <si>
    <t>CASH FLOW STATEMENT</t>
  </si>
  <si>
    <t>Net income</t>
  </si>
  <si>
    <t>Depreciation of property, plant and equipment</t>
  </si>
  <si>
    <t>Operating cash flow before working capital</t>
  </si>
  <si>
    <t>Changes in Working Capital</t>
  </si>
  <si>
    <t>Net change in working capital</t>
  </si>
  <si>
    <t>Cash Generated from Operations</t>
  </si>
  <si>
    <t>Net cash flows from operating activities</t>
  </si>
  <si>
    <t>CASH FLOWS FROM INVESTING ACTIVITIES</t>
  </si>
  <si>
    <t>Paid to purchase property, plant and equipment</t>
  </si>
  <si>
    <t>Net cash flows used in investing activities</t>
  </si>
  <si>
    <t>CASH FLOWS FROM FINANCING ACTIVITIES</t>
  </si>
  <si>
    <t>Paid dividends</t>
  </si>
  <si>
    <t>Net cash flow from financing activities</t>
  </si>
  <si>
    <t>Net change in cash and cash equivalents</t>
  </si>
  <si>
    <t>Cash and cash equivalents at 1 January</t>
  </si>
  <si>
    <t>Cash and cash equivalents at 31 December</t>
  </si>
  <si>
    <t>Reconciliation Check vs BS Cash</t>
  </si>
  <si>
    <t>PROPERTY, PLANT &amp; EQUIPMENT</t>
  </si>
  <si>
    <t>Beginning of period</t>
  </si>
  <si>
    <t>Plus: Capital expenditures</t>
  </si>
  <si>
    <t>Less: Depreciation</t>
  </si>
  <si>
    <t>End of period</t>
  </si>
  <si>
    <t>CapEx % of revenue</t>
  </si>
  <si>
    <t>Depreciation % of beginning PP&amp;E</t>
  </si>
  <si>
    <t>IMPUTING TOTAL DEPRECIATION &amp; AMORTIZATION</t>
  </si>
  <si>
    <t>D&amp;A not related to PP&amp;E</t>
  </si>
  <si>
    <t xml:space="preserve">Depreciation &amp; Amortization - Total </t>
  </si>
  <si>
    <t>REVENUE BUILD BY SEGMENT (EGP)</t>
  </si>
  <si>
    <t>Total Net Sales</t>
  </si>
  <si>
    <t>Check vs IS (row 16)</t>
  </si>
  <si>
    <t>WORKING CAPITAL SCHEDULE</t>
  </si>
  <si>
    <t>Operating Working Capital Assets</t>
  </si>
  <si>
    <t>Total Operating WC Assets</t>
  </si>
  <si>
    <t>Operating Working Capital Liabilities</t>
  </si>
  <si>
    <t>Total Operating WC Liabilities</t>
  </si>
  <si>
    <t>Net Working Capital</t>
  </si>
  <si>
    <t>NWC as % of revenue</t>
  </si>
  <si>
    <t>Change in NWC (− = cash used)</t>
  </si>
  <si>
    <t>WC DRIVERS (DAYS)</t>
  </si>
  <si>
    <t>DIO (days, off COGS)</t>
  </si>
  <si>
    <t>DSO (days, off revenue)</t>
  </si>
  <si>
    <t>DPO (days, off COGS)</t>
  </si>
  <si>
    <t>DEBT &amp; INTEREST SCHEDULE</t>
  </si>
  <si>
    <t>Total Debt</t>
  </si>
  <si>
    <t>Average debt</t>
  </si>
  <si>
    <t>Effective interest rate</t>
  </si>
  <si>
    <t>Interest income</t>
  </si>
  <si>
    <t>Interest-earning assets</t>
  </si>
  <si>
    <t>Average earning assets</t>
  </si>
  <si>
    <t>Effective yield</t>
  </si>
  <si>
    <t>Net finance costs</t>
  </si>
  <si>
    <t>EQUITY &amp; NCI ROLL-FORWARD</t>
  </si>
  <si>
    <t>Retained Earnings</t>
  </si>
  <si>
    <t>Less: Dividends &amp; distributions</t>
  </si>
  <si>
    <t>End of period (= BS)</t>
  </si>
  <si>
    <t>Additions % revenue</t>
  </si>
  <si>
    <t>LEASE SCHEDULE</t>
  </si>
  <si>
    <t>Lease liab — Beginning</t>
  </si>
  <si>
    <t>Additons</t>
  </si>
  <si>
    <t>Plus: Lease Interest Accrued</t>
  </si>
  <si>
    <t>Lease liab — End</t>
  </si>
  <si>
    <t>ST share of liability</t>
  </si>
  <si>
    <t>Additons leases % revenue</t>
  </si>
  <si>
    <t>Lease Interest Accrued % revenue</t>
  </si>
  <si>
    <t xml:space="preserve">Plus: Additions </t>
  </si>
  <si>
    <t>Amortization % revenue</t>
  </si>
  <si>
    <t>WACC Buildup</t>
  </si>
  <si>
    <t>Cost of capital assumptions</t>
  </si>
  <si>
    <t>Cost of debt</t>
  </si>
  <si>
    <t>Cost of debt (after tax)</t>
  </si>
  <si>
    <t xml:space="preserve">Risk free rate </t>
  </si>
  <si>
    <t xml:space="preserve">Beta </t>
  </si>
  <si>
    <t>Market risk premium</t>
  </si>
  <si>
    <t>Cost of equity</t>
  </si>
  <si>
    <t>Capital weights (capital structure)</t>
  </si>
  <si>
    <t xml:space="preserve">Target </t>
  </si>
  <si>
    <t xml:space="preserve">Current </t>
  </si>
  <si>
    <t>(override)</t>
  </si>
  <si>
    <t>% of total</t>
  </si>
  <si>
    <t>Cost of capital (WACC)</t>
  </si>
  <si>
    <t>WACC sensitivity to MRP and Beta</t>
  </si>
  <si>
    <t>Beta</t>
  </si>
  <si>
    <t>Market</t>
  </si>
  <si>
    <t>Risk</t>
  </si>
  <si>
    <t>Premium</t>
  </si>
  <si>
    <t>Select Beta for model</t>
  </si>
  <si>
    <t>Observed</t>
  </si>
  <si>
    <t>Industry beta</t>
  </si>
  <si>
    <t>Observed b</t>
  </si>
  <si>
    <t>Share price</t>
  </si>
  <si>
    <t>Dil. shares</t>
  </si>
  <si>
    <t>Market cap</t>
  </si>
  <si>
    <t>Net Debt</t>
  </si>
  <si>
    <t>Delev. b</t>
  </si>
  <si>
    <t>Industry average delevered beta</t>
  </si>
  <si>
    <t>Operating profit</t>
  </si>
  <si>
    <t>Profit before tax</t>
  </si>
  <si>
    <t>Profit for the Year</t>
  </si>
  <si>
    <t>Cash and cash equivalents</t>
  </si>
  <si>
    <t>Non-controlling interests</t>
  </si>
  <si>
    <t>Equity holders of the Parent Company</t>
  </si>
  <si>
    <t>Property, plant &amp; equipment</t>
  </si>
  <si>
    <t>Projects under construction</t>
  </si>
  <si>
    <t>Intangible assets</t>
  </si>
  <si>
    <t>Equity-accounted investees</t>
  </si>
  <si>
    <t>Notes receivable (Non-current)</t>
  </si>
  <si>
    <t>Inventories</t>
  </si>
  <si>
    <t>Trade and other receivables</t>
  </si>
  <si>
    <t>Issued and paid-up capital</t>
  </si>
  <si>
    <t>Treasury shares</t>
  </si>
  <si>
    <t>Reserves</t>
  </si>
  <si>
    <t>Equity attributable to holding company</t>
  </si>
  <si>
    <t>Non-controlling interest</t>
  </si>
  <si>
    <t>Loans (Non-current)</t>
  </si>
  <si>
    <t>Non-current portion of lease liabilities</t>
  </si>
  <si>
    <t>Long-term notes payable</t>
  </si>
  <si>
    <t>Provisions (Non-current)</t>
  </si>
  <si>
    <t>Deferred tax liabilities</t>
  </si>
  <si>
    <t>Credit facilities</t>
  </si>
  <si>
    <t>Accrued income tax</t>
  </si>
  <si>
    <t>Loans (Current)</t>
  </si>
  <si>
    <t>Current portion of lease liabilities</t>
  </si>
  <si>
    <t>Trade and other payables</t>
  </si>
  <si>
    <t>Provisions (Current)</t>
  </si>
  <si>
    <t>`</t>
  </si>
  <si>
    <t>Net sales</t>
  </si>
  <si>
    <t>Cost of sales</t>
  </si>
  <si>
    <t>Gross Profit</t>
  </si>
  <si>
    <t>Other Income</t>
  </si>
  <si>
    <t>Selling and distribution expenses</t>
  </si>
  <si>
    <t>Expected credit loss</t>
  </si>
  <si>
    <t>Other expenses</t>
  </si>
  <si>
    <t>Share from equity investments / FVPL</t>
  </si>
  <si>
    <t>Income tax expense</t>
  </si>
  <si>
    <t>Revenue classification according to products</t>
  </si>
  <si>
    <t>Sanitary Ware</t>
  </si>
  <si>
    <t>Tile</t>
  </si>
  <si>
    <t>Brass ware</t>
  </si>
  <si>
    <t>Sanitary Ware %</t>
  </si>
  <si>
    <t>Tile %</t>
  </si>
  <si>
    <t>Brass ware %</t>
  </si>
  <si>
    <t>LCSW</t>
  </si>
  <si>
    <t>LCSW.CA</t>
  </si>
  <si>
    <t>Lecico Egypt</t>
  </si>
  <si>
    <t>Finance expense</t>
  </si>
  <si>
    <t>Less: Transferred to fixed assets</t>
  </si>
  <si>
    <t>Additions</t>
  </si>
  <si>
    <t>Less: Amortization year</t>
  </si>
  <si>
    <t>Less: Payments during the year-(principle)</t>
  </si>
  <si>
    <t>Payments during the year-(principle) % revenue</t>
  </si>
  <si>
    <t>Payments during the year-(interest) % revenue</t>
  </si>
  <si>
    <t>Less: Payments during the year-(interest)</t>
  </si>
  <si>
    <t>Plus: Net income (Parent Share)</t>
  </si>
  <si>
    <t>Dividend payout ratio % of Net Income of Parent</t>
  </si>
  <si>
    <t>Non-controlling Interests</t>
  </si>
  <si>
    <t>Plus: NCI share of net income</t>
  </si>
  <si>
    <t>Less: Dividends Paid to NCI</t>
  </si>
  <si>
    <t>NCI % of total net income</t>
  </si>
  <si>
    <t>NCI share % of net income</t>
  </si>
  <si>
    <t>Intangible assets amortization</t>
  </si>
  <si>
    <t>Paid dividends for NCI</t>
  </si>
  <si>
    <t>Lease payments</t>
  </si>
  <si>
    <t>Paid for projects under construction</t>
  </si>
  <si>
    <t>Paid for intangible asset additions</t>
  </si>
  <si>
    <t>Revolver</t>
  </si>
  <si>
    <t>Minimum cash (% revenue)</t>
  </si>
  <si>
    <t>Cash before revolver</t>
  </si>
  <si>
    <t>Revolver EOP</t>
  </si>
  <si>
    <t>Revolver draw / (paydown)</t>
  </si>
  <si>
    <t>Cash of Revenue %</t>
  </si>
  <si>
    <t>Comparable Companies Analysis (Trading Comps)</t>
  </si>
  <si>
    <t>Refresh date:</t>
  </si>
  <si>
    <t>GENERAL INFORMATION</t>
  </si>
  <si>
    <t>Company</t>
  </si>
  <si>
    <t>Exchange / Currency</t>
  </si>
  <si>
    <t>EGX / EGP</t>
  </si>
  <si>
    <t>Fiscal year end</t>
  </si>
  <si>
    <t>Last closing price</t>
  </si>
  <si>
    <t>Price as of</t>
  </si>
  <si>
    <t>FULLY DILUTED SHARES</t>
  </si>
  <si>
    <t>Basic shares outstanding</t>
  </si>
  <si>
    <t>Options / RSUs / other dilution</t>
  </si>
  <si>
    <t>Fully diluted shares</t>
  </si>
  <si>
    <t>BALANCE SHEET DATA (latest reported)</t>
  </si>
  <si>
    <t>Total debt (incl. leases)</t>
  </si>
  <si>
    <t>Minority interest</t>
  </si>
  <si>
    <t>Cash + liquid investments</t>
  </si>
  <si>
    <t>Net debt / (net cash)</t>
  </si>
  <si>
    <t>MARKET VALUATION</t>
  </si>
  <si>
    <t>Market capitalization</t>
  </si>
  <si>
    <t>Enterprise value (EV)</t>
  </si>
  <si>
    <t>EBITDA margin</t>
  </si>
  <si>
    <t>TRADING MULTIPLES</t>
  </si>
  <si>
    <t>EV / Revenue (LTM)</t>
  </si>
  <si>
    <t>EV / EBITDA (LTM)</t>
  </si>
  <si>
    <t>EV / EBIT (LTM)</t>
  </si>
  <si>
    <t>P / E (LTM)</t>
  </si>
  <si>
    <t>EV/Revenue</t>
  </si>
  <si>
    <t>EV/EBITDA</t>
  </si>
  <si>
    <t>EV/EBIT</t>
  </si>
  <si>
    <t>P/E</t>
  </si>
  <si>
    <t>Mean</t>
  </si>
  <si>
    <t>Median</t>
  </si>
  <si>
    <t>IMPLIED VALUATION (from peer MEDIAN multiples)</t>
  </si>
  <si>
    <t>Via EV/EBITDA:</t>
  </si>
  <si>
    <t>Peer median EV/EBITDA</t>
  </si>
  <si>
    <t>x LTM EBITDA</t>
  </si>
  <si>
    <t>Implied Enterprise Value</t>
  </si>
  <si>
    <t>Less: net debt / plus net cash</t>
  </si>
  <si>
    <t>Implied equity value</t>
  </si>
  <si>
    <t>Implied value per share (EGP)</t>
  </si>
  <si>
    <t>Via P/E:</t>
  </si>
  <si>
    <t>Peer median P/E</t>
  </si>
  <si>
    <t>x LTM net income</t>
  </si>
  <si>
    <t>Via (closest Egyptian peer):</t>
  </si>
  <si>
    <t>Arabian Cement Co. ARCC</t>
  </si>
  <si>
    <t>Al Ezz Ceramics (Gemma) ECAP</t>
  </si>
  <si>
    <t>Arab Ceramics (Remas) CERA</t>
  </si>
  <si>
    <t>Industry</t>
  </si>
  <si>
    <t>Lecico Egypt (S.A.E.)</t>
  </si>
  <si>
    <t>RAK Ceramics PJSC</t>
  </si>
  <si>
    <t>RAKCEC</t>
  </si>
  <si>
    <t>CERA</t>
  </si>
  <si>
    <t>Arab Ceramics (Remas)</t>
  </si>
  <si>
    <t>ECAP</t>
  </si>
  <si>
    <t>Al Ezz Ceramics &amp; Porcelain (Gemma)</t>
  </si>
  <si>
    <t>ADX / AED</t>
  </si>
  <si>
    <t>PEER STATISTICS</t>
  </si>
  <si>
    <t>LTM FINANCIALS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</si>
</sst>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7" formatCode="&quot;$&quot;#,##0.00_);\(&quot;$&quot;#,##0.00\)"/>
    <numFmt numFmtId="164" formatCode="_-* #,##0_-;\-* #,##0_-;_-* &quot;-&quot;_-;_-@_-"/>
    <numFmt numFmtId="165" formatCode="_-* #,##0.00_-;\-* #,##0.00_-;_-* &quot;-&quot;??_-;_-@_-"/>
    <numFmt numFmtId="166" formatCode="0.0%"/>
    <numFmt numFmtId="167" formatCode="_(* #,##0_);_(* \(#,##0\);_(* \-_);_(@_)"/>
    <numFmt numFmtId="168" formatCode="_(* #,##0_);_(* \(#,##0\);_(* \-??_);_(@_)"/>
    <numFmt numFmtId="169" formatCode="&quot;FY&quot;yy"/>
    <numFmt numFmtId="170" formatCode="0\A;[Red]0\A"/>
    <numFmt numFmtId="171" formatCode="0\P_);\(0\P\)"/>
    <numFmt numFmtId="172" formatCode="m/d/yy;@"/>
    <numFmt numFmtId="173" formatCode="0.0%_);\(0.0%\);@_)"/>
    <numFmt numFmtId="174" formatCode="_(#,##0.0%_);\(#,##0.0%\);_(&quot;–&quot;_)_%;_(@_)_%"/>
    <numFmt numFmtId="175" formatCode="#,##0_);\(#,##0\);@_)"/>
    <numFmt numFmtId="176" formatCode="0000\P"/>
    <numFmt numFmtId="177" formatCode="0.0\x_);\(0.0\x\);@_)"/>
    <numFmt numFmtId="178" formatCode="0.000%_);\(0.000%\);@_)"/>
    <numFmt numFmtId="179" formatCode="#,##0.000_);\(#,##0.000\);@_)"/>
    <numFmt numFmtId="180" formatCode="#,##0.000_);\(#,##0.000\)"/>
    <numFmt numFmtId="181" formatCode="_([$$]#,##0_)_%;\([$$]#,##0\)_%;_(&quot;–&quot;_)_%;_(@_)_%"/>
    <numFmt numFmtId="182" formatCode="_(0.0_)_'_x;_(\(0.0\)_';_(&quot;–&quot;_)_%;_(@_)_%"/>
    <numFmt numFmtId="183" formatCode="#,##0.00_);\(#,##0.00\);\-_);@_)"/>
    <numFmt numFmtId="184" formatCode="#,##0.0_);\(#,##0.0\);\-_);@_)"/>
    <numFmt numFmtId="185" formatCode="_(#,##0.00%_);\(#,##0.00%\);_(&quot;–&quot;_)_%;_(@_)_%"/>
    <numFmt numFmtId="186" formatCode="&quot;$&quot;#,##0.00_);\(&quot;$&quot;#,##0.00\);@_)"/>
    <numFmt numFmtId="187" formatCode="0000\A"/>
    <numFmt numFmtId="188" formatCode="_(* #,##0.0_);_(* \(#,##0.0\);_(* \-??_);_(@_)"/>
    <numFmt numFmtId="189" formatCode="_(* #,##0_);_(* \(#,##0\);_(* &quot;-&quot;??_);_(@_)"/>
    <numFmt numFmtId="190" formatCode="d/m/yy;@"/>
    <numFmt numFmtId="191" formatCode="_(0.0\x_)_';_(\(0.0\x\)_';_(&quot;–&quot;_)_%;_(@_)_%"/>
    <numFmt numFmtId="192" formatCode="_(* #,##0.00_);_(* \(#,##0.00\);_(* \-??_);_(@_)"/>
    <numFmt numFmtId="193" formatCode="0.000"/>
    <numFmt numFmtId="194" formatCode="_-[$EGP]\ * #,##0.00_-;\-[$EGP]\ * #,##0.00_-;_-[$EGP]\ * &quot;-&quot;??_-;_-@_-"/>
    <numFmt numFmtId="195" formatCode="[$-409]mmmmm/yy;@"/>
    <numFmt numFmtId="196" formatCode="#,##0;\(#,##0\)"/>
    <numFmt numFmtId="197" formatCode="0.0&quot;x&quot;"/>
  </numFmts>
  <fonts count="4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i/>
      <sz val="11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10"/>
      <name val="Times New Roman"/>
      <family val="1"/>
    </font>
    <font>
      <sz val="11"/>
      <color rgb="FF008000"/>
      <name val="Calibri"/>
      <family val="2"/>
      <scheme val="minor"/>
    </font>
    <font>
      <u/>
      <sz val="11"/>
      <color theme="1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singleAccounting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</font>
    <font>
      <sz val="11"/>
      <color theme="4" tint="-0.249977111117893"/>
      <name val="Calibri"/>
      <family val="2"/>
      <charset val="1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0000FF"/>
      <name val="Calibri"/>
      <family val="2"/>
    </font>
    <font>
      <b/>
      <i/>
      <sz val="11"/>
      <color theme="1"/>
      <name val="Calibri"/>
      <family val="2"/>
    </font>
    <font>
      <i/>
      <sz val="11"/>
      <name val="Calibri"/>
      <family val="2"/>
    </font>
    <font>
      <sz val="11"/>
      <color theme="4" tint="-0.249977111117893"/>
      <name val="Calibri"/>
      <family val="2"/>
      <scheme val="minor"/>
    </font>
    <font>
      <b/>
      <i/>
      <sz val="11"/>
      <name val="Calibri"/>
      <family val="2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2F2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9DAF8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double">
        <color auto="1"/>
      </top>
      <bottom/>
      <diagonal/>
    </border>
  </borders>
  <cellStyleXfs count="8">
    <xf numFmtId="0" fontId="0" fillId="0" borderId="0"/>
    <xf numFmtId="192" fontId="7" fillId="0" borderId="0"/>
    <xf numFmtId="9" fontId="7" fillId="0" borderId="0"/>
    <xf numFmtId="0" fontId="6" fillId="0" borderId="0"/>
    <xf numFmtId="37" fontId="22" fillId="0" borderId="0"/>
    <xf numFmtId="0" fontId="24" fillId="0" borderId="0"/>
    <xf numFmtId="195" fontId="34" fillId="0" borderId="0"/>
    <xf numFmtId="0" fontId="1" fillId="0" borderId="0"/>
  </cellStyleXfs>
  <cellXfs count="334">
    <xf numFmtId="0" fontId="0" fillId="0" borderId="0" xfId="0"/>
    <xf numFmtId="166" fontId="7" fillId="0" borderId="0" xfId="2" applyNumberFormat="1"/>
    <xf numFmtId="0" fontId="8" fillId="0" borderId="4" xfId="0" applyFont="1" applyBorder="1"/>
    <xf numFmtId="0" fontId="9" fillId="0" borderId="0" xfId="0" applyFont="1"/>
    <xf numFmtId="0" fontId="10" fillId="0" borderId="0" xfId="0" applyFont="1" applyAlignment="1">
      <alignment horizontal="center"/>
    </xf>
    <xf numFmtId="14" fontId="10" fillId="0" borderId="0" xfId="0" applyNumberFormat="1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1" fillId="0" borderId="4" xfId="0" applyFont="1" applyBorder="1"/>
    <xf numFmtId="0" fontId="11" fillId="0" borderId="5" xfId="0" applyFont="1" applyBorder="1"/>
    <xf numFmtId="167" fontId="15" fillId="0" borderId="0" xfId="1" applyNumberFormat="1" applyFont="1"/>
    <xf numFmtId="0" fontId="16" fillId="0" borderId="1" xfId="0" applyFont="1" applyBorder="1"/>
    <xf numFmtId="168" fontId="16" fillId="0" borderId="1" xfId="1" applyNumberFormat="1" applyFont="1" applyBorder="1"/>
    <xf numFmtId="0" fontId="16" fillId="0" borderId="0" xfId="0" applyFont="1"/>
    <xf numFmtId="168" fontId="16" fillId="0" borderId="0" xfId="1" applyNumberFormat="1" applyFont="1"/>
    <xf numFmtId="166" fontId="12" fillId="0" borderId="0" xfId="2" applyNumberFormat="1" applyFont="1"/>
    <xf numFmtId="0" fontId="16" fillId="0" borderId="3" xfId="0" applyFont="1" applyBorder="1"/>
    <xf numFmtId="0" fontId="11" fillId="0" borderId="0" xfId="0" applyFont="1" applyAlignment="1">
      <alignment horizontal="left" indent="1"/>
    </xf>
    <xf numFmtId="168" fontId="11" fillId="0" borderId="0" xfId="0" applyNumberFormat="1" applyFont="1"/>
    <xf numFmtId="168" fontId="11" fillId="0" borderId="0" xfId="1" applyNumberFormat="1" applyFont="1"/>
    <xf numFmtId="0" fontId="18" fillId="0" borderId="2" xfId="0" applyFont="1" applyBorder="1"/>
    <xf numFmtId="168" fontId="16" fillId="0" borderId="2" xfId="1" applyNumberFormat="1" applyFont="1" applyBorder="1"/>
    <xf numFmtId="166" fontId="11" fillId="0" borderId="0" xfId="2" applyNumberFormat="1" applyFont="1"/>
    <xf numFmtId="1" fontId="11" fillId="0" borderId="0" xfId="2" applyNumberFormat="1" applyFont="1"/>
    <xf numFmtId="0" fontId="14" fillId="0" borderId="0" xfId="0" applyFont="1" applyAlignment="1">
      <alignment horizontal="left" indent="1"/>
    </xf>
    <xf numFmtId="168" fontId="16" fillId="0" borderId="0" xfId="0" applyNumberFormat="1" applyFont="1"/>
    <xf numFmtId="0" fontId="16" fillId="0" borderId="1" xfId="0" applyFont="1" applyBorder="1" applyAlignment="1">
      <alignment horizontal="left"/>
    </xf>
    <xf numFmtId="167" fontId="11" fillId="0" borderId="0" xfId="0" applyNumberFormat="1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indent="2"/>
    </xf>
    <xf numFmtId="167" fontId="17" fillId="0" borderId="3" xfId="1" applyNumberFormat="1" applyFont="1" applyBorder="1"/>
    <xf numFmtId="0" fontId="19" fillId="0" borderId="0" xfId="0" applyFont="1"/>
    <xf numFmtId="0" fontId="13" fillId="0" borderId="0" xfId="0" applyFont="1"/>
    <xf numFmtId="0" fontId="19" fillId="0" borderId="0" xfId="0" applyFont="1" applyAlignment="1">
      <alignment horizontal="center" vertical="center"/>
    </xf>
    <xf numFmtId="169" fontId="13" fillId="0" borderId="0" xfId="0" applyNumberFormat="1" applyFont="1" applyAlignment="1">
      <alignment horizontal="center" vertical="center"/>
    </xf>
    <xf numFmtId="0" fontId="14" fillId="0" borderId="0" xfId="0" applyFont="1"/>
    <xf numFmtId="167" fontId="14" fillId="0" borderId="0" xfId="0" applyNumberFormat="1" applyFont="1" applyAlignment="1">
      <alignment horizontal="center" vertical="center"/>
    </xf>
    <xf numFmtId="10" fontId="11" fillId="0" borderId="0" xfId="2" applyNumberFormat="1" applyFont="1"/>
    <xf numFmtId="0" fontId="16" fillId="0" borderId="3" xfId="0" applyFont="1" applyBorder="1" applyAlignment="1">
      <alignment horizontal="left"/>
    </xf>
    <xf numFmtId="0" fontId="8" fillId="0" borderId="6" xfId="0" applyFont="1" applyBorder="1"/>
    <xf numFmtId="0" fontId="0" fillId="0" borderId="6" xfId="0" applyBorder="1"/>
    <xf numFmtId="170" fontId="8" fillId="0" borderId="0" xfId="0" applyNumberFormat="1" applyFont="1"/>
    <xf numFmtId="171" fontId="8" fillId="0" borderId="0" xfId="0" applyNumberFormat="1" applyFont="1"/>
    <xf numFmtId="0" fontId="20" fillId="0" borderId="6" xfId="0" applyFont="1" applyBorder="1"/>
    <xf numFmtId="172" fontId="20" fillId="0" borderId="2" xfId="0" applyNumberFormat="1" applyFont="1" applyBorder="1"/>
    <xf numFmtId="0" fontId="17" fillId="0" borderId="0" xfId="0" applyFont="1"/>
    <xf numFmtId="172" fontId="20" fillId="0" borderId="6" xfId="0" applyNumberFormat="1" applyFont="1" applyBorder="1"/>
    <xf numFmtId="169" fontId="17" fillId="0" borderId="0" xfId="0" applyNumberFormat="1" applyFont="1" applyAlignment="1">
      <alignment horizontal="center" vertical="center"/>
    </xf>
    <xf numFmtId="0" fontId="0" fillId="0" borderId="3" xfId="0" applyBorder="1"/>
    <xf numFmtId="170" fontId="8" fillId="0" borderId="3" xfId="0" applyNumberFormat="1" applyFont="1" applyBorder="1"/>
    <xf numFmtId="171" fontId="8" fillId="0" borderId="3" xfId="0" applyNumberFormat="1" applyFont="1" applyBorder="1"/>
    <xf numFmtId="0" fontId="6" fillId="0" borderId="0" xfId="3"/>
    <xf numFmtId="0" fontId="8" fillId="0" borderId="4" xfId="3" applyFont="1" applyBorder="1"/>
    <xf numFmtId="0" fontId="6" fillId="0" borderId="4" xfId="3" applyBorder="1"/>
    <xf numFmtId="0" fontId="21" fillId="0" borderId="5" xfId="3" applyFont="1" applyBorder="1"/>
    <xf numFmtId="14" fontId="10" fillId="0" borderId="0" xfId="4" applyNumberFormat="1" applyFont="1" applyAlignment="1">
      <alignment horizontal="right"/>
    </xf>
    <xf numFmtId="173" fontId="23" fillId="0" borderId="0" xfId="3" applyNumberFormat="1" applyFont="1"/>
    <xf numFmtId="14" fontId="9" fillId="0" borderId="0" xfId="4" applyNumberFormat="1" applyFont="1" applyAlignment="1">
      <alignment horizontal="right"/>
    </xf>
    <xf numFmtId="14" fontId="10" fillId="0" borderId="0" xfId="3" applyNumberFormat="1" applyFont="1" applyAlignment="1">
      <alignment horizontal="right"/>
    </xf>
    <xf numFmtId="0" fontId="24" fillId="0" borderId="0" xfId="5"/>
    <xf numFmtId="174" fontId="9" fillId="0" borderId="0" xfId="3" applyNumberFormat="1" applyFont="1"/>
    <xf numFmtId="7" fontId="23" fillId="0" borderId="0" xfId="3" applyNumberFormat="1" applyFont="1" applyAlignment="1">
      <alignment horizontal="right"/>
    </xf>
    <xf numFmtId="0" fontId="8" fillId="0" borderId="7" xfId="3" applyFont="1" applyBorder="1"/>
    <xf numFmtId="0" fontId="6" fillId="0" borderId="7" xfId="3" applyBorder="1"/>
    <xf numFmtId="7" fontId="23" fillId="0" borderId="7" xfId="3" applyNumberFormat="1" applyFont="1" applyBorder="1" applyAlignment="1">
      <alignment horizontal="right"/>
    </xf>
    <xf numFmtId="0" fontId="25" fillId="0" borderId="0" xfId="3" applyFont="1" applyAlignment="1">
      <alignment horizontal="centerContinuous"/>
    </xf>
    <xf numFmtId="0" fontId="26" fillId="0" borderId="8" xfId="3" applyFont="1" applyBorder="1" applyAlignment="1">
      <alignment horizontal="centerContinuous"/>
    </xf>
    <xf numFmtId="0" fontId="20" fillId="0" borderId="0" xfId="3" applyFont="1"/>
    <xf numFmtId="14" fontId="6" fillId="0" borderId="0" xfId="3" applyNumberFormat="1" applyAlignment="1">
      <alignment horizontal="center"/>
    </xf>
    <xf numFmtId="175" fontId="9" fillId="0" borderId="0" xfId="3" applyNumberFormat="1" applyFont="1"/>
    <xf numFmtId="175" fontId="23" fillId="0" borderId="0" xfId="3" applyNumberFormat="1" applyFont="1"/>
    <xf numFmtId="0" fontId="6" fillId="0" borderId="0" xfId="3" applyAlignment="1">
      <alignment horizontal="left" indent="1"/>
    </xf>
    <xf numFmtId="0" fontId="8" fillId="0" borderId="0" xfId="3" applyFont="1"/>
    <xf numFmtId="175" fontId="27" fillId="0" borderId="0" xfId="3" applyNumberFormat="1" applyFont="1"/>
    <xf numFmtId="175" fontId="6" fillId="0" borderId="0" xfId="3" applyNumberFormat="1"/>
    <xf numFmtId="37" fontId="9" fillId="0" borderId="0" xfId="3" applyNumberFormat="1" applyFont="1"/>
    <xf numFmtId="175" fontId="23" fillId="0" borderId="7" xfId="3" applyNumberFormat="1" applyFont="1" applyBorder="1"/>
    <xf numFmtId="175" fontId="26" fillId="0" borderId="7" xfId="3" applyNumberFormat="1" applyFont="1" applyBorder="1" applyAlignment="1">
      <alignment horizontal="center"/>
    </xf>
    <xf numFmtId="175" fontId="26" fillId="0" borderId="0" xfId="3" applyNumberFormat="1" applyFont="1"/>
    <xf numFmtId="14" fontId="6" fillId="0" borderId="0" xfId="3" applyNumberFormat="1"/>
    <xf numFmtId="174" fontId="6" fillId="0" borderId="0" xfId="3" applyNumberFormat="1" applyAlignment="1">
      <alignment horizontal="center"/>
    </xf>
    <xf numFmtId="175" fontId="9" fillId="0" borderId="7" xfId="3" applyNumberFormat="1" applyFont="1" applyBorder="1"/>
    <xf numFmtId="0" fontId="27" fillId="0" borderId="0" xfId="3" applyFont="1"/>
    <xf numFmtId="174" fontId="10" fillId="0" borderId="0" xfId="3" applyNumberFormat="1" applyFont="1"/>
    <xf numFmtId="176" fontId="6" fillId="0" borderId="0" xfId="3" applyNumberFormat="1"/>
    <xf numFmtId="177" fontId="10" fillId="0" borderId="0" xfId="3" applyNumberFormat="1" applyFont="1"/>
    <xf numFmtId="175" fontId="8" fillId="0" borderId="0" xfId="3" applyNumberFormat="1" applyFont="1"/>
    <xf numFmtId="0" fontId="20" fillId="0" borderId="0" xfId="3" applyFont="1" applyAlignment="1">
      <alignment horizontal="left"/>
    </xf>
    <xf numFmtId="174" fontId="20" fillId="0" borderId="0" xfId="3" applyNumberFormat="1" applyFont="1"/>
    <xf numFmtId="178" fontId="20" fillId="0" borderId="0" xfId="3" applyNumberFormat="1" applyFont="1"/>
    <xf numFmtId="174" fontId="6" fillId="0" borderId="0" xfId="3" applyNumberFormat="1"/>
    <xf numFmtId="177" fontId="20" fillId="0" borderId="0" xfId="3" applyNumberFormat="1" applyFont="1"/>
    <xf numFmtId="173" fontId="6" fillId="0" borderId="0" xfId="3" quotePrefix="1" applyNumberFormat="1"/>
    <xf numFmtId="0" fontId="6" fillId="0" borderId="0" xfId="3" applyAlignment="1">
      <alignment horizontal="left"/>
    </xf>
    <xf numFmtId="0" fontId="28" fillId="0" borderId="0" xfId="3" applyFont="1"/>
    <xf numFmtId="0" fontId="28" fillId="0" borderId="0" xfId="3" applyFont="1" applyAlignment="1">
      <alignment horizontal="right"/>
    </xf>
    <xf numFmtId="0" fontId="28" fillId="0" borderId="0" xfId="3" applyFont="1" applyAlignment="1">
      <alignment horizontal="left" vertical="center"/>
    </xf>
    <xf numFmtId="14" fontId="9" fillId="0" borderId="0" xfId="3" applyNumberFormat="1" applyFont="1"/>
    <xf numFmtId="179" fontId="10" fillId="0" borderId="0" xfId="3" applyNumberFormat="1" applyFont="1"/>
    <xf numFmtId="180" fontId="10" fillId="0" borderId="0" xfId="3" applyNumberFormat="1" applyFont="1"/>
    <xf numFmtId="37" fontId="23" fillId="0" borderId="0" xfId="3" applyNumberFormat="1" applyFont="1"/>
    <xf numFmtId="0" fontId="9" fillId="0" borderId="0" xfId="3" applyFont="1" applyAlignment="1">
      <alignment horizontal="left" indent="1"/>
    </xf>
    <xf numFmtId="0" fontId="8" fillId="0" borderId="0" xfId="3" applyFont="1" applyAlignment="1">
      <alignment horizontal="left"/>
    </xf>
    <xf numFmtId="181" fontId="10" fillId="0" borderId="0" xfId="3" applyNumberFormat="1" applyFont="1"/>
    <xf numFmtId="0" fontId="6" fillId="0" borderId="0" xfId="3" applyAlignment="1">
      <alignment horizontal="left" vertical="center" indent="1"/>
    </xf>
    <xf numFmtId="180" fontId="6" fillId="0" borderId="0" xfId="3" applyNumberFormat="1"/>
    <xf numFmtId="179" fontId="29" fillId="0" borderId="0" xfId="3" applyNumberFormat="1" applyFont="1"/>
    <xf numFmtId="0" fontId="8" fillId="0" borderId="0" xfId="3" applyFont="1" applyAlignment="1">
      <alignment vertical="center"/>
    </xf>
    <xf numFmtId="0" fontId="25" fillId="0" borderId="0" xfId="3" applyFont="1" applyAlignment="1">
      <alignment horizontal="right"/>
    </xf>
    <xf numFmtId="175" fontId="6" fillId="0" borderId="0" xfId="3" applyNumberFormat="1" applyAlignment="1">
      <alignment horizontal="right"/>
    </xf>
    <xf numFmtId="37" fontId="20" fillId="0" borderId="7" xfId="3" applyNumberFormat="1" applyFont="1" applyBorder="1" applyAlignment="1">
      <alignment horizontal="right"/>
    </xf>
    <xf numFmtId="37" fontId="6" fillId="0" borderId="0" xfId="3" applyNumberFormat="1" applyAlignment="1">
      <alignment horizontal="right"/>
    </xf>
    <xf numFmtId="182" fontId="6" fillId="0" borderId="0" xfId="3" applyNumberFormat="1" applyAlignment="1">
      <alignment horizontal="right"/>
    </xf>
    <xf numFmtId="0" fontId="9" fillId="2" borderId="0" xfId="3" applyFont="1" applyFill="1"/>
    <xf numFmtId="0" fontId="30" fillId="0" borderId="0" xfId="3" applyFont="1" applyAlignment="1">
      <alignment horizontal="centerContinuous"/>
    </xf>
    <xf numFmtId="0" fontId="25" fillId="0" borderId="9" xfId="3" applyFont="1" applyBorder="1" applyAlignment="1">
      <alignment horizontal="centerContinuous"/>
    </xf>
    <xf numFmtId="0" fontId="6" fillId="0" borderId="0" xfId="3" applyAlignment="1">
      <alignment horizontal="centerContinuous"/>
    </xf>
    <xf numFmtId="0" fontId="6" fillId="0" borderId="9" xfId="3" applyBorder="1" applyAlignment="1">
      <alignment horizontal="centerContinuous"/>
    </xf>
    <xf numFmtId="0" fontId="6" fillId="0" borderId="0" xfId="3" applyAlignment="1">
      <alignment horizontal="right"/>
    </xf>
    <xf numFmtId="166" fontId="10" fillId="3" borderId="11" xfId="3" applyNumberFormat="1" applyFont="1" applyFill="1" applyBorder="1"/>
    <xf numFmtId="177" fontId="6" fillId="0" borderId="12" xfId="3" applyNumberFormat="1" applyBorder="1" applyAlignment="1">
      <alignment horizontal="right"/>
    </xf>
    <xf numFmtId="183" fontId="6" fillId="0" borderId="0" xfId="3" applyNumberFormat="1"/>
    <xf numFmtId="183" fontId="6" fillId="0" borderId="9" xfId="3" applyNumberFormat="1" applyBorder="1"/>
    <xf numFmtId="177" fontId="6" fillId="0" borderId="0" xfId="3" applyNumberFormat="1" applyAlignment="1">
      <alignment horizontal="right"/>
    </xf>
    <xf numFmtId="166" fontId="10" fillId="3" borderId="14" xfId="3" applyNumberFormat="1" applyFont="1" applyFill="1" applyBorder="1" applyAlignment="1">
      <alignment horizontal="right"/>
    </xf>
    <xf numFmtId="0" fontId="27" fillId="2" borderId="0" xfId="3" applyFont="1" applyFill="1" applyAlignment="1">
      <alignment horizontal="center"/>
    </xf>
    <xf numFmtId="184" fontId="6" fillId="0" borderId="0" xfId="3" applyNumberFormat="1"/>
    <xf numFmtId="177" fontId="10" fillId="3" borderId="11" xfId="3" applyNumberFormat="1" applyFont="1" applyFill="1" applyBorder="1"/>
    <xf numFmtId="0" fontId="6" fillId="0" borderId="9" xfId="3" applyBorder="1"/>
    <xf numFmtId="0" fontId="8" fillId="4" borderId="0" xfId="3" applyFont="1" applyFill="1"/>
    <xf numFmtId="0" fontId="8" fillId="4" borderId="9" xfId="3" applyFont="1" applyFill="1" applyBorder="1"/>
    <xf numFmtId="185" fontId="6" fillId="0" borderId="0" xfId="3" applyNumberFormat="1"/>
    <xf numFmtId="0" fontId="6" fillId="0" borderId="10" xfId="3" applyBorder="1"/>
    <xf numFmtId="0" fontId="6" fillId="0" borderId="11" xfId="3" applyBorder="1" applyAlignment="1">
      <alignment horizontal="right"/>
    </xf>
    <xf numFmtId="0" fontId="6" fillId="0" borderId="13" xfId="3" applyBorder="1" applyAlignment="1">
      <alignment horizontal="right"/>
    </xf>
    <xf numFmtId="0" fontId="6" fillId="0" borderId="11" xfId="3" applyBorder="1"/>
    <xf numFmtId="0" fontId="6" fillId="0" borderId="15" xfId="3" applyBorder="1"/>
    <xf numFmtId="174" fontId="9" fillId="0" borderId="0" xfId="0" applyNumberFormat="1" applyFont="1"/>
    <xf numFmtId="0" fontId="27" fillId="0" borderId="7" xfId="3" applyFont="1" applyBorder="1"/>
    <xf numFmtId="0" fontId="9" fillId="0" borderId="7" xfId="3" applyFont="1" applyBorder="1"/>
    <xf numFmtId="0" fontId="27" fillId="0" borderId="7" xfId="3" applyFont="1" applyBorder="1" applyAlignment="1">
      <alignment horizontal="right"/>
    </xf>
    <xf numFmtId="0" fontId="28" fillId="0" borderId="0" xfId="3" applyFont="1" applyAlignment="1">
      <alignment horizontal="left"/>
    </xf>
    <xf numFmtId="0" fontId="8" fillId="0" borderId="6" xfId="3" applyFont="1" applyBorder="1"/>
    <xf numFmtId="0" fontId="8" fillId="0" borderId="10" xfId="3" applyFont="1" applyBorder="1"/>
    <xf numFmtId="185" fontId="9" fillId="0" borderId="0" xfId="3" applyNumberFormat="1" applyFont="1"/>
    <xf numFmtId="10" fontId="10" fillId="0" borderId="7" xfId="3" applyNumberFormat="1" applyFont="1" applyBorder="1"/>
    <xf numFmtId="10" fontId="9" fillId="0" borderId="0" xfId="3" applyNumberFormat="1" applyFont="1"/>
    <xf numFmtId="166" fontId="9" fillId="0" borderId="0" xfId="3" applyNumberFormat="1" applyFont="1"/>
    <xf numFmtId="0" fontId="6" fillId="0" borderId="6" xfId="3" applyBorder="1"/>
    <xf numFmtId="166" fontId="26" fillId="0" borderId="0" xfId="3" applyNumberFormat="1" applyFont="1" applyAlignment="1">
      <alignment horizontal="right"/>
    </xf>
    <xf numFmtId="9" fontId="10" fillId="0" borderId="0" xfId="3" applyNumberFormat="1" applyFont="1"/>
    <xf numFmtId="173" fontId="6" fillId="0" borderId="0" xfId="3" applyNumberFormat="1"/>
    <xf numFmtId="9" fontId="9" fillId="0" borderId="0" xfId="3" applyNumberFormat="1" applyFont="1"/>
    <xf numFmtId="0" fontId="8" fillId="0" borderId="11" xfId="3" applyFont="1" applyBorder="1"/>
    <xf numFmtId="173" fontId="8" fillId="0" borderId="13" xfId="3" applyNumberFormat="1" applyFont="1" applyBorder="1"/>
    <xf numFmtId="175" fontId="9" fillId="0" borderId="0" xfId="0" applyNumberFormat="1" applyFont="1"/>
    <xf numFmtId="14" fontId="0" fillId="0" borderId="0" xfId="0" applyNumberFormat="1"/>
    <xf numFmtId="167" fontId="17" fillId="0" borderId="0" xfId="1" applyNumberFormat="1" applyFont="1"/>
    <xf numFmtId="167" fontId="16" fillId="0" borderId="0" xfId="0" applyNumberFormat="1" applyFont="1"/>
    <xf numFmtId="186" fontId="0" fillId="0" borderId="6" xfId="0" applyNumberFormat="1" applyBorder="1" applyAlignment="1">
      <alignment horizontal="right"/>
    </xf>
    <xf numFmtId="186" fontId="0" fillId="0" borderId="12" xfId="0" applyNumberFormat="1" applyBorder="1"/>
    <xf numFmtId="177" fontId="31" fillId="3" borderId="11" xfId="3" applyNumberFormat="1" applyFont="1" applyFill="1" applyBorder="1"/>
    <xf numFmtId="0" fontId="0" fillId="0" borderId="16" xfId="0" quotePrefix="1" applyBorder="1"/>
    <xf numFmtId="39" fontId="0" fillId="0" borderId="0" xfId="0" applyNumberFormat="1"/>
    <xf numFmtId="39" fontId="0" fillId="0" borderId="17" xfId="0" applyNumberFormat="1" applyBorder="1"/>
    <xf numFmtId="0" fontId="0" fillId="0" borderId="16" xfId="0" applyBorder="1"/>
    <xf numFmtId="0" fontId="0" fillId="0" borderId="18" xfId="0" applyBorder="1"/>
    <xf numFmtId="39" fontId="0" fillId="0" borderId="6" xfId="0" applyNumberFormat="1" applyBorder="1"/>
    <xf numFmtId="39" fontId="9" fillId="0" borderId="6" xfId="0" applyNumberFormat="1" applyFont="1" applyBorder="1"/>
    <xf numFmtId="39" fontId="0" fillId="0" borderId="12" xfId="0" applyNumberFormat="1" applyBorder="1"/>
    <xf numFmtId="0" fontId="0" fillId="0" borderId="9" xfId="0" applyBorder="1"/>
    <xf numFmtId="39" fontId="9" fillId="0" borderId="0" xfId="0" applyNumberFormat="1" applyFont="1"/>
    <xf numFmtId="39" fontId="9" fillId="0" borderId="17" xfId="0" applyNumberFormat="1" applyFont="1" applyBorder="1"/>
    <xf numFmtId="0" fontId="0" fillId="0" borderId="19" xfId="0" applyBorder="1"/>
    <xf numFmtId="39" fontId="9" fillId="0" borderId="12" xfId="0" applyNumberFormat="1" applyFont="1" applyBorder="1"/>
    <xf numFmtId="187" fontId="8" fillId="0" borderId="20" xfId="3" applyNumberFormat="1" applyFont="1" applyBorder="1"/>
    <xf numFmtId="175" fontId="23" fillId="0" borderId="21" xfId="3" applyNumberFormat="1" applyFont="1" applyBorder="1"/>
    <xf numFmtId="9" fontId="7" fillId="0" borderId="21" xfId="2" applyBorder="1"/>
    <xf numFmtId="175" fontId="9" fillId="0" borderId="21" xfId="3" applyNumberFormat="1" applyFont="1" applyBorder="1"/>
    <xf numFmtId="173" fontId="23" fillId="0" borderId="21" xfId="3" applyNumberFormat="1" applyFont="1" applyBorder="1"/>
    <xf numFmtId="175" fontId="27" fillId="0" borderId="22" xfId="3" applyNumberFormat="1" applyFont="1" applyBorder="1"/>
    <xf numFmtId="176" fontId="8" fillId="0" borderId="23" xfId="3" applyNumberFormat="1" applyFont="1" applyBorder="1"/>
    <xf numFmtId="176" fontId="8" fillId="0" borderId="20" xfId="3" applyNumberFormat="1" applyFont="1" applyBorder="1"/>
    <xf numFmtId="14" fontId="21" fillId="0" borderId="5" xfId="3" applyNumberFormat="1" applyFont="1" applyBorder="1"/>
    <xf numFmtId="168" fontId="7" fillId="0" borderId="0" xfId="1" applyNumberFormat="1"/>
    <xf numFmtId="167" fontId="0" fillId="0" borderId="0" xfId="0" applyNumberFormat="1"/>
    <xf numFmtId="168" fontId="33" fillId="0" borderId="0" xfId="1" applyNumberFormat="1" applyFont="1"/>
    <xf numFmtId="175" fontId="10" fillId="0" borderId="0" xfId="3" applyNumberFormat="1" applyFont="1"/>
    <xf numFmtId="3" fontId="8" fillId="0" borderId="0" xfId="3" applyNumberFormat="1" applyFont="1"/>
    <xf numFmtId="14" fontId="10" fillId="0" borderId="0" xfId="3" applyNumberFormat="1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166" fontId="9" fillId="3" borderId="14" xfId="0" applyNumberFormat="1" applyFont="1" applyFill="1" applyBorder="1" applyAlignment="1">
      <alignment horizontal="right"/>
    </xf>
    <xf numFmtId="166" fontId="9" fillId="3" borderId="24" xfId="0" applyNumberFormat="1" applyFont="1" applyFill="1" applyBorder="1" applyAlignment="1">
      <alignment horizontal="right"/>
    </xf>
    <xf numFmtId="166" fontId="9" fillId="3" borderId="10" xfId="0" applyNumberFormat="1" applyFont="1" applyFill="1" applyBorder="1"/>
    <xf numFmtId="166" fontId="9" fillId="3" borderId="11" xfId="0" applyNumberFormat="1" applyFont="1" applyFill="1" applyBorder="1"/>
    <xf numFmtId="188" fontId="7" fillId="0" borderId="0" xfId="1" applyNumberFormat="1"/>
    <xf numFmtId="0" fontId="16" fillId="0" borderId="0" xfId="0" applyFont="1" applyAlignment="1">
      <alignment horizontal="left"/>
    </xf>
    <xf numFmtId="189" fontId="15" fillId="0" borderId="0" xfId="0" applyNumberFormat="1" applyFont="1"/>
    <xf numFmtId="164" fontId="16" fillId="0" borderId="0" xfId="0" applyNumberFormat="1" applyFont="1" applyAlignment="1">
      <alignment horizontal="center" vertical="center"/>
    </xf>
    <xf numFmtId="164" fontId="14" fillId="0" borderId="0" xfId="1" applyNumberFormat="1" applyFont="1"/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/>
    <xf numFmtId="164" fontId="17" fillId="0" borderId="0" xfId="1" applyNumberFormat="1" applyFont="1"/>
    <xf numFmtId="164" fontId="16" fillId="0" borderId="0" xfId="1" applyNumberFormat="1" applyFont="1"/>
    <xf numFmtId="164" fontId="14" fillId="0" borderId="0" xfId="0" applyNumberFormat="1" applyFont="1"/>
    <xf numFmtId="164" fontId="17" fillId="0" borderId="0" xfId="0" applyNumberFormat="1" applyFont="1" applyAlignment="1">
      <alignment horizontal="center" vertical="center"/>
    </xf>
    <xf numFmtId="9" fontId="7" fillId="0" borderId="0" xfId="2"/>
    <xf numFmtId="9" fontId="33" fillId="0" borderId="0" xfId="2" applyFont="1"/>
    <xf numFmtId="166" fontId="14" fillId="0" borderId="3" xfId="2" applyNumberFormat="1" applyFont="1" applyBorder="1"/>
    <xf numFmtId="166" fontId="9" fillId="0" borderId="0" xfId="0" applyNumberFormat="1" applyFont="1"/>
    <xf numFmtId="166" fontId="33" fillId="0" borderId="0" xfId="2" applyNumberFormat="1" applyFont="1"/>
    <xf numFmtId="167" fontId="16" fillId="0" borderId="0" xfId="0" applyNumberFormat="1" applyFont="1" applyAlignment="1">
      <alignment horizontal="center" vertical="center"/>
    </xf>
    <xf numFmtId="0" fontId="5" fillId="0" borderId="0" xfId="3" applyFont="1"/>
    <xf numFmtId="37" fontId="5" fillId="0" borderId="0" xfId="3" applyNumberFormat="1" applyFont="1" applyAlignment="1">
      <alignment horizontal="right"/>
    </xf>
    <xf numFmtId="168" fontId="16" fillId="0" borderId="0" xfId="0" applyNumberFormat="1" applyFont="1" applyAlignment="1">
      <alignment horizontal="center" vertical="center"/>
    </xf>
    <xf numFmtId="168" fontId="17" fillId="0" borderId="0" xfId="0" applyNumberFormat="1" applyFont="1" applyAlignment="1">
      <alignment horizontal="center" vertical="center"/>
    </xf>
    <xf numFmtId="168" fontId="17" fillId="0" borderId="0" xfId="1" applyNumberFormat="1" applyFont="1"/>
    <xf numFmtId="173" fontId="0" fillId="0" borderId="0" xfId="0" quotePrefix="1" applyNumberFormat="1"/>
    <xf numFmtId="166" fontId="9" fillId="3" borderId="25" xfId="0" applyNumberFormat="1" applyFont="1" applyFill="1" applyBorder="1"/>
    <xf numFmtId="177" fontId="9" fillId="0" borderId="0" xfId="3" applyNumberFormat="1" applyFont="1"/>
    <xf numFmtId="177" fontId="31" fillId="3" borderId="25" xfId="3" applyNumberFormat="1" applyFont="1" applyFill="1" applyBorder="1"/>
    <xf numFmtId="0" fontId="8" fillId="0" borderId="0" xfId="0" applyFont="1"/>
    <xf numFmtId="164" fontId="20" fillId="0" borderId="0" xfId="0" applyNumberFormat="1" applyFont="1"/>
    <xf numFmtId="166" fontId="11" fillId="0" borderId="0" xfId="2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190" fontId="20" fillId="0" borderId="2" xfId="0" applyNumberFormat="1" applyFont="1" applyBorder="1"/>
    <xf numFmtId="190" fontId="4" fillId="0" borderId="2" xfId="0" applyNumberFormat="1" applyFont="1" applyBorder="1" applyAlignment="1">
      <alignment horizontal="center"/>
    </xf>
    <xf numFmtId="167" fontId="16" fillId="0" borderId="3" xfId="0" applyNumberFormat="1" applyFont="1" applyBorder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67" fontId="15" fillId="0" borderId="0" xfId="0" applyNumberFormat="1" applyFont="1"/>
    <xf numFmtId="191" fontId="0" fillId="0" borderId="0" xfId="0" applyNumberFormat="1" applyAlignment="1">
      <alignment horizontal="right"/>
    </xf>
    <xf numFmtId="182" fontId="0" fillId="0" borderId="0" xfId="0" applyNumberFormat="1" applyAlignment="1">
      <alignment horizontal="right"/>
    </xf>
    <xf numFmtId="168" fontId="15" fillId="0" borderId="0" xfId="1" applyNumberFormat="1" applyFont="1"/>
    <xf numFmtId="1" fontId="11" fillId="0" borderId="0" xfId="0" applyNumberFormat="1" applyFont="1"/>
    <xf numFmtId="1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right" vertical="center"/>
    </xf>
    <xf numFmtId="0" fontId="35" fillId="0" borderId="0" xfId="0" applyFont="1" applyAlignment="1">
      <alignment horizontal="center"/>
    </xf>
    <xf numFmtId="166" fontId="15" fillId="0" borderId="0" xfId="2" applyNumberFormat="1" applyFont="1"/>
    <xf numFmtId="168" fontId="36" fillId="0" borderId="0" xfId="1" applyNumberFormat="1" applyFont="1" applyAlignment="1">
      <alignment horizontal="center" vertical="center"/>
    </xf>
    <xf numFmtId="0" fontId="11" fillId="0" borderId="6" xfId="0" applyFont="1" applyBorder="1"/>
    <xf numFmtId="190" fontId="3" fillId="0" borderId="2" xfId="0" applyNumberFormat="1" applyFont="1" applyBorder="1"/>
    <xf numFmtId="172" fontId="3" fillId="0" borderId="6" xfId="0" applyNumberFormat="1" applyFont="1" applyBorder="1"/>
    <xf numFmtId="0" fontId="14" fillId="0" borderId="0" xfId="0" applyFont="1" applyAlignment="1">
      <alignment horizontal="center" vertical="center"/>
    </xf>
    <xf numFmtId="172" fontId="3" fillId="0" borderId="2" xfId="0" applyNumberFormat="1" applyFont="1" applyBorder="1"/>
    <xf numFmtId="164" fontId="3" fillId="0" borderId="0" xfId="0" applyNumberFormat="1" applyFont="1"/>
    <xf numFmtId="164" fontId="14" fillId="0" borderId="0" xfId="0" applyNumberFormat="1" applyFont="1" applyAlignment="1">
      <alignment horizontal="center" vertical="center"/>
    </xf>
    <xf numFmtId="9" fontId="11" fillId="0" borderId="0" xfId="2" applyFont="1"/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64" fontId="17" fillId="0" borderId="3" xfId="1" applyNumberFormat="1" applyFont="1" applyBorder="1"/>
    <xf numFmtId="0" fontId="16" fillId="0" borderId="0" xfId="0" applyFont="1" applyAlignment="1">
      <alignment horizontal="left" indent="1"/>
    </xf>
    <xf numFmtId="165" fontId="14" fillId="0" borderId="0" xfId="0" applyNumberFormat="1" applyFont="1"/>
    <xf numFmtId="1" fontId="15" fillId="0" borderId="0" xfId="0" applyNumberFormat="1" applyFont="1" applyAlignment="1">
      <alignment horizontal="right" vertical="center"/>
    </xf>
    <xf numFmtId="10" fontId="7" fillId="0" borderId="0" xfId="2" applyNumberFormat="1"/>
    <xf numFmtId="10" fontId="33" fillId="0" borderId="0" xfId="2" applyNumberFormat="1" applyFont="1"/>
    <xf numFmtId="185" fontId="39" fillId="0" borderId="7" xfId="3" applyNumberFormat="1" applyFont="1" applyBorder="1"/>
    <xf numFmtId="9" fontId="6" fillId="0" borderId="0" xfId="3" applyNumberFormat="1"/>
    <xf numFmtId="168" fontId="11" fillId="0" borderId="0" xfId="0" applyNumberFormat="1" applyFont="1" applyAlignment="1">
      <alignment horizontal="center" vertical="center"/>
    </xf>
    <xf numFmtId="164" fontId="15" fillId="0" borderId="0" xfId="1" applyNumberFormat="1" applyFont="1"/>
    <xf numFmtId="168" fontId="0" fillId="0" borderId="0" xfId="0" applyNumberFormat="1"/>
    <xf numFmtId="177" fontId="10" fillId="0" borderId="0" xfId="3" applyNumberFormat="1" applyFont="1" applyAlignment="1">
      <alignment vertical="center"/>
    </xf>
    <xf numFmtId="192" fontId="7" fillId="0" borderId="0" xfId="1"/>
    <xf numFmtId="190" fontId="2" fillId="0" borderId="2" xfId="0" applyNumberFormat="1" applyFont="1" applyBorder="1"/>
    <xf numFmtId="166" fontId="10" fillId="0" borderId="0" xfId="3" applyNumberFormat="1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26" xfId="0" applyBorder="1" applyAlignment="1">
      <alignment horizontal="centerContinuous"/>
    </xf>
    <xf numFmtId="173" fontId="0" fillId="5" borderId="0" xfId="0" applyNumberFormat="1" applyFill="1"/>
    <xf numFmtId="193" fontId="9" fillId="0" borderId="27" xfId="0" applyNumberFormat="1" applyFont="1" applyBorder="1"/>
    <xf numFmtId="180" fontId="10" fillId="0" borderId="28" xfId="0" applyNumberFormat="1" applyFont="1" applyBorder="1"/>
    <xf numFmtId="193" fontId="9" fillId="0" borderId="28" xfId="0" applyNumberFormat="1" applyFont="1" applyBorder="1"/>
    <xf numFmtId="10" fontId="9" fillId="0" borderId="29" xfId="0" applyNumberFormat="1" applyFont="1" applyBorder="1"/>
    <xf numFmtId="174" fontId="0" fillId="0" borderId="26" xfId="0" applyNumberFormat="1" applyBorder="1"/>
    <xf numFmtId="174" fontId="0" fillId="0" borderId="0" xfId="0" applyNumberFormat="1"/>
    <xf numFmtId="0" fontId="0" fillId="0" borderId="0" xfId="0" applyAlignment="1">
      <alignment horizontal="right"/>
    </xf>
    <xf numFmtId="10" fontId="10" fillId="0" borderId="29" xfId="0" applyNumberFormat="1" applyFont="1" applyBorder="1"/>
    <xf numFmtId="10" fontId="9" fillId="0" borderId="9" xfId="0" applyNumberFormat="1" applyFont="1" applyBorder="1"/>
    <xf numFmtId="0" fontId="10" fillId="2" borderId="30" xfId="0" applyFont="1" applyFill="1" applyBorder="1" applyAlignment="1">
      <alignment horizontal="right"/>
    </xf>
    <xf numFmtId="0" fontId="0" fillId="0" borderId="0" xfId="0" applyAlignment="1">
      <alignment horizontal="left" indent="1"/>
    </xf>
    <xf numFmtId="180" fontId="0" fillId="0" borderId="0" xfId="0" applyNumberFormat="1"/>
    <xf numFmtId="0" fontId="0" fillId="0" borderId="0" xfId="0" applyAlignment="1">
      <alignment wrapText="1"/>
    </xf>
    <xf numFmtId="0" fontId="0" fillId="0" borderId="31" xfId="0" applyBorder="1"/>
    <xf numFmtId="0" fontId="0" fillId="0" borderId="31" xfId="0" applyBorder="1" applyAlignment="1">
      <alignment wrapText="1"/>
    </xf>
    <xf numFmtId="37" fontId="10" fillId="0" borderId="0" xfId="0" applyNumberFormat="1" applyFont="1"/>
    <xf numFmtId="37" fontId="0" fillId="0" borderId="0" xfId="0" applyNumberFormat="1"/>
    <xf numFmtId="173" fontId="0" fillId="0" borderId="0" xfId="0" applyNumberFormat="1"/>
    <xf numFmtId="39" fontId="10" fillId="0" borderId="0" xfId="0" applyNumberFormat="1" applyFont="1"/>
    <xf numFmtId="39" fontId="39" fillId="0" borderId="0" xfId="0" applyNumberFormat="1" applyFont="1"/>
    <xf numFmtId="173" fontId="39" fillId="0" borderId="0" xfId="0" applyNumberFormat="1" applyFont="1"/>
    <xf numFmtId="39" fontId="8" fillId="0" borderId="0" xfId="0" applyNumberFormat="1" applyFont="1"/>
    <xf numFmtId="194" fontId="31" fillId="0" borderId="0" xfId="0" applyNumberFormat="1" applyFont="1" applyAlignment="1">
      <alignment horizontal="right" vertical="center"/>
    </xf>
    <xf numFmtId="194" fontId="10" fillId="0" borderId="0" xfId="0" applyNumberFormat="1" applyFont="1" applyAlignment="1">
      <alignment horizontal="right" vertical="center"/>
    </xf>
    <xf numFmtId="194" fontId="10" fillId="0" borderId="0" xfId="0" applyNumberFormat="1" applyFont="1" applyAlignment="1">
      <alignment horizontal="center"/>
    </xf>
    <xf numFmtId="167" fontId="15" fillId="0" borderId="0" xfId="0" applyNumberFormat="1" applyFont="1" applyAlignment="1">
      <alignment horizontal="center" vertical="center"/>
    </xf>
    <xf numFmtId="0" fontId="6" fillId="0" borderId="0" xfId="3" applyAlignment="1">
      <alignment horizontal="center" vertical="center"/>
    </xf>
    <xf numFmtId="2" fontId="0" fillId="0" borderId="0" xfId="0" applyNumberFormat="1"/>
    <xf numFmtId="174" fontId="23" fillId="0" borderId="7" xfId="3" applyNumberFormat="1" applyFont="1" applyBorder="1" applyAlignment="1">
      <alignment vertical="center"/>
    </xf>
    <xf numFmtId="0" fontId="0" fillId="0" borderId="0" xfId="0" applyAlignment="1">
      <alignment horizontal="left"/>
    </xf>
    <xf numFmtId="168" fontId="14" fillId="0" borderId="0" xfId="1" applyNumberFormat="1" applyFont="1"/>
    <xf numFmtId="166" fontId="17" fillId="0" borderId="0" xfId="2" applyNumberFormat="1" applyFont="1" applyAlignment="1">
      <alignment horizontal="left"/>
    </xf>
    <xf numFmtId="166" fontId="40" fillId="0" borderId="0" xfId="2" applyNumberFormat="1" applyFont="1"/>
    <xf numFmtId="0" fontId="17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37" fontId="11" fillId="0" borderId="0" xfId="0" applyNumberFormat="1" applyFont="1" applyAlignment="1">
      <alignment horizontal="right" vertical="center"/>
    </xf>
    <xf numFmtId="37" fontId="14" fillId="0" borderId="0" xfId="1" applyNumberFormat="1" applyFont="1" applyAlignment="1">
      <alignment horizontal="right" vertical="center"/>
    </xf>
    <xf numFmtId="37" fontId="16" fillId="0" borderId="0" xfId="0" applyNumberFormat="1" applyFont="1" applyAlignment="1">
      <alignment horizontal="right" vertical="center"/>
    </xf>
    <xf numFmtId="37" fontId="16" fillId="0" borderId="0" xfId="1" applyNumberFormat="1" applyFont="1" applyAlignment="1">
      <alignment horizontal="right" vertical="center"/>
    </xf>
    <xf numFmtId="37" fontId="17" fillId="0" borderId="0" xfId="1" applyNumberFormat="1" applyFont="1" applyAlignment="1">
      <alignment horizontal="right" vertical="center"/>
    </xf>
    <xf numFmtId="37" fontId="20" fillId="0" borderId="0" xfId="0" applyNumberFormat="1" applyFont="1" applyAlignment="1">
      <alignment horizontal="right" vertical="center"/>
    </xf>
    <xf numFmtId="37" fontId="17" fillId="0" borderId="0" xfId="0" applyNumberFormat="1" applyFont="1" applyAlignment="1">
      <alignment horizontal="right" vertical="center"/>
    </xf>
    <xf numFmtId="0" fontId="8" fillId="0" borderId="4" xfId="7" applyFont="1" applyBorder="1"/>
    <xf numFmtId="0" fontId="1" fillId="0" borderId="4" xfId="7" applyBorder="1"/>
    <xf numFmtId="0" fontId="1" fillId="0" borderId="0" xfId="7"/>
    <xf numFmtId="0" fontId="41" fillId="0" borderId="0" xfId="0" applyFont="1"/>
    <xf numFmtId="14" fontId="36" fillId="0" borderId="0" xfId="0" applyNumberFormat="1" applyFont="1"/>
    <xf numFmtId="0" fontId="17" fillId="0" borderId="2" xfId="0" applyFont="1" applyBorder="1"/>
    <xf numFmtId="0" fontId="14" fillId="0" borderId="2" xfId="0" applyFont="1" applyBorder="1"/>
    <xf numFmtId="49" fontId="36" fillId="0" borderId="0" xfId="0" applyNumberFormat="1" applyFont="1"/>
    <xf numFmtId="49" fontId="36" fillId="0" borderId="0" xfId="0" applyNumberFormat="1" applyFont="1" applyAlignment="1">
      <alignment horizontal="left"/>
    </xf>
    <xf numFmtId="4" fontId="42" fillId="0" borderId="0" xfId="0" applyNumberFormat="1" applyFont="1"/>
    <xf numFmtId="4" fontId="36" fillId="0" borderId="0" xfId="0" applyNumberFormat="1" applyFont="1"/>
    <xf numFmtId="14" fontId="41" fillId="0" borderId="0" xfId="0" applyNumberFormat="1" applyFont="1"/>
    <xf numFmtId="196" fontId="42" fillId="0" borderId="0" xfId="0" applyNumberFormat="1" applyFont="1"/>
    <xf numFmtId="196" fontId="36" fillId="0" borderId="0" xfId="0" applyNumberFormat="1" applyFont="1"/>
    <xf numFmtId="196" fontId="17" fillId="0" borderId="0" xfId="0" applyNumberFormat="1" applyFont="1"/>
    <xf numFmtId="196" fontId="17" fillId="0" borderId="32" xfId="0" applyNumberFormat="1" applyFont="1" applyBorder="1"/>
    <xf numFmtId="166" fontId="41" fillId="0" borderId="0" xfId="0" applyNumberFormat="1" applyFont="1"/>
    <xf numFmtId="197" fontId="14" fillId="0" borderId="0" xfId="0" applyNumberFormat="1" applyFont="1"/>
    <xf numFmtId="197" fontId="17" fillId="0" borderId="0" xfId="0" applyNumberFormat="1" applyFont="1"/>
    <xf numFmtId="196" fontId="14" fillId="0" borderId="0" xfId="0" applyNumberFormat="1" applyFont="1"/>
    <xf numFmtId="4" fontId="17" fillId="0" borderId="32" xfId="0" applyNumberFormat="1" applyFont="1" applyBorder="1"/>
    <xf numFmtId="177" fontId="20" fillId="0" borderId="0" xfId="7" applyNumberFormat="1" applyFont="1"/>
    <xf numFmtId="0" fontId="31" fillId="0" borderId="0" xfId="0" applyFont="1"/>
  </cellXfs>
  <cellStyles count="8">
    <cellStyle name="Comma" xfId="1" builtinId="3"/>
    <cellStyle name="Hyperlink" xfId="5" builtinId="8"/>
    <cellStyle name="Normal" xfId="0" builtinId="0"/>
    <cellStyle name="Normal 15" xfId="6" xr:uid="{00000000-0005-0000-0000-000006000000}"/>
    <cellStyle name="Normal 2" xfId="3" xr:uid="{00000000-0005-0000-0000-000003000000}"/>
    <cellStyle name="Normal 2 2" xfId="7" xr:uid="{DBAE67C8-160E-49AC-AF22-FF1456715B4B}"/>
    <cellStyle name="Normal_DCF_Model" xfId="4" xr:uid="{00000000-0005-0000-0000-000004000000}"/>
    <cellStyle name="Percent" xfId="2" builtinId="5"/>
  </cellStyles>
  <dxfs count="5">
    <dxf>
      <font>
        <b/>
      </font>
      <fill>
        <patternFill patternType="solid">
          <bgColor theme="2"/>
        </patternFill>
      </fill>
      <border>
        <left/>
        <right/>
        <top/>
        <bottom/>
      </border>
    </dxf>
    <dxf>
      <font>
        <b/>
        <color rgb="FF00B050"/>
      </font>
      <fill>
        <patternFill>
          <bgColor auto="1"/>
        </patternFill>
      </fill>
    </dxf>
    <dxf>
      <font>
        <b/>
        <color theme="5"/>
      </font>
      <fill>
        <patternFill>
          <bgColor auto="1"/>
        </patternFill>
      </fill>
    </dxf>
    <dxf>
      <font>
        <b/>
        <color rgb="FFFF0000"/>
      </font>
      <fill>
        <patternFill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F4F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DCF Equity Valuation Range </a:t>
            </a:r>
          </a:p>
        </c:rich>
      </c:tx>
      <c:layout>
        <c:manualLayout>
          <c:xMode val="edge"/>
          <c:yMode val="edge"/>
          <c:x val="0.31291626892699842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  <a:ln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3.6x-5.6x Exit EBITDA Range at 19.6% WACC</c:v>
                </c:pt>
                <c:pt idx="1">
                  <c:v>DCF Value at 9.0%-11.0% Perpetuity Range at 19.6%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DCF!$C$128:$C$130</c:f>
              <c:numCache>
                <c:formatCode>#,##0.00_);\(#,##0.00\)</c:formatCode>
                <c:ptCount val="3"/>
                <c:pt idx="0">
                  <c:v>55.997438650023582</c:v>
                </c:pt>
                <c:pt idx="1">
                  <c:v>69.623723691573574</c:v>
                </c:pt>
                <c:pt idx="2">
                  <c:v>22.82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4-4A58-AA79-821BA5E6415D}"/>
            </c:ext>
          </c:extLst>
        </c:ser>
        <c:ser>
          <c:idx val="1"/>
          <c:order val="1"/>
          <c:spPr>
            <a:ln>
              <a:prstDash val="solid"/>
            </a:ln>
          </c:spPr>
          <c:invertIfNegative val="0"/>
          <c:cat>
            <c:strRef>
              <c:f>DCF!$B$128:$B$130</c:f>
              <c:strCache>
                <c:ptCount val="3"/>
                <c:pt idx="0">
                  <c:v>DCF Value at 3.6x-5.6x Exit EBITDA Range at 19.6% WACC</c:v>
                </c:pt>
                <c:pt idx="1">
                  <c:v>DCF Value at 9.0%-11.0% Perpetuity Range at 19.6%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DCF!$D$128:$D$130</c:f>
              <c:numCache>
                <c:formatCode>#,##0.00_);\(#,##0.00\)</c:formatCode>
                <c:ptCount val="3"/>
                <c:pt idx="0">
                  <c:v>14.765684766618548</c:v>
                </c:pt>
                <c:pt idx="1">
                  <c:v>7.657848094600908</c:v>
                </c:pt>
                <c:pt idx="2">
                  <c:v>9.0599999999999987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84-4A58-AA79-821BA5E6415D}"/>
            </c:ext>
          </c:extLst>
        </c:ser>
        <c:ser>
          <c:idx val="2"/>
          <c:order val="2"/>
          <c:spPr>
            <a:noFill/>
            <a:ln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3.6x-5.6x Exit EBITDA Range at 19.6% WACC</c:v>
                </c:pt>
                <c:pt idx="1">
                  <c:v>DCF Value at 9.0%-11.0% Perpetuity Range at 19.6%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DCF!$E$128:$E$130</c:f>
              <c:numCache>
                <c:formatCode>#,##0.00_);\(#,##0.00\)</c:formatCode>
                <c:ptCount val="3"/>
                <c:pt idx="0">
                  <c:v>70.763123416642131</c:v>
                </c:pt>
                <c:pt idx="1">
                  <c:v>77.281571786174482</c:v>
                </c:pt>
                <c:pt idx="2">
                  <c:v>31.88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84-4A58-AA79-821BA5E64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400"/>
          <c:min val="100"/>
        </c:scaling>
        <c:delete val="0"/>
        <c:axPos val="l"/>
        <c:numFmt formatCode="#,##0.00_);\(#,##0.00\)" sourceLinked="1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1"/>
  </c:chart>
  <c:spPr>
    <a:ln>
      <a:noFill/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LTM EBITDA Multiple Range</a:t>
            </a:r>
          </a:p>
        </c:rich>
      </c:tx>
      <c:layout>
        <c:manualLayout>
          <c:xMode val="edge"/>
          <c:yMode val="edge"/>
          <c:x val="0.31291626892699842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  <a:ln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9.0%-11.0% Perpetuity Growth at 19.6% WACC</c:v>
                </c:pt>
                <c:pt idx="1">
                  <c:v>LTM EBITDA Purchase Multiple at 5.6x-6.7x Exit EBITDA Multiple at 19.6% WACC</c:v>
                </c:pt>
                <c:pt idx="2">
                  <c:v>LTM EBITDA Purchase Multiple at 17.6%-21.6% WACC at 4.6x Exit EBITDA</c:v>
                </c:pt>
              </c:strCache>
            </c:strRef>
          </c:cat>
          <c:val>
            <c:numRef>
              <c:f>DCF!$O$128:$O$130</c:f>
              <c:numCache>
                <c:formatCode>#,##0.00_);\(#,##0.00\)</c:formatCode>
                <c:ptCount val="3"/>
                <c:pt idx="0">
                  <c:v>6.5971545917537009</c:v>
                </c:pt>
                <c:pt idx="1">
                  <c:v>5.6200207152163593</c:v>
                </c:pt>
                <c:pt idx="2">
                  <c:v>4.8052637087390213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6-41BE-8998-F76B9C92BB2D}"/>
            </c:ext>
          </c:extLst>
        </c:ser>
        <c:ser>
          <c:idx val="1"/>
          <c:order val="1"/>
          <c:spPr>
            <a:solidFill>
              <a:schemeClr val="tx2"/>
            </a:solidFill>
            <a:ln>
              <a:prstDash val="solid"/>
            </a:ln>
          </c:spPr>
          <c:invertIfNegative val="0"/>
          <c:cat>
            <c:strRef>
              <c:f>DCF!$G$128:$G$130</c:f>
              <c:strCache>
                <c:ptCount val="3"/>
                <c:pt idx="0">
                  <c:v>LTM EBITDA Purchase Multiple at 9.0%-11.0% Perpetuity Growth at 19.6% WACC</c:v>
                </c:pt>
                <c:pt idx="1">
                  <c:v>LTM EBITDA Purchase Multiple at 5.6x-6.7x Exit EBITDA Multiple at 19.6% WACC</c:v>
                </c:pt>
                <c:pt idx="2">
                  <c:v>LTM EBITDA Purchase Multiple at 17.6%-21.6% WACC at 4.6x Exit EBITDA</c:v>
                </c:pt>
              </c:strCache>
            </c:strRef>
          </c:cat>
          <c:val>
            <c:numRef>
              <c:f>DCF!$P$128:$P$130</c:f>
              <c:numCache>
                <c:formatCode>#,##0.00_);\(#,##0.00\)</c:formatCode>
                <c:ptCount val="3"/>
                <c:pt idx="0">
                  <c:v>0.54914033955657793</c:v>
                </c:pt>
                <c:pt idx="1">
                  <c:v>1.0588396435080858</c:v>
                </c:pt>
                <c:pt idx="2">
                  <c:v>0.5941691472065278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16-41BE-8998-F76B9C92BB2D}"/>
            </c:ext>
          </c:extLst>
        </c:ser>
        <c:ser>
          <c:idx val="2"/>
          <c:order val="2"/>
          <c:spPr>
            <a:noFill/>
            <a:ln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9.0%-11.0% Perpetuity Growth at 19.6% WACC</c:v>
                </c:pt>
                <c:pt idx="1">
                  <c:v>LTM EBITDA Purchase Multiple at 5.6x-6.7x Exit EBITDA Multiple at 19.6% WACC</c:v>
                </c:pt>
                <c:pt idx="2">
                  <c:v>LTM EBITDA Purchase Multiple at 17.6%-21.6% WACC at 4.6x Exit EBITDA</c:v>
                </c:pt>
              </c:strCache>
            </c:strRef>
          </c:cat>
          <c:val>
            <c:numRef>
              <c:f>DCF!$Q$128:$Q$130</c:f>
              <c:numCache>
                <c:formatCode>#,##0.00_);\(#,##0.00\)</c:formatCode>
                <c:ptCount val="3"/>
                <c:pt idx="0">
                  <c:v>7.1462949313102788</c:v>
                </c:pt>
                <c:pt idx="1">
                  <c:v>6.6788603587244451</c:v>
                </c:pt>
                <c:pt idx="2">
                  <c:v>5.3994328559455491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16-41BE-8998-F76B9C92B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20"/>
          <c:min val="10"/>
        </c:scaling>
        <c:delete val="0"/>
        <c:axPos val="l"/>
        <c:numFmt formatCode="#,##0.0\x;\-#,##0.0\x" sourceLinked="0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1"/>
  </c:chart>
  <c:spPr>
    <a:ln>
      <a:noFill/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53578</xdr:colOff>
      <xdr:row>106</xdr:row>
      <xdr:rowOff>149424</xdr:rowOff>
    </xdr:from>
    <xdr:to>
      <xdr:col>4</xdr:col>
      <xdr:colOff>654844</xdr:colOff>
      <xdr:row>125</xdr:row>
      <xdr:rowOff>53578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47228</xdr:colOff>
      <xdr:row>106</xdr:row>
      <xdr:rowOff>149424</xdr:rowOff>
    </xdr:from>
    <xdr:to>
      <xdr:col>16</xdr:col>
      <xdr:colOff>1121</xdr:colOff>
      <xdr:row>125</xdr:row>
      <xdr:rowOff>47228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1"/>
  <sheetViews>
    <sheetView showGridLines="0" topLeftCell="A119" zoomScaleNormal="100" workbookViewId="0">
      <selection activeCell="G119" sqref="G119"/>
    </sheetView>
  </sheetViews>
  <sheetFormatPr defaultColWidth="9.140625" defaultRowHeight="15" x14ac:dyDescent="0.25"/>
  <cols>
    <col min="1" max="2" width="1.7109375" style="6" customWidth="1"/>
    <col min="3" max="3" width="66.42578125" style="6" bestFit="1" customWidth="1"/>
    <col min="4" max="4" width="17.140625" style="28" customWidth="1"/>
    <col min="5" max="11" width="17.140625" style="6" customWidth="1"/>
    <col min="12" max="12" width="2.7109375" style="6" customWidth="1"/>
    <col min="13" max="13" width="9.140625" style="6" customWidth="1"/>
    <col min="14" max="16384" width="9.140625" style="6"/>
  </cols>
  <sheetData>
    <row r="1" spans="3:11" ht="15" customHeight="1" thickBot="1" x14ac:dyDescent="0.3"/>
    <row r="2" spans="3:11" ht="15.75" customHeight="1" thickBot="1" x14ac:dyDescent="0.3">
      <c r="C2" s="2" t="str">
        <f>Company_Name&amp;" - Financial Statement Model"</f>
        <v>Lecico Egypt - Financial Statement Model</v>
      </c>
      <c r="D2" s="8"/>
      <c r="E2" s="8"/>
      <c r="F2" s="8"/>
      <c r="G2" s="8"/>
      <c r="H2" s="8"/>
      <c r="I2" s="8"/>
      <c r="J2" s="8"/>
      <c r="K2" s="8"/>
    </row>
    <row r="3" spans="3:11" x14ac:dyDescent="0.25">
      <c r="C3" s="230" t="s">
        <v>100</v>
      </c>
      <c r="D3" s="9"/>
      <c r="E3" s="9"/>
      <c r="F3" s="9"/>
      <c r="G3" s="9"/>
      <c r="H3" s="9"/>
    </row>
    <row r="4" spans="3:11" ht="15" customHeight="1" x14ac:dyDescent="0.25"/>
    <row r="5" spans="3:11" x14ac:dyDescent="0.25">
      <c r="C5" s="3" t="s">
        <v>101</v>
      </c>
      <c r="D5" s="303" t="s">
        <v>277</v>
      </c>
    </row>
    <row r="6" spans="3:11" x14ac:dyDescent="0.25">
      <c r="C6" s="3" t="s">
        <v>102</v>
      </c>
      <c r="D6" s="4" t="s">
        <v>276</v>
      </c>
    </row>
    <row r="7" spans="3:11" x14ac:dyDescent="0.25">
      <c r="C7" s="6" t="s">
        <v>103</v>
      </c>
      <c r="D7" s="293">
        <v>31.54</v>
      </c>
    </row>
    <row r="8" spans="3:11" x14ac:dyDescent="0.25">
      <c r="C8" s="6" t="s">
        <v>104</v>
      </c>
      <c r="D8" s="5">
        <v>46212</v>
      </c>
    </row>
    <row r="9" spans="3:11" x14ac:dyDescent="0.25">
      <c r="C9" s="3" t="s">
        <v>105</v>
      </c>
      <c r="D9" s="5">
        <v>46022</v>
      </c>
    </row>
    <row r="10" spans="3:11" ht="15" customHeight="1" x14ac:dyDescent="0.25">
      <c r="C10" s="6" t="s">
        <v>56</v>
      </c>
      <c r="D10" s="240">
        <v>80000000</v>
      </c>
    </row>
    <row r="11" spans="3:11" ht="15" customHeight="1" x14ac:dyDescent="0.25"/>
    <row r="12" spans="3:11" x14ac:dyDescent="0.25">
      <c r="C12" s="39" t="s">
        <v>106</v>
      </c>
      <c r="D12" s="241"/>
      <c r="E12" s="40"/>
      <c r="F12" s="40"/>
      <c r="G12" s="40"/>
      <c r="H12" s="40"/>
      <c r="I12" s="40"/>
      <c r="J12" s="40"/>
      <c r="K12" s="40"/>
    </row>
    <row r="13" spans="3:11" x14ac:dyDescent="0.25">
      <c r="C13" t="s">
        <v>107</v>
      </c>
      <c r="D13" s="41">
        <f>E13-1</f>
        <v>2023</v>
      </c>
      <c r="E13" s="41">
        <f>F13-1</f>
        <v>2024</v>
      </c>
      <c r="F13" s="41">
        <f>YEAR(D9)</f>
        <v>2025</v>
      </c>
      <c r="G13" s="42">
        <f>F13+1</f>
        <v>2026</v>
      </c>
      <c r="H13" s="42">
        <f>G13+1</f>
        <v>2027</v>
      </c>
      <c r="I13" s="42">
        <f>H13+1</f>
        <v>2028</v>
      </c>
      <c r="J13" s="42">
        <f>I13+1</f>
        <v>2029</v>
      </c>
      <c r="K13" s="42">
        <f>J13+1</f>
        <v>2030</v>
      </c>
    </row>
    <row r="14" spans="3:11" x14ac:dyDescent="0.25">
      <c r="C14" s="43" t="s">
        <v>108</v>
      </c>
      <c r="D14" s="242">
        <f>EOMONTH(E14,-12)</f>
        <v>45291</v>
      </c>
      <c r="E14" s="227">
        <f>EOMONTH(F14,-12)</f>
        <v>45657</v>
      </c>
      <c r="F14" s="227">
        <f>D9</f>
        <v>46022</v>
      </c>
      <c r="G14" s="227">
        <f>EOMONTH(F14,12)</f>
        <v>46387</v>
      </c>
      <c r="H14" s="227">
        <f>EOMONTH(G14,12)</f>
        <v>46752</v>
      </c>
      <c r="I14" s="227">
        <f>EOMONTH(H14,12)</f>
        <v>47118</v>
      </c>
      <c r="J14" s="227">
        <f>EOMONTH(I14,12)</f>
        <v>47483</v>
      </c>
      <c r="K14" s="227">
        <f>EOMONTH(J14,12)</f>
        <v>47848</v>
      </c>
    </row>
    <row r="15" spans="3:11" ht="15" customHeight="1" x14ac:dyDescent="0.25"/>
    <row r="16" spans="3:11" ht="15" customHeight="1" x14ac:dyDescent="0.25">
      <c r="C16" s="6" t="s">
        <v>259</v>
      </c>
      <c r="D16" s="186">
        <v>4842931210</v>
      </c>
      <c r="E16" s="186">
        <v>6644687614</v>
      </c>
      <c r="F16" s="186">
        <v>7803673428</v>
      </c>
      <c r="G16" s="184">
        <f>G162</f>
        <v>9005054910.1999989</v>
      </c>
      <c r="H16" s="184">
        <f t="shared" ref="H16:K16" si="0">H162</f>
        <v>9982839798.7380009</v>
      </c>
      <c r="I16" s="184">
        <f>I162</f>
        <v>10853152446.534201</v>
      </c>
      <c r="J16" s="184">
        <f t="shared" si="0"/>
        <v>11652300122.935034</v>
      </c>
      <c r="K16" s="184">
        <f t="shared" si="0"/>
        <v>12387864166.878326</v>
      </c>
    </row>
    <row r="17" spans="3:11" ht="15" customHeight="1" x14ac:dyDescent="0.25">
      <c r="C17" s="6" t="s">
        <v>260</v>
      </c>
      <c r="D17" s="186">
        <v>-3354035361</v>
      </c>
      <c r="E17" s="186">
        <v>-4769452651</v>
      </c>
      <c r="F17" s="186">
        <v>-6018779563</v>
      </c>
      <c r="G17" s="184">
        <f>-G16*(1-G39)</f>
        <v>-6888867006.3029995</v>
      </c>
      <c r="H17" s="184">
        <f t="shared" ref="H17:K17" si="1">-H16*(1-H39)</f>
        <v>-7487129849.0535011</v>
      </c>
      <c r="I17" s="184">
        <f>-I16*(1-I39)</f>
        <v>-7977067048.2026377</v>
      </c>
      <c r="J17" s="184">
        <f t="shared" si="1"/>
        <v>-8447917589.1278992</v>
      </c>
      <c r="K17" s="184">
        <f t="shared" si="1"/>
        <v>-8981201520.9867859</v>
      </c>
    </row>
    <row r="18" spans="3:11" s="301" customFormat="1" ht="15" customHeight="1" x14ac:dyDescent="0.25">
      <c r="C18" s="300" t="s">
        <v>261</v>
      </c>
      <c r="D18" s="216">
        <f t="shared" ref="D18:K18" si="2">SUM(D16:D17)</f>
        <v>1488895849</v>
      </c>
      <c r="E18" s="216">
        <f t="shared" si="2"/>
        <v>1875234963</v>
      </c>
      <c r="F18" s="216">
        <f t="shared" si="2"/>
        <v>1784893865</v>
      </c>
      <c r="G18" s="216">
        <f t="shared" si="2"/>
        <v>2116187903.8969994</v>
      </c>
      <c r="H18" s="216">
        <f t="shared" si="2"/>
        <v>2495709949.6844997</v>
      </c>
      <c r="I18" s="216">
        <f t="shared" si="2"/>
        <v>2876085398.331563</v>
      </c>
      <c r="J18" s="216">
        <f t="shared" si="2"/>
        <v>3204382533.8071346</v>
      </c>
      <c r="K18" s="216">
        <f t="shared" si="2"/>
        <v>3406662645.8915405</v>
      </c>
    </row>
    <row r="19" spans="3:11" s="15" customFormat="1" ht="15" customHeight="1" x14ac:dyDescent="0.25">
      <c r="C19" s="223" t="s">
        <v>262</v>
      </c>
      <c r="D19" s="186">
        <v>125725491</v>
      </c>
      <c r="E19" s="186">
        <v>75002554</v>
      </c>
      <c r="F19" s="186">
        <v>58612243</v>
      </c>
      <c r="G19" s="184">
        <f t="shared" ref="G19:K23" si="3">G$16*G40</f>
        <v>67635642.559206486</v>
      </c>
      <c r="H19" s="184">
        <f t="shared" si="3"/>
        <v>74979641.00013116</v>
      </c>
      <c r="I19" s="184">
        <f t="shared" si="3"/>
        <v>81516431.252728626</v>
      </c>
      <c r="J19" s="184">
        <f t="shared" si="3"/>
        <v>87518711.875342473</v>
      </c>
      <c r="K19" s="184">
        <f t="shared" si="3"/>
        <v>93043425.18932803</v>
      </c>
    </row>
    <row r="20" spans="3:11" s="15" customFormat="1" ht="15" customHeight="1" x14ac:dyDescent="0.25">
      <c r="C20" s="223" t="s">
        <v>263</v>
      </c>
      <c r="D20" s="186">
        <v>-179100118</v>
      </c>
      <c r="E20" s="186">
        <v>-192001610</v>
      </c>
      <c r="F20" s="186">
        <v>-273908092</v>
      </c>
      <c r="G20" s="184">
        <f t="shared" si="3"/>
        <v>-303101615.09065545</v>
      </c>
      <c r="H20" s="184">
        <f t="shared" si="3"/>
        <v>-336012927.89024866</v>
      </c>
      <c r="I20" s="184">
        <f t="shared" si="3"/>
        <v>-365306826.9071281</v>
      </c>
      <c r="J20" s="184">
        <f t="shared" si="3"/>
        <v>-392205380.4227398</v>
      </c>
      <c r="K20" s="184">
        <f t="shared" si="3"/>
        <v>-416963769.12165719</v>
      </c>
    </row>
    <row r="21" spans="3:11" s="15" customFormat="1" ht="15" customHeight="1" x14ac:dyDescent="0.25">
      <c r="C21" s="223" t="s">
        <v>109</v>
      </c>
      <c r="D21" s="186">
        <v>-323895636</v>
      </c>
      <c r="E21" s="186">
        <v>-468172074</v>
      </c>
      <c r="F21" s="186">
        <v>-556079542</v>
      </c>
      <c r="G21" s="184">
        <f t="shared" si="3"/>
        <v>-626142098.14643812</v>
      </c>
      <c r="H21" s="184">
        <f t="shared" si="3"/>
        <v>-694129721.51468563</v>
      </c>
      <c r="I21" s="184">
        <f t="shared" si="3"/>
        <v>-754644553.76931667</v>
      </c>
      <c r="J21" s="184">
        <f t="shared" si="3"/>
        <v>-810211122.52656984</v>
      </c>
      <c r="K21" s="184">
        <f t="shared" si="3"/>
        <v>-861356575.651353</v>
      </c>
    </row>
    <row r="22" spans="3:11" s="15" customFormat="1" ht="15" customHeight="1" x14ac:dyDescent="0.25">
      <c r="C22" s="223" t="s">
        <v>264</v>
      </c>
      <c r="D22" s="186">
        <v>-17025260</v>
      </c>
      <c r="E22" s="186">
        <v>-7810108</v>
      </c>
      <c r="F22" s="186">
        <v>-2543977</v>
      </c>
      <c r="G22" s="184">
        <f t="shared" si="3"/>
        <v>-15059079.22398187</v>
      </c>
      <c r="H22" s="184">
        <f t="shared" si="3"/>
        <v>-16694220.846919406</v>
      </c>
      <c r="I22" s="184">
        <f t="shared" si="3"/>
        <v>-18149637.526050497</v>
      </c>
      <c r="J22" s="184">
        <f t="shared" si="3"/>
        <v>-19486045.609131679</v>
      </c>
      <c r="K22" s="184">
        <f t="shared" si="3"/>
        <v>-20716123.306882054</v>
      </c>
    </row>
    <row r="23" spans="3:11" s="15" customFormat="1" ht="15" customHeight="1" x14ac:dyDescent="0.25">
      <c r="C23" s="223" t="s">
        <v>265</v>
      </c>
      <c r="D23" s="186">
        <v>-153535304</v>
      </c>
      <c r="E23" s="186">
        <v>-131302409</v>
      </c>
      <c r="F23" s="186">
        <v>-268406131</v>
      </c>
      <c r="G23" s="184">
        <f t="shared" si="3"/>
        <v>-257719638.5433169</v>
      </c>
      <c r="H23" s="184">
        <f t="shared" si="3"/>
        <v>-285703295.56263149</v>
      </c>
      <c r="I23" s="184">
        <f t="shared" si="3"/>
        <v>-162797286.69801301</v>
      </c>
      <c r="J23" s="184">
        <f t="shared" si="3"/>
        <v>-174784501.84402549</v>
      </c>
      <c r="K23" s="184">
        <f t="shared" si="3"/>
        <v>-185817962.5031749</v>
      </c>
    </row>
    <row r="24" spans="3:11" s="301" customFormat="1" ht="15" customHeight="1" x14ac:dyDescent="0.25">
      <c r="C24" s="300" t="s">
        <v>229</v>
      </c>
      <c r="D24" s="216">
        <f>SUM(D18:D23)</f>
        <v>941065022</v>
      </c>
      <c r="E24" s="216">
        <f t="shared" ref="E24:K24" si="4">SUM(E18:E23)</f>
        <v>1150951316</v>
      </c>
      <c r="F24" s="216">
        <f t="shared" si="4"/>
        <v>742568366</v>
      </c>
      <c r="G24" s="216">
        <f t="shared" si="4"/>
        <v>981801115.4518137</v>
      </c>
      <c r="H24" s="216">
        <f t="shared" si="4"/>
        <v>1238149424.8701458</v>
      </c>
      <c r="I24" s="216">
        <f t="shared" si="4"/>
        <v>1656703524.6837828</v>
      </c>
      <c r="J24" s="216">
        <f t="shared" si="4"/>
        <v>1895214195.2800102</v>
      </c>
      <c r="K24" s="216">
        <f t="shared" si="4"/>
        <v>2014851640.4978018</v>
      </c>
    </row>
    <row r="25" spans="3:11" ht="15" customHeight="1" x14ac:dyDescent="0.25">
      <c r="C25" s="224" t="s">
        <v>266</v>
      </c>
      <c r="D25" s="186">
        <v>0</v>
      </c>
      <c r="E25" s="186">
        <v>995630</v>
      </c>
      <c r="F25" s="186">
        <v>61185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</row>
    <row r="26" spans="3:11" ht="15" customHeight="1" x14ac:dyDescent="0.25">
      <c r="C26" s="224" t="s">
        <v>110</v>
      </c>
      <c r="D26" s="186">
        <v>29738182</v>
      </c>
      <c r="E26" s="186">
        <v>361814268</v>
      </c>
      <c r="F26" s="186">
        <v>17555956</v>
      </c>
      <c r="G26" s="184">
        <f>G209</f>
        <v>3190011.1565953679</v>
      </c>
      <c r="H26" s="184">
        <f t="shared" ref="H26:K26" si="5">H209</f>
        <v>4850362.910171058</v>
      </c>
      <c r="I26" s="184">
        <f t="shared" si="5"/>
        <v>5377023.947197997</v>
      </c>
      <c r="J26" s="184">
        <f t="shared" si="5"/>
        <v>5845797.5670392234</v>
      </c>
      <c r="K26" s="184">
        <f t="shared" si="5"/>
        <v>6276239.8339679297</v>
      </c>
    </row>
    <row r="27" spans="3:11" ht="15" customHeight="1" x14ac:dyDescent="0.25">
      <c r="C27" s="224" t="s">
        <v>278</v>
      </c>
      <c r="D27" s="186">
        <v>-283842132</v>
      </c>
      <c r="E27" s="186">
        <v>-281875044</v>
      </c>
      <c r="F27" s="186">
        <v>-298516040</v>
      </c>
      <c r="G27" s="184">
        <f>G208</f>
        <v>-317506626</v>
      </c>
      <c r="H27" s="184">
        <f t="shared" ref="H27:K27" si="6">H208</f>
        <v>-432564225.97672105</v>
      </c>
      <c r="I27" s="184">
        <f t="shared" si="6"/>
        <v>-456107840.14790881</v>
      </c>
      <c r="J27" s="184">
        <f t="shared" si="6"/>
        <v>-432931690.44204527</v>
      </c>
      <c r="K27" s="184">
        <f t="shared" si="6"/>
        <v>-376646098.86259639</v>
      </c>
    </row>
    <row r="28" spans="3:11" s="35" customFormat="1" ht="15" customHeight="1" x14ac:dyDescent="0.25">
      <c r="C28" s="302" t="s">
        <v>230</v>
      </c>
      <c r="D28" s="216">
        <f t="shared" ref="D28:E28" si="7">SUM(D24:D27)</f>
        <v>686961072</v>
      </c>
      <c r="E28" s="216">
        <f t="shared" si="7"/>
        <v>1231886170</v>
      </c>
      <c r="F28" s="216">
        <f>SUM(F24:F27)</f>
        <v>461669467</v>
      </c>
      <c r="G28" s="216">
        <f t="shared" ref="G28:K28" si="8">SUM(G24:G27)</f>
        <v>667484500.60840905</v>
      </c>
      <c r="H28" s="216">
        <f t="shared" si="8"/>
        <v>810435561.80359578</v>
      </c>
      <c r="I28" s="216">
        <f t="shared" si="8"/>
        <v>1205972708.4830718</v>
      </c>
      <c r="J28" s="216">
        <f t="shared" si="8"/>
        <v>1468128302.4050043</v>
      </c>
      <c r="K28" s="216">
        <f t="shared" si="8"/>
        <v>1644481781.4691734</v>
      </c>
    </row>
    <row r="29" spans="3:11" ht="15" customHeight="1" x14ac:dyDescent="0.25">
      <c r="C29" s="6" t="s">
        <v>267</v>
      </c>
      <c r="D29" s="186">
        <v>-214041497</v>
      </c>
      <c r="E29" s="186">
        <v>-312496115</v>
      </c>
      <c r="F29" s="186">
        <v>-202372323</v>
      </c>
      <c r="G29" s="184">
        <f>G28*-G45</f>
        <v>-150184012.63689205</v>
      </c>
      <c r="H29" s="184">
        <f>H28*-H45</f>
        <v>-182348001.40580904</v>
      </c>
      <c r="I29" s="184">
        <f>I28*-I45</f>
        <v>-271343859.40869117</v>
      </c>
      <c r="J29" s="184">
        <f>J28*-J45</f>
        <v>-330328868.04112595</v>
      </c>
      <c r="K29" s="184">
        <f>K28*-K45</f>
        <v>-370008400.83056402</v>
      </c>
    </row>
    <row r="30" spans="3:11" s="45" customFormat="1" ht="15" customHeight="1" x14ac:dyDescent="0.25">
      <c r="C30" s="45" t="s">
        <v>231</v>
      </c>
      <c r="D30" s="216">
        <f>SUM(D28:D29)</f>
        <v>472919575</v>
      </c>
      <c r="E30" s="216">
        <f t="shared" ref="E30:K30" si="9">SUM(E28:E29)</f>
        <v>919390055</v>
      </c>
      <c r="F30" s="216">
        <f t="shared" si="9"/>
        <v>259297144</v>
      </c>
      <c r="G30" s="216">
        <f t="shared" si="9"/>
        <v>517300487.97151697</v>
      </c>
      <c r="H30" s="216">
        <f t="shared" si="9"/>
        <v>628087560.39778674</v>
      </c>
      <c r="I30" s="216">
        <f t="shared" si="9"/>
        <v>934628849.07438064</v>
      </c>
      <c r="J30" s="216">
        <f t="shared" si="9"/>
        <v>1137799434.3638783</v>
      </c>
      <c r="K30" s="216">
        <f t="shared" si="9"/>
        <v>1274473380.6386094</v>
      </c>
    </row>
    <row r="31" spans="3:11" s="35" customFormat="1" ht="15" customHeight="1" x14ac:dyDescent="0.25">
      <c r="C31" s="35" t="s">
        <v>234</v>
      </c>
      <c r="D31" s="299">
        <f>D30-D32</f>
        <v>446284054</v>
      </c>
      <c r="E31" s="299">
        <f t="shared" ref="E31:F31" si="10">E30-E32</f>
        <v>890332908</v>
      </c>
      <c r="F31" s="299">
        <f t="shared" si="10"/>
        <v>244075897</v>
      </c>
      <c r="G31" s="299">
        <f t="shared" ref="G31" si="11">G30-G32</f>
        <v>486933942.55119801</v>
      </c>
      <c r="H31" s="299">
        <f t="shared" ref="H31" si="12">H30-H32</f>
        <v>591217598.21092153</v>
      </c>
      <c r="I31" s="299">
        <f t="shared" ref="I31" si="13">I30-I32</f>
        <v>879764316.64788055</v>
      </c>
      <c r="J31" s="299">
        <f t="shared" ref="J31" si="14">J30-J32</f>
        <v>1071008393.1678638</v>
      </c>
      <c r="K31" s="299">
        <f t="shared" ref="K31" si="15">K30-K32</f>
        <v>1199659312.7998009</v>
      </c>
    </row>
    <row r="32" spans="3:11" s="35" customFormat="1" ht="15" customHeight="1" x14ac:dyDescent="0.25">
      <c r="C32" s="35" t="s">
        <v>233</v>
      </c>
      <c r="D32" s="234">
        <v>26635521</v>
      </c>
      <c r="E32" s="234">
        <v>29057147</v>
      </c>
      <c r="F32" s="234">
        <v>15221247</v>
      </c>
      <c r="G32" s="299">
        <f>G224</f>
        <v>30366545.420318969</v>
      </c>
      <c r="H32" s="299">
        <f t="shared" ref="H32:K32" si="16">H224</f>
        <v>36869962.186865158</v>
      </c>
      <c r="I32" s="299">
        <f t="shared" si="16"/>
        <v>54864532.426500112</v>
      </c>
      <c r="J32" s="299">
        <f t="shared" si="16"/>
        <v>66791041.196014397</v>
      </c>
      <c r="K32" s="299">
        <f t="shared" si="16"/>
        <v>74814067.838808477</v>
      </c>
    </row>
    <row r="33" spans="3:11" ht="15" customHeight="1" x14ac:dyDescent="0.25">
      <c r="D33" s="14"/>
      <c r="E33" s="14"/>
      <c r="F33" s="14"/>
      <c r="G33" s="184"/>
      <c r="H33" s="184"/>
      <c r="I33" s="184"/>
      <c r="J33" s="184"/>
      <c r="K33" s="184"/>
    </row>
    <row r="34" spans="3:11" s="13" customFormat="1" ht="15" customHeight="1" x14ac:dyDescent="0.25">
      <c r="C34" s="225" t="s">
        <v>20</v>
      </c>
      <c r="D34" s="14">
        <f t="shared" ref="D34:K34" si="17">D24+D152</f>
        <v>1059250610</v>
      </c>
      <c r="E34" s="14">
        <f t="shared" si="17"/>
        <v>1329993324</v>
      </c>
      <c r="F34" s="14">
        <f t="shared" si="17"/>
        <v>980780105</v>
      </c>
      <c r="G34" s="14">
        <f t="shared" si="17"/>
        <v>1237603785.6462641</v>
      </c>
      <c r="H34" s="14">
        <f t="shared" si="17"/>
        <v>1523869500.944854</v>
      </c>
      <c r="I34" s="14">
        <f t="shared" si="17"/>
        <v>1975310844.1058924</v>
      </c>
      <c r="J34" s="14">
        <f t="shared" si="17"/>
        <v>2248930055.2576833</v>
      </c>
      <c r="K34" s="14">
        <f t="shared" si="17"/>
        <v>2405373943.3427377</v>
      </c>
    </row>
    <row r="35" spans="3:11" ht="15" customHeight="1" x14ac:dyDescent="0.25">
      <c r="C35" s="226" t="s">
        <v>111</v>
      </c>
      <c r="D35" s="15">
        <f>D34/D16</f>
        <v>0.21872096960881673</v>
      </c>
      <c r="E35" s="15">
        <f t="shared" ref="E35:K35" si="18">E34/E16</f>
        <v>0.20015889403104151</v>
      </c>
      <c r="F35" s="15">
        <f t="shared" si="18"/>
        <v>0.12568184894576806</v>
      </c>
      <c r="G35" s="15">
        <f t="shared" si="18"/>
        <v>0.13743434082166828</v>
      </c>
      <c r="H35" s="15">
        <f t="shared" si="18"/>
        <v>0.15264889867685713</v>
      </c>
      <c r="I35" s="15">
        <f t="shared" si="18"/>
        <v>0.18200341825445193</v>
      </c>
      <c r="J35" s="15">
        <f t="shared" si="18"/>
        <v>0.19300310080677982</v>
      </c>
      <c r="K35" s="15">
        <f t="shared" si="18"/>
        <v>0.19417180483573857</v>
      </c>
    </row>
    <row r="36" spans="3:11" ht="15" customHeight="1" x14ac:dyDescent="0.25">
      <c r="C36" s="17"/>
      <c r="D36" s="14"/>
      <c r="E36" s="14"/>
      <c r="F36" s="14"/>
      <c r="G36" s="195"/>
      <c r="H36" s="14"/>
      <c r="I36" s="14"/>
      <c r="J36" s="14"/>
      <c r="K36" s="14"/>
    </row>
    <row r="37" spans="3:11" ht="15" customHeight="1" x14ac:dyDescent="0.25">
      <c r="C37" s="20" t="s">
        <v>112</v>
      </c>
      <c r="D37" s="21"/>
      <c r="E37" s="21"/>
      <c r="F37" s="14"/>
      <c r="H37" s="21"/>
      <c r="I37" s="21"/>
      <c r="J37" s="21"/>
      <c r="K37" s="21"/>
    </row>
    <row r="38" spans="3:11" ht="15" customHeight="1" x14ac:dyDescent="0.25">
      <c r="C38" s="17" t="s">
        <v>113</v>
      </c>
      <c r="D38" s="208">
        <f>D16/3273784906-1</f>
        <v>0.47930647524342884</v>
      </c>
      <c r="E38" s="208">
        <f>E16/D16-1</f>
        <v>0.37203840522855569</v>
      </c>
      <c r="F38" s="208">
        <f t="shared" ref="F38:K38" si="19">F16/E16-1</f>
        <v>0.17442291968069035</v>
      </c>
      <c r="G38" s="208">
        <f t="shared" si="19"/>
        <v>0.15395076348138526</v>
      </c>
      <c r="H38" s="208">
        <f t="shared" si="19"/>
        <v>0.10858177971024574</v>
      </c>
      <c r="I38" s="208">
        <f>I16/H16-1</f>
        <v>8.7180868905281095E-2</v>
      </c>
      <c r="J38" s="208">
        <f t="shared" si="19"/>
        <v>7.3632769864577785E-2</v>
      </c>
      <c r="K38" s="208">
        <f t="shared" si="19"/>
        <v>6.3126081218547903E-2</v>
      </c>
    </row>
    <row r="39" spans="3:11" ht="15" customHeight="1" x14ac:dyDescent="0.25">
      <c r="C39" s="17" t="s">
        <v>114</v>
      </c>
      <c r="D39" s="22">
        <f>D18/D16</f>
        <v>0.30743691876639312</v>
      </c>
      <c r="E39" s="22">
        <f t="shared" ref="E39:F39" si="20">E18/E16</f>
        <v>0.28221566940919551</v>
      </c>
      <c r="F39" s="22">
        <f t="shared" si="20"/>
        <v>0.22872482830915308</v>
      </c>
      <c r="G39" s="239">
        <v>0.23499999999999999</v>
      </c>
      <c r="H39" s="239">
        <v>0.25</v>
      </c>
      <c r="I39" s="239">
        <v>0.26500000000000001</v>
      </c>
      <c r="J39" s="239">
        <v>0.27500000000000002</v>
      </c>
      <c r="K39" s="239">
        <v>0.27500000000000002</v>
      </c>
    </row>
    <row r="40" spans="3:11" ht="15" customHeight="1" x14ac:dyDescent="0.25">
      <c r="C40" s="17" t="s">
        <v>262</v>
      </c>
      <c r="D40" s="22">
        <f>D19/D$16</f>
        <v>2.5960618796400374E-2</v>
      </c>
      <c r="E40" s="22">
        <f t="shared" ref="E40:F40" si="21">E19/E$16</f>
        <v>1.128759670236019E-2</v>
      </c>
      <c r="F40" s="22">
        <f t="shared" si="21"/>
        <v>7.5108528747110459E-3</v>
      </c>
      <c r="G40" s="239">
        <f>F40</f>
        <v>7.5108528747110459E-3</v>
      </c>
      <c r="H40" s="239">
        <f t="shared" ref="H40:K40" si="22">G40</f>
        <v>7.5108528747110459E-3</v>
      </c>
      <c r="I40" s="239">
        <f t="shared" si="22"/>
        <v>7.5108528747110459E-3</v>
      </c>
      <c r="J40" s="239">
        <f t="shared" si="22"/>
        <v>7.5108528747110459E-3</v>
      </c>
      <c r="K40" s="239">
        <f t="shared" si="22"/>
        <v>7.5108528747110459E-3</v>
      </c>
    </row>
    <row r="41" spans="3:11" ht="15" customHeight="1" x14ac:dyDescent="0.25">
      <c r="C41" s="17" t="s">
        <v>263</v>
      </c>
      <c r="D41" s="22">
        <f>D20/D$16</f>
        <v>-3.6981759647996319E-2</v>
      </c>
      <c r="E41" s="22">
        <f t="shared" ref="E41:F44" si="23">E20/E$16</f>
        <v>-2.8895505876824504E-2</v>
      </c>
      <c r="F41" s="22">
        <f t="shared" si="23"/>
        <v>-3.5099891676297346E-2</v>
      </c>
      <c r="G41" s="239">
        <f t="shared" ref="G41:G44" si="24">AVERAGE(D41:F41)</f>
        <v>-3.3659052400372723E-2</v>
      </c>
      <c r="H41" s="239">
        <f t="shared" ref="H41:K41" si="25">G41</f>
        <v>-3.3659052400372723E-2</v>
      </c>
      <c r="I41" s="239">
        <f t="shared" ref="I41:J43" si="26">H41</f>
        <v>-3.3659052400372723E-2</v>
      </c>
      <c r="J41" s="239">
        <f t="shared" si="26"/>
        <v>-3.3659052400372723E-2</v>
      </c>
      <c r="K41" s="239">
        <f t="shared" si="25"/>
        <v>-3.3659052400372723E-2</v>
      </c>
    </row>
    <row r="42" spans="3:11" ht="15" customHeight="1" x14ac:dyDescent="0.25">
      <c r="C42" s="17" t="s">
        <v>109</v>
      </c>
      <c r="D42" s="22">
        <f>D21/D$16</f>
        <v>-6.6880081908080619E-2</v>
      </c>
      <c r="E42" s="22">
        <f t="shared" si="23"/>
        <v>-7.0458101448379093E-2</v>
      </c>
      <c r="F42" s="22">
        <f t="shared" si="23"/>
        <v>-7.1258689530081659E-2</v>
      </c>
      <c r="G42" s="239">
        <f t="shared" si="24"/>
        <v>-6.9532290962180457E-2</v>
      </c>
      <c r="H42" s="239">
        <f t="shared" ref="H42:K42" si="27">G42</f>
        <v>-6.9532290962180457E-2</v>
      </c>
      <c r="I42" s="239">
        <f t="shared" si="26"/>
        <v>-6.9532290962180457E-2</v>
      </c>
      <c r="J42" s="239">
        <f t="shared" si="26"/>
        <v>-6.9532290962180457E-2</v>
      </c>
      <c r="K42" s="239">
        <f t="shared" si="27"/>
        <v>-6.9532290962180457E-2</v>
      </c>
    </row>
    <row r="43" spans="3:11" ht="15" customHeight="1" x14ac:dyDescent="0.25">
      <c r="C43" s="17" t="s">
        <v>264</v>
      </c>
      <c r="D43" s="22">
        <f>D22/D$16</f>
        <v>-3.5154866467739898E-3</v>
      </c>
      <c r="E43" s="22">
        <f t="shared" si="23"/>
        <v>-1.1753912980866884E-3</v>
      </c>
      <c r="F43" s="22">
        <f t="shared" si="23"/>
        <v>-3.2599736822303118E-4</v>
      </c>
      <c r="G43" s="239">
        <f t="shared" si="24"/>
        <v>-1.672291771027903E-3</v>
      </c>
      <c r="H43" s="239">
        <f t="shared" ref="H43:K43" si="28">G43</f>
        <v>-1.672291771027903E-3</v>
      </c>
      <c r="I43" s="239">
        <f t="shared" si="26"/>
        <v>-1.672291771027903E-3</v>
      </c>
      <c r="J43" s="239">
        <f t="shared" si="26"/>
        <v>-1.672291771027903E-3</v>
      </c>
      <c r="K43" s="239">
        <f t="shared" si="28"/>
        <v>-1.672291771027903E-3</v>
      </c>
    </row>
    <row r="44" spans="3:11" ht="15" customHeight="1" x14ac:dyDescent="0.25">
      <c r="C44" s="17" t="s">
        <v>265</v>
      </c>
      <c r="D44" s="22">
        <f>D23/D$16</f>
        <v>-3.1702970234838417E-2</v>
      </c>
      <c r="E44" s="22">
        <f t="shared" si="23"/>
        <v>-1.9760508940006881E-2</v>
      </c>
      <c r="F44" s="22">
        <f t="shared" si="23"/>
        <v>-3.4394844104693616E-2</v>
      </c>
      <c r="G44" s="239">
        <f t="shared" si="24"/>
        <v>-2.8619441093179637E-2</v>
      </c>
      <c r="H44" s="239">
        <f t="shared" ref="H44" si="29">G44</f>
        <v>-2.8619441093179637E-2</v>
      </c>
      <c r="I44" s="239">
        <v>-1.4999999999999999E-2</v>
      </c>
      <c r="J44" s="239">
        <v>-1.4999999999999999E-2</v>
      </c>
      <c r="K44" s="239">
        <v>-1.4999999999999999E-2</v>
      </c>
    </row>
    <row r="45" spans="3:11" ht="15" customHeight="1" x14ac:dyDescent="0.25">
      <c r="C45" s="17" t="s">
        <v>24</v>
      </c>
      <c r="D45" s="209">
        <f>-D29/D28</f>
        <v>0.31157733054195536</v>
      </c>
      <c r="E45" s="209">
        <f t="shared" ref="E45:F45" si="30">-E29/E28</f>
        <v>0.25367288196765775</v>
      </c>
      <c r="F45" s="209">
        <f t="shared" si="30"/>
        <v>0.43834894327113905</v>
      </c>
      <c r="G45" s="239">
        <v>0.22500000000000001</v>
      </c>
      <c r="H45" s="239">
        <v>0.22500000000000001</v>
      </c>
      <c r="I45" s="239">
        <v>0.22500000000000001</v>
      </c>
      <c r="J45" s="239">
        <v>0.22500000000000001</v>
      </c>
      <c r="K45" s="239">
        <v>0.22500000000000001</v>
      </c>
    </row>
    <row r="46" spans="3:11" ht="15" customHeight="1" x14ac:dyDescent="0.25">
      <c r="C46" s="17"/>
      <c r="D46" s="23"/>
      <c r="E46" s="23"/>
      <c r="F46" s="23"/>
      <c r="G46" s="23"/>
      <c r="H46" s="23"/>
      <c r="I46" s="23"/>
      <c r="J46" s="23"/>
      <c r="K46" s="23"/>
    </row>
    <row r="47" spans="3:11" x14ac:dyDescent="0.25">
      <c r="C47" s="39" t="s">
        <v>115</v>
      </c>
      <c r="D47" s="243"/>
      <c r="E47" s="46"/>
      <c r="F47" s="46"/>
      <c r="G47" s="40"/>
      <c r="H47" s="40"/>
      <c r="I47" s="40"/>
      <c r="J47" s="40"/>
      <c r="K47" s="40"/>
    </row>
    <row r="48" spans="3:11" x14ac:dyDescent="0.25">
      <c r="C48" t="s">
        <v>107</v>
      </c>
      <c r="D48" s="41">
        <f t="shared" ref="D48:K48" si="31">D$13</f>
        <v>2023</v>
      </c>
      <c r="E48" s="41">
        <f t="shared" si="31"/>
        <v>2024</v>
      </c>
      <c r="F48" s="41">
        <f t="shared" si="31"/>
        <v>2025</v>
      </c>
      <c r="G48" s="42">
        <f t="shared" si="31"/>
        <v>2026</v>
      </c>
      <c r="H48" s="42">
        <f t="shared" si="31"/>
        <v>2027</v>
      </c>
      <c r="I48" s="42">
        <f t="shared" si="31"/>
        <v>2028</v>
      </c>
      <c r="J48" s="42">
        <f t="shared" si="31"/>
        <v>2029</v>
      </c>
      <c r="K48" s="42">
        <f t="shared" si="31"/>
        <v>2030</v>
      </c>
    </row>
    <row r="49" spans="3:11" x14ac:dyDescent="0.25">
      <c r="C49" s="43" t="s">
        <v>108</v>
      </c>
      <c r="D49" s="242">
        <f t="shared" ref="D49:K49" si="32">D$14</f>
        <v>45291</v>
      </c>
      <c r="E49" s="227">
        <f t="shared" si="32"/>
        <v>45657</v>
      </c>
      <c r="F49" s="227">
        <f t="shared" si="32"/>
        <v>46022</v>
      </c>
      <c r="G49" s="227">
        <f t="shared" si="32"/>
        <v>46387</v>
      </c>
      <c r="H49" s="227">
        <f t="shared" si="32"/>
        <v>46752</v>
      </c>
      <c r="I49" s="227">
        <f t="shared" si="32"/>
        <v>47118</v>
      </c>
      <c r="J49" s="227">
        <f t="shared" si="32"/>
        <v>47483</v>
      </c>
      <c r="K49" s="227">
        <f t="shared" si="32"/>
        <v>47848</v>
      </c>
    </row>
    <row r="50" spans="3:11" s="35" customFormat="1" ht="15" customHeight="1" x14ac:dyDescent="0.25">
      <c r="C50" s="45" t="s">
        <v>116</v>
      </c>
    </row>
    <row r="51" spans="3:11" ht="15" customHeight="1" x14ac:dyDescent="0.25"/>
    <row r="52" spans="3:11" ht="15" customHeight="1" x14ac:dyDescent="0.25">
      <c r="C52" s="13" t="s">
        <v>117</v>
      </c>
    </row>
    <row r="53" spans="3:11" ht="15" customHeight="1" x14ac:dyDescent="0.25">
      <c r="C53" s="17" t="s">
        <v>240</v>
      </c>
      <c r="D53" s="10">
        <v>1596967107</v>
      </c>
      <c r="E53" s="10">
        <v>2543351777</v>
      </c>
      <c r="F53" s="10">
        <v>2880321793</v>
      </c>
      <c r="G53" s="184">
        <f>G175</f>
        <v>3416757414.7384729</v>
      </c>
      <c r="H53" s="184">
        <f t="shared" ref="H53:K53" si="33">H175</f>
        <v>3713485309.4793668</v>
      </c>
      <c r="I53" s="184">
        <f t="shared" si="33"/>
        <v>3956485581.7182388</v>
      </c>
      <c r="J53" s="184">
        <f t="shared" si="33"/>
        <v>4190019205.6752763</v>
      </c>
      <c r="K53" s="184">
        <f t="shared" si="33"/>
        <v>4454518698.3600092</v>
      </c>
    </row>
    <row r="54" spans="3:11" ht="15" customHeight="1" x14ac:dyDescent="0.25">
      <c r="C54" s="17" t="s">
        <v>241</v>
      </c>
      <c r="D54" s="10">
        <v>1179786142</v>
      </c>
      <c r="E54" s="10">
        <v>1443866262</v>
      </c>
      <c r="F54" s="10">
        <v>1659292035</v>
      </c>
      <c r="G54" s="184">
        <f>G176</f>
        <v>2021742515.6511512</v>
      </c>
      <c r="H54" s="184">
        <f t="shared" ref="H54:K54" si="34">H176</f>
        <v>2241266916.1164222</v>
      </c>
      <c r="I54" s="184">
        <f t="shared" si="34"/>
        <v>2436662513.3121119</v>
      </c>
      <c r="J54" s="184">
        <f t="shared" si="34"/>
        <v>2616080723.3924665</v>
      </c>
      <c r="K54" s="184">
        <f t="shared" si="34"/>
        <v>2781223647.6116166</v>
      </c>
    </row>
    <row r="55" spans="3:11" ht="15" customHeight="1" x14ac:dyDescent="0.25">
      <c r="C55" s="17" t="s">
        <v>232</v>
      </c>
      <c r="D55" s="10">
        <v>456269505</v>
      </c>
      <c r="E55" s="10">
        <v>352233706</v>
      </c>
      <c r="F55" s="10">
        <v>313950137</v>
      </c>
      <c r="G55" s="19">
        <f>G132</f>
        <v>477356355.63517749</v>
      </c>
      <c r="H55" s="19">
        <f t="shared" ref="H55:K55" si="35">H132</f>
        <v>529188558.28604198</v>
      </c>
      <c r="I55" s="19">
        <f t="shared" si="35"/>
        <v>575323676.6121521</v>
      </c>
      <c r="J55" s="19">
        <f t="shared" si="35"/>
        <v>617686352.48977733</v>
      </c>
      <c r="K55" s="19">
        <f t="shared" si="35"/>
        <v>662605204.98637044</v>
      </c>
    </row>
    <row r="56" spans="3:11" ht="15" customHeight="1" x14ac:dyDescent="0.25">
      <c r="C56" s="11" t="s">
        <v>118</v>
      </c>
      <c r="D56" s="12">
        <f>SUM(D53:D55)</f>
        <v>3233022754</v>
      </c>
      <c r="E56" s="12">
        <f t="shared" ref="E56:G56" si="36">SUM(E53:E55)</f>
        <v>4339451745</v>
      </c>
      <c r="F56" s="12">
        <f t="shared" si="36"/>
        <v>4853563965</v>
      </c>
      <c r="G56" s="12">
        <f t="shared" si="36"/>
        <v>5915856286.0248013</v>
      </c>
      <c r="H56" s="12">
        <f t="shared" ref="H56" si="37">SUM(H53:H55)</f>
        <v>6483940783.8818312</v>
      </c>
      <c r="I56" s="12">
        <f t="shared" ref="I56" si="38">SUM(I53:I55)</f>
        <v>6968471771.6425028</v>
      </c>
      <c r="J56" s="12">
        <f t="shared" ref="J56" si="39">SUM(J53:J55)</f>
        <v>7423786281.5575209</v>
      </c>
      <c r="K56" s="12">
        <f t="shared" ref="K56" si="40">SUM(K53:K55)</f>
        <v>7898347550.9579964</v>
      </c>
    </row>
    <row r="57" spans="3:11" ht="15" customHeight="1" x14ac:dyDescent="0.25">
      <c r="E57" s="18"/>
      <c r="F57" s="18"/>
      <c r="G57" s="18"/>
      <c r="H57" s="18"/>
      <c r="I57" s="18"/>
      <c r="J57" s="18"/>
      <c r="K57" s="18"/>
    </row>
    <row r="58" spans="3:11" ht="15" customHeight="1" x14ac:dyDescent="0.25">
      <c r="C58" s="13" t="s">
        <v>119</v>
      </c>
      <c r="E58" s="18"/>
      <c r="F58" s="18"/>
      <c r="G58" s="18"/>
      <c r="H58" s="18"/>
      <c r="I58" s="18"/>
      <c r="J58" s="18"/>
      <c r="K58" s="18"/>
    </row>
    <row r="59" spans="3:11" ht="15" customHeight="1" x14ac:dyDescent="0.25">
      <c r="C59" s="24" t="s">
        <v>235</v>
      </c>
      <c r="D59" s="10">
        <v>2157622936</v>
      </c>
      <c r="E59" s="10">
        <v>3322359931</v>
      </c>
      <c r="F59" s="10">
        <v>3586044267</v>
      </c>
      <c r="G59" s="19">
        <f>G143</f>
        <v>4006102825.6943727</v>
      </c>
      <c r="H59" s="19">
        <f t="shared" ref="H59:K59" si="41">H143</f>
        <v>4469630193.5783892</v>
      </c>
      <c r="I59" s="19">
        <f t="shared" si="41"/>
        <v>4965590361.3043871</v>
      </c>
      <c r="J59" s="19">
        <f t="shared" si="41"/>
        <v>5486420848.7951651</v>
      </c>
      <c r="K59" s="19">
        <f t="shared" si="41"/>
        <v>6025651577.178359</v>
      </c>
    </row>
    <row r="60" spans="3:11" ht="15" customHeight="1" x14ac:dyDescent="0.25">
      <c r="C60" s="17" t="s">
        <v>236</v>
      </c>
      <c r="D60" s="10">
        <v>46977888</v>
      </c>
      <c r="E60" s="10">
        <v>55825795</v>
      </c>
      <c r="F60" s="10">
        <v>72204179</v>
      </c>
      <c r="G60" s="19">
        <f>G256</f>
        <v>104139421.74891874</v>
      </c>
      <c r="H60" s="19">
        <f t="shared" ref="H60:K60" si="42">H256</f>
        <v>139542249.99099377</v>
      </c>
      <c r="I60" s="19">
        <f t="shared" si="42"/>
        <v>178031527.56091738</v>
      </c>
      <c r="J60" s="19">
        <f t="shared" si="42"/>
        <v>219354877.24840102</v>
      </c>
      <c r="K60" s="19">
        <f t="shared" si="42"/>
        <v>263286808.06447917</v>
      </c>
    </row>
    <row r="61" spans="3:11" ht="15" customHeight="1" x14ac:dyDescent="0.25">
      <c r="C61" s="17" t="s">
        <v>237</v>
      </c>
      <c r="D61" s="10">
        <v>17416779</v>
      </c>
      <c r="E61" s="10">
        <v>29719859</v>
      </c>
      <c r="F61" s="10">
        <v>25139638</v>
      </c>
      <c r="G61" s="19">
        <f>G268</f>
        <v>25619130.73443057</v>
      </c>
      <c r="H61" s="19">
        <f t="shared" ref="H61:K61" si="43">H268</f>
        <v>26150687.643323746</v>
      </c>
      <c r="I61" s="19">
        <f t="shared" si="43"/>
        <v>26728586.145406835</v>
      </c>
      <c r="J61" s="19">
        <f t="shared" si="43"/>
        <v>27349036.914898891</v>
      </c>
      <c r="K61" s="19">
        <f t="shared" si="43"/>
        <v>28008654.310058009</v>
      </c>
    </row>
    <row r="62" spans="3:11" ht="15" customHeight="1" x14ac:dyDescent="0.25">
      <c r="C62" s="17" t="s">
        <v>238</v>
      </c>
      <c r="D62" s="10">
        <v>20812</v>
      </c>
      <c r="E62" s="10">
        <v>20812</v>
      </c>
      <c r="F62" s="10">
        <v>81997</v>
      </c>
      <c r="G62" s="19">
        <f>F62</f>
        <v>81997</v>
      </c>
      <c r="H62" s="19">
        <f t="shared" ref="H62:K62" si="44">G62</f>
        <v>81997</v>
      </c>
      <c r="I62" s="19">
        <f t="shared" si="44"/>
        <v>81997</v>
      </c>
      <c r="J62" s="19">
        <f t="shared" si="44"/>
        <v>81997</v>
      </c>
      <c r="K62" s="19">
        <f t="shared" si="44"/>
        <v>81997</v>
      </c>
    </row>
    <row r="63" spans="3:11" ht="15" customHeight="1" x14ac:dyDescent="0.25">
      <c r="C63" s="17" t="s">
        <v>239</v>
      </c>
      <c r="D63" s="10">
        <v>355357</v>
      </c>
      <c r="E63" s="10">
        <v>0</v>
      </c>
      <c r="F63" s="10">
        <v>0</v>
      </c>
      <c r="G63" s="19">
        <f>F63</f>
        <v>0</v>
      </c>
      <c r="H63" s="19">
        <f t="shared" ref="H63:K63" si="45">G63</f>
        <v>0</v>
      </c>
      <c r="I63" s="19">
        <f t="shared" si="45"/>
        <v>0</v>
      </c>
      <c r="J63" s="19">
        <f t="shared" si="45"/>
        <v>0</v>
      </c>
      <c r="K63" s="19">
        <f t="shared" si="45"/>
        <v>0</v>
      </c>
    </row>
    <row r="64" spans="3:11" ht="15" customHeight="1" x14ac:dyDescent="0.25">
      <c r="C64" s="11" t="s">
        <v>120</v>
      </c>
      <c r="D64" s="12">
        <f>SUM(D59:D63)</f>
        <v>2222393772</v>
      </c>
      <c r="E64" s="12">
        <f t="shared" ref="E64:G64" si="46">SUM(E59:E63)</f>
        <v>3407926397</v>
      </c>
      <c r="F64" s="12">
        <f t="shared" si="46"/>
        <v>3683470081</v>
      </c>
      <c r="G64" s="12">
        <f t="shared" si="46"/>
        <v>4135943375.177722</v>
      </c>
      <c r="H64" s="12">
        <f t="shared" ref="H64" si="47">SUM(H59:H63)</f>
        <v>4635405128.2127066</v>
      </c>
      <c r="I64" s="12">
        <f t="shared" ref="I64" si="48">SUM(I59:I63)</f>
        <v>5170432472.0107117</v>
      </c>
      <c r="J64" s="12">
        <f t="shared" ref="J64" si="49">SUM(J59:J63)</f>
        <v>5733206759.9584646</v>
      </c>
      <c r="K64" s="12">
        <f t="shared" ref="K64" si="50">SUM(K59:K63)</f>
        <v>6317029036.5528955</v>
      </c>
    </row>
    <row r="65" spans="3:12" ht="15" customHeight="1" x14ac:dyDescent="0.25">
      <c r="E65" s="19"/>
      <c r="F65" s="19"/>
      <c r="G65" s="19"/>
      <c r="H65" s="19"/>
      <c r="I65" s="19"/>
      <c r="J65" s="19"/>
      <c r="K65" s="19"/>
    </row>
    <row r="66" spans="3:12" ht="15" customHeight="1" x14ac:dyDescent="0.25">
      <c r="C66" s="13" t="s">
        <v>121</v>
      </c>
      <c r="D66" s="14">
        <f>D56+D64</f>
        <v>5455416526</v>
      </c>
      <c r="E66" s="14">
        <f t="shared" ref="E66:G66" si="51">E56+E64</f>
        <v>7747378142</v>
      </c>
      <c r="F66" s="14">
        <f t="shared" si="51"/>
        <v>8537034046</v>
      </c>
      <c r="G66" s="14">
        <f t="shared" si="51"/>
        <v>10051799661.202522</v>
      </c>
      <c r="H66" s="14">
        <f t="shared" ref="H66:K66" si="52">H56+H64</f>
        <v>11119345912.094538</v>
      </c>
      <c r="I66" s="14">
        <f t="shared" si="52"/>
        <v>12138904243.653214</v>
      </c>
      <c r="J66" s="14">
        <f t="shared" si="52"/>
        <v>13156993041.515985</v>
      </c>
      <c r="K66" s="14">
        <f t="shared" si="52"/>
        <v>14215376587.510891</v>
      </c>
    </row>
    <row r="67" spans="3:12" ht="15" customHeight="1" x14ac:dyDescent="0.25">
      <c r="E67" s="18"/>
      <c r="F67" s="18"/>
      <c r="G67" s="18"/>
      <c r="H67" s="18"/>
      <c r="I67" s="18"/>
      <c r="J67" s="18"/>
      <c r="K67" s="18"/>
    </row>
    <row r="68" spans="3:12" s="35" customFormat="1" ht="15" customHeight="1" x14ac:dyDescent="0.25">
      <c r="C68" s="45" t="s">
        <v>122</v>
      </c>
      <c r="D68" s="244"/>
      <c r="E68" s="47"/>
      <c r="F68" s="47"/>
      <c r="G68" s="215"/>
      <c r="H68" s="215"/>
      <c r="I68" s="215"/>
      <c r="J68" s="215"/>
      <c r="K68" s="215"/>
    </row>
    <row r="69" spans="3:12" ht="15" customHeight="1" x14ac:dyDescent="0.25">
      <c r="E69" s="18"/>
      <c r="F69" s="18"/>
      <c r="G69" s="18"/>
      <c r="H69" s="18"/>
      <c r="I69" s="18"/>
      <c r="J69" s="18"/>
      <c r="K69" s="18"/>
    </row>
    <row r="70" spans="3:12" ht="15" customHeight="1" x14ac:dyDescent="0.25">
      <c r="C70" s="13" t="s">
        <v>123</v>
      </c>
      <c r="E70" s="18"/>
      <c r="F70" s="18"/>
      <c r="G70" s="18"/>
      <c r="H70" s="18"/>
      <c r="I70" s="18"/>
      <c r="J70" s="18"/>
      <c r="K70" s="18"/>
    </row>
    <row r="71" spans="3:12" ht="15" customHeight="1" x14ac:dyDescent="0.25">
      <c r="C71" s="17" t="s">
        <v>252</v>
      </c>
      <c r="D71" s="10">
        <v>1387483248</v>
      </c>
      <c r="E71" s="10">
        <v>918482312</v>
      </c>
      <c r="F71" s="10">
        <v>1587533130</v>
      </c>
      <c r="G71" s="19">
        <f>F71</f>
        <v>1587533130</v>
      </c>
      <c r="H71" s="19">
        <f t="shared" ref="H71:K71" si="53">G71</f>
        <v>1587533130</v>
      </c>
      <c r="I71" s="19">
        <f t="shared" si="53"/>
        <v>1587533130</v>
      </c>
      <c r="J71" s="19">
        <f t="shared" si="53"/>
        <v>1587533130</v>
      </c>
      <c r="K71" s="19">
        <f t="shared" si="53"/>
        <v>1587533130</v>
      </c>
    </row>
    <row r="72" spans="3:12" ht="15" customHeight="1" x14ac:dyDescent="0.25">
      <c r="C72" s="17" t="s">
        <v>253</v>
      </c>
      <c r="D72" s="10">
        <v>151554607</v>
      </c>
      <c r="E72" s="10">
        <v>280295448</v>
      </c>
      <c r="F72" s="10">
        <v>147720552</v>
      </c>
      <c r="G72" s="19">
        <f>G181</f>
        <v>109625985.01326028</v>
      </c>
      <c r="H72" s="19">
        <f t="shared" ref="H72:K72" si="54">H181</f>
        <v>133103909.78593889</v>
      </c>
      <c r="I72" s="19">
        <f t="shared" si="54"/>
        <v>198065941.52532533</v>
      </c>
      <c r="J72" s="19">
        <f t="shared" si="54"/>
        <v>241121720.62466407</v>
      </c>
      <c r="K72" s="19">
        <f t="shared" si="54"/>
        <v>270085574.96930134</v>
      </c>
    </row>
    <row r="73" spans="3:12" ht="15" customHeight="1" x14ac:dyDescent="0.25">
      <c r="C73" s="17" t="s">
        <v>254</v>
      </c>
      <c r="D73" s="10">
        <v>10158729</v>
      </c>
      <c r="E73" s="10">
        <v>344005</v>
      </c>
      <c r="F73" s="10">
        <v>0</v>
      </c>
      <c r="G73" s="19">
        <f>F73</f>
        <v>0</v>
      </c>
      <c r="H73" s="19">
        <f t="shared" ref="H73:K73" si="55">G73</f>
        <v>0</v>
      </c>
      <c r="I73" s="19">
        <f t="shared" si="55"/>
        <v>0</v>
      </c>
      <c r="J73" s="19">
        <f t="shared" si="55"/>
        <v>0</v>
      </c>
      <c r="K73" s="19">
        <f t="shared" si="55"/>
        <v>0</v>
      </c>
    </row>
    <row r="74" spans="3:12" ht="15" customHeight="1" x14ac:dyDescent="0.25">
      <c r="C74" s="17" t="s">
        <v>255</v>
      </c>
      <c r="D74" s="10">
        <v>23801960</v>
      </c>
      <c r="E74" s="10">
        <v>35443162</v>
      </c>
      <c r="F74" s="10">
        <v>40232181</v>
      </c>
      <c r="G74" s="19">
        <f>G241*G242</f>
        <v>41708517.668718755</v>
      </c>
      <c r="H74" s="19">
        <f t="shared" ref="H74:K74" si="56">H241*H242</f>
        <v>46944612.48876211</v>
      </c>
      <c r="I74" s="19">
        <f t="shared" si="56"/>
        <v>52637194.604887277</v>
      </c>
      <c r="J74" s="19">
        <f t="shared" si="56"/>
        <v>58748937.3099043</v>
      </c>
      <c r="K74" s="19">
        <f t="shared" si="56"/>
        <v>65246490.381305106</v>
      </c>
    </row>
    <row r="75" spans="3:12" ht="15" customHeight="1" x14ac:dyDescent="0.25">
      <c r="C75" s="17" t="s">
        <v>256</v>
      </c>
      <c r="D75" s="10">
        <v>972211730</v>
      </c>
      <c r="E75" s="10">
        <v>1511358852</v>
      </c>
      <c r="F75" s="10">
        <v>1520387559</v>
      </c>
      <c r="G75" s="19">
        <f>G180</f>
        <v>1973324351.4840546</v>
      </c>
      <c r="H75" s="19">
        <f t="shared" ref="H75:K75" si="57">H180</f>
        <v>2144697472.0723133</v>
      </c>
      <c r="I75" s="19">
        <f t="shared" si="57"/>
        <v>2285040580.0020065</v>
      </c>
      <c r="J75" s="19">
        <f t="shared" si="57"/>
        <v>2419916291.4168353</v>
      </c>
      <c r="K75" s="19">
        <f t="shared" si="57"/>
        <v>2572676123.7709012</v>
      </c>
    </row>
    <row r="76" spans="3:12" ht="15" customHeight="1" x14ac:dyDescent="0.25">
      <c r="C76" s="17" t="s">
        <v>257</v>
      </c>
      <c r="D76" s="10">
        <v>119370876</v>
      </c>
      <c r="E76" s="10">
        <v>160858369</v>
      </c>
      <c r="F76" s="10">
        <v>260140979</v>
      </c>
      <c r="G76" s="19">
        <f>F76</f>
        <v>260140979</v>
      </c>
      <c r="H76" s="19">
        <f t="shared" ref="H76:K76" si="58">G76</f>
        <v>260140979</v>
      </c>
      <c r="I76" s="19">
        <f t="shared" si="58"/>
        <v>260140979</v>
      </c>
      <c r="J76" s="19">
        <f t="shared" si="58"/>
        <v>260140979</v>
      </c>
      <c r="K76" s="19">
        <f t="shared" si="58"/>
        <v>260140979</v>
      </c>
    </row>
    <row r="77" spans="3:12" ht="15" customHeight="1" x14ac:dyDescent="0.25">
      <c r="C77" s="17" t="s">
        <v>298</v>
      </c>
      <c r="D77" s="10"/>
      <c r="E77" s="10"/>
      <c r="F77" s="10"/>
      <c r="G77" s="19">
        <f>G279</f>
        <v>575287999.88360476</v>
      </c>
      <c r="H77" s="19">
        <f t="shared" ref="H77:K77" si="59">H279</f>
        <v>813034449.72583556</v>
      </c>
      <c r="I77" s="19">
        <f t="shared" si="59"/>
        <v>691054714.43181729</v>
      </c>
      <c r="J77" s="19">
        <f t="shared" si="59"/>
        <v>394814758.75050724</v>
      </c>
      <c r="K77" s="19">
        <f t="shared" si="59"/>
        <v>0</v>
      </c>
    </row>
    <row r="78" spans="3:12" ht="15" customHeight="1" x14ac:dyDescent="0.25">
      <c r="C78" s="11" t="s">
        <v>124</v>
      </c>
      <c r="D78" s="12">
        <f>SUM(D71:D76)</f>
        <v>2664581150</v>
      </c>
      <c r="E78" s="12">
        <f t="shared" ref="E78:F78" si="60">SUM(E71:E76)</f>
        <v>2906782148</v>
      </c>
      <c r="F78" s="12">
        <f t="shared" si="60"/>
        <v>3556014401</v>
      </c>
      <c r="G78" s="12">
        <f>SUM(G71:G77)</f>
        <v>4547620963.0496387</v>
      </c>
      <c r="H78" s="12">
        <f t="shared" ref="H78:K78" si="61">SUM(H71:H77)</f>
        <v>4985454553.0728502</v>
      </c>
      <c r="I78" s="12">
        <f t="shared" si="61"/>
        <v>5074472539.5640364</v>
      </c>
      <c r="J78" s="12">
        <f t="shared" si="61"/>
        <v>4962275817.1019115</v>
      </c>
      <c r="K78" s="12">
        <f t="shared" si="61"/>
        <v>4755682298.1215076</v>
      </c>
      <c r="L78" s="18"/>
    </row>
    <row r="79" spans="3:12" ht="15" customHeight="1" x14ac:dyDescent="0.25">
      <c r="D79" s="255"/>
      <c r="E79" s="255"/>
      <c r="F79" s="255"/>
      <c r="G79" s="256"/>
      <c r="H79" s="256"/>
      <c r="I79" s="256"/>
      <c r="J79" s="256"/>
      <c r="K79" s="256"/>
    </row>
    <row r="80" spans="3:12" ht="15" customHeight="1" x14ac:dyDescent="0.25">
      <c r="C80" s="13" t="s">
        <v>125</v>
      </c>
      <c r="E80" s="18"/>
      <c r="F80" s="18"/>
      <c r="G80" s="18"/>
      <c r="H80" s="18"/>
      <c r="I80" s="18"/>
      <c r="J80" s="18"/>
      <c r="K80" s="18"/>
    </row>
    <row r="81" spans="1:11" ht="15" customHeight="1" x14ac:dyDescent="0.25">
      <c r="C81" s="17" t="s">
        <v>247</v>
      </c>
      <c r="D81" s="10">
        <v>164614</v>
      </c>
      <c r="E81" s="10">
        <v>0</v>
      </c>
      <c r="F81" s="10">
        <v>0</v>
      </c>
      <c r="G81" s="19">
        <f>F81</f>
        <v>0</v>
      </c>
      <c r="H81" s="19">
        <f t="shared" ref="H81:K81" si="62">G81</f>
        <v>0</v>
      </c>
      <c r="I81" s="19">
        <f t="shared" si="62"/>
        <v>0</v>
      </c>
      <c r="J81" s="19">
        <f t="shared" si="62"/>
        <v>0</v>
      </c>
      <c r="K81" s="19">
        <f t="shared" si="62"/>
        <v>0</v>
      </c>
    </row>
    <row r="82" spans="1:11" ht="15" customHeight="1" x14ac:dyDescent="0.25">
      <c r="C82" s="17" t="s">
        <v>248</v>
      </c>
      <c r="D82" s="10">
        <v>84977704</v>
      </c>
      <c r="E82" s="10">
        <v>107706551</v>
      </c>
      <c r="F82" s="10">
        <v>111403877</v>
      </c>
      <c r="G82" s="19">
        <f>G241*(1-G242)</f>
        <v>129292354.63758916</v>
      </c>
      <c r="H82" s="19">
        <f t="shared" ref="H82:K82" si="63">H241*(1-H242)</f>
        <v>145523740.12499109</v>
      </c>
      <c r="I82" s="19">
        <f t="shared" si="63"/>
        <v>163170191.90272126</v>
      </c>
      <c r="J82" s="19">
        <f t="shared" si="63"/>
        <v>182116000.80312741</v>
      </c>
      <c r="K82" s="19">
        <f t="shared" si="63"/>
        <v>202257784.37493175</v>
      </c>
    </row>
    <row r="83" spans="1:11" ht="15" customHeight="1" x14ac:dyDescent="0.25">
      <c r="A83" s="6" t="s">
        <v>258</v>
      </c>
      <c r="C83" s="17" t="s">
        <v>249</v>
      </c>
      <c r="D83" s="10">
        <v>317268128</v>
      </c>
      <c r="E83" s="10">
        <v>355887441</v>
      </c>
      <c r="F83" s="10">
        <v>236859693</v>
      </c>
      <c r="G83" s="19">
        <f>F83</f>
        <v>236859693</v>
      </c>
      <c r="H83" s="19">
        <f t="shared" ref="H83:K83" si="64">G83</f>
        <v>236859693</v>
      </c>
      <c r="I83" s="19">
        <f t="shared" si="64"/>
        <v>236859693</v>
      </c>
      <c r="J83" s="19">
        <f t="shared" si="64"/>
        <v>236859693</v>
      </c>
      <c r="K83" s="19">
        <f t="shared" si="64"/>
        <v>236859693</v>
      </c>
    </row>
    <row r="84" spans="1:11" ht="15" customHeight="1" x14ac:dyDescent="0.25">
      <c r="C84" s="17" t="s">
        <v>250</v>
      </c>
      <c r="D84" s="10">
        <v>3117762</v>
      </c>
      <c r="E84" s="10">
        <v>0</v>
      </c>
      <c r="F84" s="10">
        <v>0</v>
      </c>
      <c r="G84" s="19">
        <f>F84</f>
        <v>0</v>
      </c>
      <c r="H84" s="19">
        <f t="shared" ref="H84:K84" si="65">G84</f>
        <v>0</v>
      </c>
      <c r="I84" s="19">
        <f t="shared" si="65"/>
        <v>0</v>
      </c>
      <c r="J84" s="19">
        <f t="shared" si="65"/>
        <v>0</v>
      </c>
      <c r="K84" s="19">
        <f t="shared" si="65"/>
        <v>0</v>
      </c>
    </row>
    <row r="85" spans="1:11" ht="15" customHeight="1" x14ac:dyDescent="0.25">
      <c r="C85" s="17" t="s">
        <v>251</v>
      </c>
      <c r="D85" s="10">
        <v>312147826</v>
      </c>
      <c r="E85" s="10">
        <v>520391057</v>
      </c>
      <c r="F85" s="10">
        <v>526949846</v>
      </c>
      <c r="G85" s="19">
        <f>F85</f>
        <v>526949846</v>
      </c>
      <c r="H85" s="19">
        <f t="shared" ref="H85:K85" si="66">G85</f>
        <v>526949846</v>
      </c>
      <c r="I85" s="19">
        <f t="shared" si="66"/>
        <v>526949846</v>
      </c>
      <c r="J85" s="19">
        <f t="shared" si="66"/>
        <v>526949846</v>
      </c>
      <c r="K85" s="19">
        <f t="shared" si="66"/>
        <v>526949846</v>
      </c>
    </row>
    <row r="86" spans="1:11" ht="15" customHeight="1" x14ac:dyDescent="0.25">
      <c r="C86" s="11" t="s">
        <v>126</v>
      </c>
      <c r="D86" s="12">
        <f>SUM(D81:D85)</f>
        <v>717676034</v>
      </c>
      <c r="E86" s="12">
        <f t="shared" ref="E86:G86" si="67">SUM(E81:E85)</f>
        <v>983985049</v>
      </c>
      <c r="F86" s="12">
        <f t="shared" si="67"/>
        <v>875213416</v>
      </c>
      <c r="G86" s="12">
        <f t="shared" si="67"/>
        <v>893101893.63758922</v>
      </c>
      <c r="H86" s="12">
        <f t="shared" ref="H86" si="68">SUM(H81:H85)</f>
        <v>909333279.12499106</v>
      </c>
      <c r="I86" s="12">
        <f t="shared" ref="I86" si="69">SUM(I81:I85)</f>
        <v>926979730.90272129</v>
      </c>
      <c r="J86" s="12">
        <f t="shared" ref="J86" si="70">SUM(J81:J85)</f>
        <v>945925539.80312741</v>
      </c>
      <c r="K86" s="12">
        <f t="shared" ref="K86" si="71">SUM(K81:K85)</f>
        <v>966067323.37493181</v>
      </c>
    </row>
    <row r="87" spans="1:11" ht="15" customHeight="1" x14ac:dyDescent="0.25">
      <c r="D87" s="1"/>
      <c r="E87" s="1"/>
      <c r="F87" s="1"/>
      <c r="G87" s="210"/>
      <c r="H87" s="210"/>
      <c r="I87" s="210"/>
      <c r="J87" s="210"/>
      <c r="K87" s="210"/>
    </row>
    <row r="88" spans="1:11" ht="15" customHeight="1" x14ac:dyDescent="0.25">
      <c r="C88" s="13" t="s">
        <v>127</v>
      </c>
      <c r="D88" s="25">
        <f t="shared" ref="D88:G88" si="72">D78+D86</f>
        <v>3382257184</v>
      </c>
      <c r="E88" s="25">
        <f t="shared" si="72"/>
        <v>3890767197</v>
      </c>
      <c r="F88" s="25">
        <f t="shared" si="72"/>
        <v>4431227817</v>
      </c>
      <c r="G88" s="25">
        <f t="shared" si="72"/>
        <v>5440722856.6872282</v>
      </c>
      <c r="H88" s="25">
        <f t="shared" ref="H88:K88" si="73">H78+H86</f>
        <v>5894787832.1978416</v>
      </c>
      <c r="I88" s="25">
        <f t="shared" si="73"/>
        <v>6001452270.4667578</v>
      </c>
      <c r="J88" s="25">
        <f t="shared" si="73"/>
        <v>5908201356.9050388</v>
      </c>
      <c r="K88" s="25">
        <f t="shared" si="73"/>
        <v>5721749621.496439</v>
      </c>
    </row>
    <row r="89" spans="1:11" ht="15" customHeight="1" x14ac:dyDescent="0.25">
      <c r="E89" s="18"/>
      <c r="F89" s="18"/>
      <c r="G89" s="18"/>
      <c r="H89" s="18"/>
      <c r="I89" s="18"/>
      <c r="J89" s="18"/>
      <c r="K89" s="18"/>
    </row>
    <row r="90" spans="1:11" ht="15" customHeight="1" x14ac:dyDescent="0.25">
      <c r="C90" s="13" t="s">
        <v>128</v>
      </c>
      <c r="E90" s="18"/>
      <c r="F90" s="18"/>
      <c r="G90" s="18"/>
      <c r="H90" s="18"/>
      <c r="I90" s="18"/>
      <c r="J90" s="18"/>
      <c r="K90" s="18"/>
    </row>
    <row r="91" spans="1:11" ht="15" customHeight="1" x14ac:dyDescent="0.25">
      <c r="C91" s="17" t="s">
        <v>242</v>
      </c>
      <c r="D91" s="10">
        <v>400000000</v>
      </c>
      <c r="E91" s="10">
        <v>400000000</v>
      </c>
      <c r="F91" s="10">
        <v>400000000</v>
      </c>
      <c r="G91" s="19">
        <f>F91</f>
        <v>400000000</v>
      </c>
      <c r="H91" s="19">
        <f t="shared" ref="H91:K91" si="74">G91</f>
        <v>400000000</v>
      </c>
      <c r="I91" s="19">
        <f t="shared" si="74"/>
        <v>400000000</v>
      </c>
      <c r="J91" s="19">
        <f t="shared" si="74"/>
        <v>400000000</v>
      </c>
      <c r="K91" s="19">
        <f t="shared" si="74"/>
        <v>400000000</v>
      </c>
    </row>
    <row r="92" spans="1:11" ht="15" customHeight="1" x14ac:dyDescent="0.25">
      <c r="C92" s="17" t="s">
        <v>243</v>
      </c>
      <c r="D92" s="10">
        <v>-25388998</v>
      </c>
      <c r="E92" s="10">
        <v>0</v>
      </c>
      <c r="F92" s="10">
        <v>0</v>
      </c>
      <c r="G92" s="19">
        <f>F92</f>
        <v>0</v>
      </c>
      <c r="H92" s="19">
        <f t="shared" ref="H92:K92" si="75">G92</f>
        <v>0</v>
      </c>
      <c r="I92" s="19">
        <f t="shared" si="75"/>
        <v>0</v>
      </c>
      <c r="J92" s="19">
        <f t="shared" si="75"/>
        <v>0</v>
      </c>
      <c r="K92" s="19">
        <f t="shared" si="75"/>
        <v>0</v>
      </c>
    </row>
    <row r="93" spans="1:11" ht="15" customHeight="1" x14ac:dyDescent="0.25">
      <c r="C93" s="17" t="s">
        <v>244</v>
      </c>
      <c r="D93" s="10">
        <v>1546811343</v>
      </c>
      <c r="E93" s="10">
        <v>2394178238</v>
      </c>
      <c r="F93" s="10">
        <v>2414837399</v>
      </c>
      <c r="G93" s="19">
        <f>F93</f>
        <v>2414837399</v>
      </c>
      <c r="H93" s="19">
        <f t="shared" ref="H93:K93" si="76">G93</f>
        <v>2414837399</v>
      </c>
      <c r="I93" s="19">
        <f t="shared" si="76"/>
        <v>2414837399</v>
      </c>
      <c r="J93" s="19">
        <f t="shared" si="76"/>
        <v>2414837399</v>
      </c>
      <c r="K93" s="19">
        <f t="shared" si="76"/>
        <v>2414837399</v>
      </c>
    </row>
    <row r="94" spans="1:11" ht="15" customHeight="1" x14ac:dyDescent="0.25">
      <c r="C94" s="17" t="s">
        <v>129</v>
      </c>
      <c r="D94" s="10">
        <v>75470228</v>
      </c>
      <c r="E94" s="10">
        <v>940414138</v>
      </c>
      <c r="F94" s="10">
        <v>1162995099</v>
      </c>
      <c r="G94" s="19">
        <f>G220</f>
        <v>1649929041.551198</v>
      </c>
      <c r="H94" s="19">
        <f t="shared" ref="H94:K94" si="77">H220</f>
        <v>2241146639.7621193</v>
      </c>
      <c r="I94" s="19">
        <f t="shared" si="77"/>
        <v>3120910956.4099998</v>
      </c>
      <c r="J94" s="19">
        <f t="shared" si="77"/>
        <v>4191919349.5778637</v>
      </c>
      <c r="K94" s="19">
        <f t="shared" si="77"/>
        <v>5391578662.3776646</v>
      </c>
    </row>
    <row r="95" spans="1:11" s="13" customFormat="1" ht="15" customHeight="1" x14ac:dyDescent="0.25">
      <c r="C95" s="252" t="s">
        <v>245</v>
      </c>
      <c r="D95" s="157">
        <f>SUM(D91:D94)</f>
        <v>1996892573</v>
      </c>
      <c r="E95" s="157">
        <f t="shared" ref="E95:G95" si="78">SUM(E91:E94)</f>
        <v>3734592376</v>
      </c>
      <c r="F95" s="157">
        <f t="shared" si="78"/>
        <v>3977832498</v>
      </c>
      <c r="G95" s="157">
        <f t="shared" si="78"/>
        <v>4464766440.551198</v>
      </c>
      <c r="H95" s="157">
        <f t="shared" ref="H95" si="79">SUM(H91:H94)</f>
        <v>5055984038.7621193</v>
      </c>
      <c r="I95" s="157">
        <f t="shared" ref="I95" si="80">SUM(I91:I94)</f>
        <v>5935748355.4099998</v>
      </c>
      <c r="J95" s="157">
        <f t="shared" ref="J95" si="81">SUM(J91:J94)</f>
        <v>7006756748.5778637</v>
      </c>
      <c r="K95" s="157">
        <f t="shared" ref="K95" si="82">SUM(K91:K94)</f>
        <v>8206416061.3776646</v>
      </c>
    </row>
    <row r="96" spans="1:11" ht="15" customHeight="1" x14ac:dyDescent="0.25">
      <c r="C96" s="17" t="s">
        <v>246</v>
      </c>
      <c r="D96" s="10">
        <v>76266769</v>
      </c>
      <c r="E96" s="10">
        <v>122018569</v>
      </c>
      <c r="F96" s="10">
        <v>127973731</v>
      </c>
      <c r="G96" s="19">
        <f>G226</f>
        <v>146310363.9640975</v>
      </c>
      <c r="H96" s="19">
        <f t="shared" ref="H96:K96" si="83">H226</f>
        <v>168574041.13457754</v>
      </c>
      <c r="I96" s="19">
        <f t="shared" si="83"/>
        <v>201703617.77645662</v>
      </c>
      <c r="J96" s="19">
        <f t="shared" si="83"/>
        <v>242034936.03308457</v>
      </c>
      <c r="K96" s="19">
        <f t="shared" si="83"/>
        <v>287210904.63678998</v>
      </c>
    </row>
    <row r="97" spans="3:11" ht="15" customHeight="1" x14ac:dyDescent="0.25">
      <c r="C97" s="26" t="s">
        <v>130</v>
      </c>
      <c r="D97" s="12">
        <f>SUM(D95:D96)</f>
        <v>2073159342</v>
      </c>
      <c r="E97" s="12">
        <f t="shared" ref="E97:G97" si="84">SUM(E95:E96)</f>
        <v>3856610945</v>
      </c>
      <c r="F97" s="12">
        <f t="shared" si="84"/>
        <v>4105806229</v>
      </c>
      <c r="G97" s="12">
        <f t="shared" si="84"/>
        <v>4611076804.515295</v>
      </c>
      <c r="H97" s="12">
        <f t="shared" ref="H97" si="85">SUM(H95:H96)</f>
        <v>5224558079.896697</v>
      </c>
      <c r="I97" s="12">
        <f t="shared" ref="I97" si="86">SUM(I95:I96)</f>
        <v>6137451973.1864567</v>
      </c>
      <c r="J97" s="12">
        <f t="shared" ref="J97" si="87">SUM(J95:J96)</f>
        <v>7248791684.6109486</v>
      </c>
      <c r="K97" s="12">
        <f t="shared" ref="K97" si="88">SUM(K95:K96)</f>
        <v>8493626966.0144548</v>
      </c>
    </row>
    <row r="98" spans="3:11" ht="15" customHeight="1" x14ac:dyDescent="0.25">
      <c r="E98" s="19"/>
      <c r="F98" s="19"/>
      <c r="G98" s="19"/>
      <c r="H98" s="19"/>
      <c r="I98" s="19"/>
      <c r="J98" s="19"/>
      <c r="K98" s="19"/>
    </row>
    <row r="99" spans="3:11" ht="15" customHeight="1" x14ac:dyDescent="0.25">
      <c r="C99" s="13" t="s">
        <v>131</v>
      </c>
      <c r="D99" s="14">
        <f>D88+D97</f>
        <v>5455416526</v>
      </c>
      <c r="E99" s="14">
        <f t="shared" ref="E99:G99" si="89">E88+E97</f>
        <v>7747378142</v>
      </c>
      <c r="F99" s="14">
        <f t="shared" si="89"/>
        <v>8537034046</v>
      </c>
      <c r="G99" s="14">
        <f t="shared" si="89"/>
        <v>10051799661.202522</v>
      </c>
      <c r="H99" s="14">
        <f t="shared" ref="H99:K99" si="90">H88+H97</f>
        <v>11119345912.09454</v>
      </c>
      <c r="I99" s="14">
        <f t="shared" si="90"/>
        <v>12138904243.653214</v>
      </c>
      <c r="J99" s="14">
        <f t="shared" si="90"/>
        <v>13156993041.515987</v>
      </c>
      <c r="K99" s="14">
        <f t="shared" si="90"/>
        <v>14215376587.510895</v>
      </c>
    </row>
    <row r="100" spans="3:11" ht="15" customHeight="1" x14ac:dyDescent="0.25">
      <c r="E100" s="18"/>
      <c r="F100" s="18"/>
      <c r="G100" s="18"/>
      <c r="H100" s="18"/>
      <c r="I100" s="18"/>
      <c r="J100" s="18"/>
      <c r="K100" s="18"/>
    </row>
    <row r="101" spans="3:11" ht="15" customHeight="1" x14ac:dyDescent="0.25">
      <c r="C101" s="6" t="s">
        <v>132</v>
      </c>
      <c r="D101" s="259">
        <f>D66-D99</f>
        <v>0</v>
      </c>
      <c r="E101" s="259">
        <f t="shared" ref="E101:K101" si="91">E66-E99</f>
        <v>0</v>
      </c>
      <c r="F101" s="259">
        <f t="shared" si="91"/>
        <v>0</v>
      </c>
      <c r="G101" s="259">
        <f t="shared" si="91"/>
        <v>0</v>
      </c>
      <c r="H101" s="259">
        <f t="shared" si="91"/>
        <v>0</v>
      </c>
      <c r="I101" s="259">
        <f t="shared" si="91"/>
        <v>0</v>
      </c>
      <c r="J101" s="259">
        <f t="shared" si="91"/>
        <v>0</v>
      </c>
      <c r="K101" s="259">
        <f t="shared" si="91"/>
        <v>0</v>
      </c>
    </row>
    <row r="102" spans="3:11" ht="15" customHeight="1" x14ac:dyDescent="0.25"/>
    <row r="103" spans="3:11" x14ac:dyDescent="0.25">
      <c r="C103" s="39" t="s">
        <v>133</v>
      </c>
      <c r="D103" s="243"/>
      <c r="E103" s="46"/>
      <c r="F103" s="46"/>
      <c r="G103" s="46"/>
      <c r="H103" s="46"/>
      <c r="I103" s="46"/>
      <c r="J103" s="46"/>
      <c r="K103" s="46"/>
    </row>
    <row r="104" spans="3:11" x14ac:dyDescent="0.25">
      <c r="C104" t="s">
        <v>107</v>
      </c>
      <c r="D104" s="41"/>
      <c r="E104" s="41"/>
      <c r="F104" s="42"/>
      <c r="G104" s="42">
        <f>G$13</f>
        <v>2026</v>
      </c>
      <c r="H104" s="42">
        <f>H$13</f>
        <v>2027</v>
      </c>
      <c r="I104" s="42">
        <f>I$13</f>
        <v>2028</v>
      </c>
      <c r="J104" s="42">
        <f>J$13</f>
        <v>2029</v>
      </c>
      <c r="K104" s="42">
        <f>K$13</f>
        <v>2030</v>
      </c>
    </row>
    <row r="105" spans="3:11" x14ac:dyDescent="0.25">
      <c r="C105" s="43" t="s">
        <v>108</v>
      </c>
      <c r="D105" s="245"/>
      <c r="E105" s="44"/>
      <c r="F105" s="227"/>
      <c r="G105" s="227">
        <f>G$14</f>
        <v>46387</v>
      </c>
      <c r="H105" s="227">
        <f>H$14</f>
        <v>46752</v>
      </c>
      <c r="I105" s="227">
        <f>I$14</f>
        <v>47118</v>
      </c>
      <c r="J105" s="227">
        <f>J$14</f>
        <v>47483</v>
      </c>
      <c r="K105" s="227">
        <f>K$14</f>
        <v>47848</v>
      </c>
    </row>
    <row r="106" spans="3:11" ht="15" customHeight="1" x14ac:dyDescent="0.25"/>
    <row r="107" spans="3:11" s="13" customFormat="1" ht="15" customHeight="1" x14ac:dyDescent="0.25">
      <c r="C107" s="17" t="s">
        <v>134</v>
      </c>
      <c r="D107" s="198"/>
      <c r="E107" s="198"/>
      <c r="F107" s="200"/>
      <c r="G107" s="304">
        <f>G30</f>
        <v>517300487.97151697</v>
      </c>
      <c r="H107" s="304">
        <f t="shared" ref="H107:K107" si="92">H30</f>
        <v>628087560.39778674</v>
      </c>
      <c r="I107" s="304">
        <f t="shared" si="92"/>
        <v>934628849.07438064</v>
      </c>
      <c r="J107" s="304">
        <f t="shared" si="92"/>
        <v>1137799434.3638783</v>
      </c>
      <c r="K107" s="304">
        <f t="shared" si="92"/>
        <v>1274473380.6386094</v>
      </c>
    </row>
    <row r="108" spans="3:11" ht="15" customHeight="1" x14ac:dyDescent="0.25">
      <c r="C108" s="17" t="s">
        <v>135</v>
      </c>
      <c r="D108" s="200"/>
      <c r="E108" s="199"/>
      <c r="F108" s="199"/>
      <c r="G108" s="305">
        <f>G142</f>
        <v>250360626.95009136</v>
      </c>
      <c r="H108" s="305">
        <f t="shared" ref="H108:K108" si="93">H142</f>
        <v>279687126.0896166</v>
      </c>
      <c r="I108" s="305">
        <f t="shared" si="93"/>
        <v>312048411.61525565</v>
      </c>
      <c r="J108" s="305">
        <f t="shared" si="93"/>
        <v>346674001.62171423</v>
      </c>
      <c r="K108" s="305">
        <f t="shared" si="93"/>
        <v>383035919.56646919</v>
      </c>
    </row>
    <row r="109" spans="3:11" ht="15" customHeight="1" x14ac:dyDescent="0.25">
      <c r="C109" s="17" t="s">
        <v>293</v>
      </c>
      <c r="D109" s="200"/>
      <c r="E109" s="199"/>
      <c r="F109" s="199"/>
      <c r="G109" s="305">
        <f>G150</f>
        <v>5442043.2443589335</v>
      </c>
      <c r="H109" s="305">
        <f t="shared" ref="H109:K109" si="94">H150</f>
        <v>6032949.9850915456</v>
      </c>
      <c r="I109" s="305">
        <f t="shared" si="94"/>
        <v>6558907.8068539286</v>
      </c>
      <c r="J109" s="305">
        <f t="shared" si="94"/>
        <v>7041858.355958987</v>
      </c>
      <c r="K109" s="305">
        <f t="shared" si="94"/>
        <v>7486383.2784667639</v>
      </c>
    </row>
    <row r="110" spans="3:11" s="13" customFormat="1" ht="15" customHeight="1" x14ac:dyDescent="0.25">
      <c r="C110" s="13" t="s">
        <v>136</v>
      </c>
      <c r="D110" s="198"/>
      <c r="E110" s="198"/>
      <c r="F110" s="198"/>
      <c r="G110" s="306">
        <f>SUM(G107:G109)</f>
        <v>773103158.16596723</v>
      </c>
      <c r="H110" s="306">
        <f>SUM(H107:H109)</f>
        <v>913807636.47249496</v>
      </c>
      <c r="I110" s="306">
        <f>SUM(I107:I109)</f>
        <v>1253236168.4964902</v>
      </c>
      <c r="J110" s="306">
        <f>SUM(J107:J109)</f>
        <v>1491515294.3415513</v>
      </c>
      <c r="K110" s="306">
        <f>SUM(K107:K109)</f>
        <v>1664995683.4835453</v>
      </c>
    </row>
    <row r="111" spans="3:11" s="13" customFormat="1" ht="15" customHeight="1" x14ac:dyDescent="0.25">
      <c r="D111" s="198"/>
      <c r="E111" s="202"/>
      <c r="F111" s="202"/>
      <c r="G111" s="307"/>
      <c r="H111" s="307"/>
      <c r="I111" s="307"/>
      <c r="J111" s="307"/>
      <c r="K111" s="307"/>
    </row>
    <row r="112" spans="3:11" ht="15" customHeight="1" x14ac:dyDescent="0.25">
      <c r="C112" s="196" t="s">
        <v>137</v>
      </c>
      <c r="D112" s="199"/>
      <c r="E112" s="199"/>
      <c r="F112" s="199"/>
      <c r="G112" s="305"/>
      <c r="H112" s="305"/>
      <c r="I112" s="305"/>
      <c r="J112" s="305"/>
      <c r="K112" s="305"/>
    </row>
    <row r="113" spans="3:11" ht="15" customHeight="1" x14ac:dyDescent="0.25">
      <c r="C113" s="17" t="s">
        <v>138</v>
      </c>
      <c r="D113" s="199"/>
      <c r="E113" s="199"/>
      <c r="F113" s="199"/>
      <c r="G113" s="305">
        <f>G186</f>
        <v>-484043876.89230871</v>
      </c>
      <c r="H113" s="305">
        <f t="shared" ref="H113:K113" si="95">H186</f>
        <v>-321401249.8452282</v>
      </c>
      <c r="I113" s="305">
        <f t="shared" si="95"/>
        <v>-233090729.76548195</v>
      </c>
      <c r="J113" s="305">
        <f t="shared" si="95"/>
        <v>-235020343.52322531</v>
      </c>
      <c r="K113" s="305">
        <f t="shared" si="95"/>
        <v>-247918730.20518017</v>
      </c>
    </row>
    <row r="114" spans="3:11" s="13" customFormat="1" ht="15" customHeight="1" x14ac:dyDescent="0.25">
      <c r="C114" s="13" t="s">
        <v>139</v>
      </c>
      <c r="D114" s="202"/>
      <c r="E114" s="202"/>
      <c r="F114" s="202"/>
      <c r="G114" s="308">
        <f>SUM(G113)</f>
        <v>-484043876.89230871</v>
      </c>
      <c r="H114" s="308">
        <f t="shared" ref="H114:K114" si="96">SUM(H113)</f>
        <v>-321401249.8452282</v>
      </c>
      <c r="I114" s="308">
        <f t="shared" si="96"/>
        <v>-233090729.76548195</v>
      </c>
      <c r="J114" s="308">
        <f t="shared" si="96"/>
        <v>-235020343.52322531</v>
      </c>
      <c r="K114" s="308">
        <f t="shared" si="96"/>
        <v>-247918730.20518017</v>
      </c>
    </row>
    <row r="115" spans="3:11" s="13" customFormat="1" ht="15" customHeight="1" x14ac:dyDescent="0.25">
      <c r="C115" s="13" t="s">
        <v>140</v>
      </c>
      <c r="D115" s="198"/>
      <c r="E115" s="198"/>
      <c r="F115" s="198"/>
      <c r="G115" s="306">
        <f>G110+G114</f>
        <v>289059281.27365851</v>
      </c>
      <c r="H115" s="306">
        <f t="shared" ref="H115:K115" si="97">H110+H114</f>
        <v>592406386.62726676</v>
      </c>
      <c r="I115" s="306">
        <f t="shared" si="97"/>
        <v>1020145438.7310083</v>
      </c>
      <c r="J115" s="306">
        <f t="shared" si="97"/>
        <v>1256494950.818326</v>
      </c>
      <c r="K115" s="306">
        <f t="shared" si="97"/>
        <v>1417076953.2783651</v>
      </c>
    </row>
    <row r="116" spans="3:11" ht="15" customHeight="1" x14ac:dyDescent="0.25">
      <c r="D116" s="200"/>
      <c r="E116" s="201"/>
      <c r="F116" s="201"/>
      <c r="G116" s="304"/>
      <c r="H116" s="304"/>
      <c r="I116" s="304"/>
      <c r="J116" s="304"/>
      <c r="K116" s="304"/>
    </row>
    <row r="117" spans="3:11" x14ac:dyDescent="0.25">
      <c r="C117" s="221" t="s">
        <v>141</v>
      </c>
      <c r="D117" s="246"/>
      <c r="E117" s="222"/>
      <c r="F117" s="222"/>
      <c r="G117" s="309"/>
      <c r="H117" s="309"/>
      <c r="I117" s="309"/>
      <c r="J117" s="309"/>
      <c r="K117" s="309"/>
    </row>
    <row r="118" spans="3:11" ht="15" customHeight="1" x14ac:dyDescent="0.25">
      <c r="C118" s="17" t="s">
        <v>142</v>
      </c>
      <c r="D118" s="200"/>
      <c r="E118" s="199"/>
      <c r="F118" s="199"/>
      <c r="G118" s="305">
        <f>-G141</f>
        <v>-472151736.54346138</v>
      </c>
      <c r="H118" s="305">
        <f t="shared" ref="H118:K118" si="98">-H141</f>
        <v>-523418812.3906334</v>
      </c>
      <c r="I118" s="305">
        <f t="shared" si="98"/>
        <v>-569050919.25621915</v>
      </c>
      <c r="J118" s="305">
        <f t="shared" si="98"/>
        <v>-610951714.63503885</v>
      </c>
      <c r="K118" s="305">
        <f t="shared" si="98"/>
        <v>-649518702.19370139</v>
      </c>
    </row>
    <row r="119" spans="3:11" ht="15" customHeight="1" x14ac:dyDescent="0.25">
      <c r="C119" s="17" t="s">
        <v>296</v>
      </c>
      <c r="D119" s="200"/>
      <c r="E119" s="199"/>
      <c r="F119" s="199"/>
      <c r="G119" s="305">
        <f>-G254</f>
        <v>-169843180.82032734</v>
      </c>
      <c r="H119" s="305">
        <f t="shared" ref="H119:K119" si="99">-H254</f>
        <v>-188285055.66544753</v>
      </c>
      <c r="I119" s="305">
        <f t="shared" si="99"/>
        <v>-204699910.42024046</v>
      </c>
      <c r="J119" s="305">
        <f t="shared" si="99"/>
        <v>-219772531.81551373</v>
      </c>
      <c r="K119" s="305">
        <f t="shared" si="99"/>
        <v>-233645910.50850576</v>
      </c>
    </row>
    <row r="120" spans="3:11" ht="15" customHeight="1" x14ac:dyDescent="0.25">
      <c r="C120" s="17" t="s">
        <v>297</v>
      </c>
      <c r="D120" s="200"/>
      <c r="E120" s="199"/>
      <c r="F120" s="199"/>
      <c r="G120" s="305">
        <f>-G266</f>
        <v>-5921535.9787895046</v>
      </c>
      <c r="H120" s="305">
        <f t="shared" ref="H120:K120" si="100">-H266</f>
        <v>-6564506.8939847201</v>
      </c>
      <c r="I120" s="305">
        <f t="shared" si="100"/>
        <v>-7136806.3089370159</v>
      </c>
      <c r="J120" s="305">
        <f t="shared" si="100"/>
        <v>-7662309.1254510423</v>
      </c>
      <c r="K120" s="305">
        <f t="shared" si="100"/>
        <v>-8146000.6736258855</v>
      </c>
    </row>
    <row r="121" spans="3:11" ht="15" customHeight="1" x14ac:dyDescent="0.25">
      <c r="C121" s="13" t="s">
        <v>143</v>
      </c>
      <c r="D121" s="200"/>
      <c r="E121" s="202"/>
      <c r="F121" s="202"/>
      <c r="G121" s="308">
        <f>SUM(G118:G120)</f>
        <v>-647916453.34257817</v>
      </c>
      <c r="H121" s="308">
        <f t="shared" ref="H121:K121" si="101">SUM(H118:H120)</f>
        <v>-718268374.95006561</v>
      </c>
      <c r="I121" s="308">
        <f t="shared" si="101"/>
        <v>-780887635.98539662</v>
      </c>
      <c r="J121" s="308">
        <f t="shared" si="101"/>
        <v>-838386555.57600367</v>
      </c>
      <c r="K121" s="308">
        <f t="shared" si="101"/>
        <v>-891310613.37583292</v>
      </c>
    </row>
    <row r="122" spans="3:11" ht="15" customHeight="1" x14ac:dyDescent="0.25">
      <c r="D122" s="200"/>
      <c r="E122" s="204"/>
      <c r="F122" s="204"/>
      <c r="G122" s="304"/>
      <c r="H122" s="304"/>
      <c r="I122" s="304"/>
      <c r="J122" s="304"/>
      <c r="K122" s="304"/>
    </row>
    <row r="123" spans="3:11" s="35" customFormat="1" ht="15" customHeight="1" x14ac:dyDescent="0.25">
      <c r="C123" s="45" t="s">
        <v>144</v>
      </c>
      <c r="D123" s="247"/>
      <c r="E123" s="205"/>
      <c r="F123" s="205"/>
      <c r="G123" s="310"/>
      <c r="H123" s="310"/>
      <c r="I123" s="310"/>
      <c r="J123" s="310"/>
      <c r="K123" s="310"/>
    </row>
    <row r="124" spans="3:11" ht="15" customHeight="1" x14ac:dyDescent="0.25">
      <c r="C124" s="17" t="s">
        <v>145</v>
      </c>
      <c r="D124" s="200"/>
      <c r="E124" s="199"/>
      <c r="F124" s="199"/>
      <c r="G124" s="305">
        <f>G219</f>
        <v>0</v>
      </c>
      <c r="H124" s="305">
        <f t="shared" ref="H124:K124" si="102">H219</f>
        <v>0</v>
      </c>
      <c r="I124" s="305">
        <f t="shared" si="102"/>
        <v>0</v>
      </c>
      <c r="J124" s="305">
        <f t="shared" si="102"/>
        <v>0</v>
      </c>
      <c r="K124" s="305">
        <f t="shared" si="102"/>
        <v>0</v>
      </c>
    </row>
    <row r="125" spans="3:11" ht="15" customHeight="1" x14ac:dyDescent="0.25">
      <c r="C125" s="17" t="s">
        <v>294</v>
      </c>
      <c r="D125" s="200"/>
      <c r="E125" s="199"/>
      <c r="F125" s="199"/>
      <c r="G125" s="305">
        <f>G225</f>
        <v>-12029912.456221452</v>
      </c>
      <c r="H125" s="305">
        <f t="shared" ref="H125:K125" si="103">H225</f>
        <v>-14606285.016385118</v>
      </c>
      <c r="I125" s="305">
        <f t="shared" si="103"/>
        <v>-21734955.784621041</v>
      </c>
      <c r="J125" s="305">
        <f t="shared" si="103"/>
        <v>-26459722.939386427</v>
      </c>
      <c r="K125" s="305">
        <f t="shared" si="103"/>
        <v>-29638099.235103086</v>
      </c>
    </row>
    <row r="126" spans="3:11" ht="15" customHeight="1" x14ac:dyDescent="0.25">
      <c r="C126" s="17" t="s">
        <v>295</v>
      </c>
      <c r="D126" s="200"/>
      <c r="E126" s="199"/>
      <c r="F126" s="199"/>
      <c r="G126" s="305">
        <f>-G239</f>
        <v>-40994696.723286137</v>
      </c>
      <c r="H126" s="305">
        <f t="shared" ref="H126:K126" si="104">-H239</f>
        <v>-45445973.852182321</v>
      </c>
      <c r="I126" s="305">
        <f t="shared" si="104"/>
        <v>-49407993.340862259</v>
      </c>
      <c r="J126" s="305">
        <f t="shared" si="104"/>
        <v>-53046040.744000569</v>
      </c>
      <c r="K126" s="305">
        <f t="shared" si="104"/>
        <v>-56394629.420328744</v>
      </c>
    </row>
    <row r="127" spans="3:11" ht="15" customHeight="1" x14ac:dyDescent="0.25">
      <c r="C127" s="17" t="s">
        <v>298</v>
      </c>
      <c r="D127" s="200"/>
      <c r="E127" s="199"/>
      <c r="F127" s="199"/>
      <c r="G127" s="305">
        <f>G280</f>
        <v>575287999.88360476</v>
      </c>
      <c r="H127" s="305">
        <f t="shared" ref="H127:K127" si="105">H280</f>
        <v>237746449.8422308</v>
      </c>
      <c r="I127" s="305">
        <f t="shared" si="105"/>
        <v>-121979735.29401827</v>
      </c>
      <c r="J127" s="305">
        <f t="shared" si="105"/>
        <v>-296239955.68131006</v>
      </c>
      <c r="K127" s="305">
        <f t="shared" si="105"/>
        <v>-394814758.75050724</v>
      </c>
    </row>
    <row r="128" spans="3:11" ht="15" customHeight="1" x14ac:dyDescent="0.25">
      <c r="C128" s="13" t="s">
        <v>146</v>
      </c>
      <c r="D128" s="198"/>
      <c r="E128" s="202"/>
      <c r="F128" s="202"/>
      <c r="G128" s="308">
        <f>SUM(G124:G127)</f>
        <v>522263390.70409715</v>
      </c>
      <c r="H128" s="308">
        <f t="shared" ref="H128:K128" si="106">SUM(H124:H127)</f>
        <v>177694190.97366336</v>
      </c>
      <c r="I128" s="308">
        <f t="shared" si="106"/>
        <v>-193122684.41950157</v>
      </c>
      <c r="J128" s="308">
        <f t="shared" si="106"/>
        <v>-375745719.36469704</v>
      </c>
      <c r="K128" s="308">
        <f t="shared" si="106"/>
        <v>-480847487.4059391</v>
      </c>
    </row>
    <row r="129" spans="3:11" ht="15" customHeight="1" x14ac:dyDescent="0.25">
      <c r="C129" s="13"/>
      <c r="D129" s="198"/>
      <c r="E129" s="202"/>
      <c r="F129" s="202"/>
      <c r="G129" s="308"/>
      <c r="H129" s="308"/>
      <c r="I129" s="308"/>
      <c r="J129" s="308"/>
      <c r="K129" s="308"/>
    </row>
    <row r="130" spans="3:11" ht="15" customHeight="1" x14ac:dyDescent="0.25">
      <c r="C130" s="13" t="s">
        <v>147</v>
      </c>
      <c r="D130" s="198"/>
      <c r="E130" s="202"/>
      <c r="F130" s="202"/>
      <c r="G130" s="308">
        <f>G115+G121+G128</f>
        <v>163406218.63517749</v>
      </c>
      <c r="H130" s="308">
        <f t="shared" ref="H130:K130" si="107">H115+H121+H128</f>
        <v>51832202.650864512</v>
      </c>
      <c r="I130" s="308">
        <f t="shared" si="107"/>
        <v>46135118.326110095</v>
      </c>
      <c r="J130" s="308">
        <f t="shared" si="107"/>
        <v>42362675.877625287</v>
      </c>
      <c r="K130" s="308">
        <f t="shared" si="107"/>
        <v>44918852.496593118</v>
      </c>
    </row>
    <row r="131" spans="3:11" ht="15" customHeight="1" x14ac:dyDescent="0.25">
      <c r="C131" s="6" t="s">
        <v>148</v>
      </c>
      <c r="D131" s="198"/>
      <c r="E131" s="202"/>
      <c r="F131" s="202"/>
      <c r="G131" s="308">
        <f>F55</f>
        <v>313950137</v>
      </c>
      <c r="H131" s="308">
        <f>G55</f>
        <v>477356355.63517749</v>
      </c>
      <c r="I131" s="308">
        <f>H55</f>
        <v>529188558.28604198</v>
      </c>
      <c r="J131" s="308">
        <f>I55</f>
        <v>575323676.6121521</v>
      </c>
      <c r="K131" s="308">
        <f>J55</f>
        <v>617686352.48977733</v>
      </c>
    </row>
    <row r="132" spans="3:11" ht="15" customHeight="1" x14ac:dyDescent="0.25">
      <c r="C132" s="13" t="s">
        <v>149</v>
      </c>
      <c r="D132" s="200"/>
      <c r="E132" s="202"/>
      <c r="F132" s="202"/>
      <c r="G132" s="308">
        <f>G130+G131</f>
        <v>477356355.63517749</v>
      </c>
      <c r="H132" s="308">
        <f t="shared" ref="H132:K132" si="108">H130+H131</f>
        <v>529188558.28604198</v>
      </c>
      <c r="I132" s="308">
        <f t="shared" si="108"/>
        <v>575323676.6121521</v>
      </c>
      <c r="J132" s="308">
        <f t="shared" si="108"/>
        <v>617686352.48977733</v>
      </c>
      <c r="K132" s="308">
        <f t="shared" si="108"/>
        <v>662605204.98637044</v>
      </c>
    </row>
    <row r="133" spans="3:11" ht="15" customHeight="1" x14ac:dyDescent="0.25">
      <c r="C133" s="13"/>
      <c r="D133" s="200"/>
      <c r="E133" s="203"/>
      <c r="F133" s="202"/>
      <c r="G133" s="307"/>
      <c r="H133" s="307"/>
      <c r="I133" s="307"/>
      <c r="J133" s="307"/>
      <c r="K133" s="307"/>
    </row>
    <row r="134" spans="3:11" ht="15" customHeight="1" x14ac:dyDescent="0.25">
      <c r="C134" s="13" t="s">
        <v>150</v>
      </c>
      <c r="D134" s="231"/>
      <c r="E134" s="231"/>
      <c r="F134" s="199"/>
      <c r="G134" s="184">
        <f>G55-G132</f>
        <v>0</v>
      </c>
      <c r="H134" s="184">
        <f>H55-H132</f>
        <v>0</v>
      </c>
      <c r="I134" s="184">
        <f>I55-I132</f>
        <v>0</v>
      </c>
      <c r="J134" s="184">
        <f>J55-J132</f>
        <v>0</v>
      </c>
      <c r="K134" s="184">
        <f>K55-K132</f>
        <v>0</v>
      </c>
    </row>
    <row r="135" spans="3:11" ht="15" customHeight="1" x14ac:dyDescent="0.25"/>
    <row r="136" spans="3:11" x14ac:dyDescent="0.25">
      <c r="C136" s="39" t="s">
        <v>151</v>
      </c>
      <c r="D136" s="241"/>
      <c r="E136" s="40"/>
      <c r="F136" s="40"/>
      <c r="G136" s="40"/>
      <c r="H136" s="40"/>
      <c r="I136" s="40"/>
      <c r="J136" s="40"/>
      <c r="K136" s="40"/>
    </row>
    <row r="137" spans="3:11" x14ac:dyDescent="0.25">
      <c r="C137" t="s">
        <v>107</v>
      </c>
      <c r="D137" s="41">
        <f t="shared" ref="D137:K137" si="109">D$13</f>
        <v>2023</v>
      </c>
      <c r="E137" s="41">
        <f t="shared" si="109"/>
        <v>2024</v>
      </c>
      <c r="F137" s="41">
        <f t="shared" si="109"/>
        <v>2025</v>
      </c>
      <c r="G137" s="42">
        <f t="shared" si="109"/>
        <v>2026</v>
      </c>
      <c r="H137" s="42">
        <f t="shared" si="109"/>
        <v>2027</v>
      </c>
      <c r="I137" s="42">
        <f t="shared" si="109"/>
        <v>2028</v>
      </c>
      <c r="J137" s="42">
        <f t="shared" si="109"/>
        <v>2029</v>
      </c>
      <c r="K137" s="42">
        <f t="shared" si="109"/>
        <v>2030</v>
      </c>
    </row>
    <row r="138" spans="3:11" x14ac:dyDescent="0.25">
      <c r="C138" s="43" t="s">
        <v>108</v>
      </c>
      <c r="D138" s="242">
        <f t="shared" ref="D138:K138" si="110">D$14</f>
        <v>45291</v>
      </c>
      <c r="E138" s="227">
        <f t="shared" si="110"/>
        <v>45657</v>
      </c>
      <c r="F138" s="227">
        <f t="shared" si="110"/>
        <v>46022</v>
      </c>
      <c r="G138" s="227">
        <f t="shared" si="110"/>
        <v>46387</v>
      </c>
      <c r="H138" s="227">
        <f t="shared" si="110"/>
        <v>46752</v>
      </c>
      <c r="I138" s="227">
        <f t="shared" si="110"/>
        <v>47118</v>
      </c>
      <c r="J138" s="227">
        <f t="shared" si="110"/>
        <v>47483</v>
      </c>
      <c r="K138" s="227">
        <f t="shared" si="110"/>
        <v>47848</v>
      </c>
    </row>
    <row r="139" spans="3:11" ht="15" customHeight="1" x14ac:dyDescent="0.25"/>
    <row r="140" spans="3:11" ht="15" customHeight="1" x14ac:dyDescent="0.25">
      <c r="C140" s="17" t="s">
        <v>152</v>
      </c>
      <c r="D140" s="294">
        <v>1985521668</v>
      </c>
      <c r="E140" s="185">
        <f>D143</f>
        <v>2157622936</v>
      </c>
      <c r="F140" s="185">
        <f t="shared" ref="F140:K140" si="111">E143</f>
        <v>3322359931</v>
      </c>
      <c r="G140" s="185">
        <f t="shared" si="111"/>
        <v>3586044267</v>
      </c>
      <c r="H140" s="185">
        <f t="shared" si="111"/>
        <v>4006102825.6943727</v>
      </c>
      <c r="I140" s="185">
        <f t="shared" si="111"/>
        <v>4469630193.5783892</v>
      </c>
      <c r="J140" s="185">
        <f t="shared" si="111"/>
        <v>4965590361.3043871</v>
      </c>
      <c r="K140" s="185">
        <f t="shared" si="111"/>
        <v>5486420848.7951651</v>
      </c>
    </row>
    <row r="141" spans="3:11" ht="15" customHeight="1" x14ac:dyDescent="0.25">
      <c r="C141" s="29" t="s">
        <v>153</v>
      </c>
      <c r="D141" s="197">
        <v>264410417</v>
      </c>
      <c r="E141" s="197">
        <v>284959352</v>
      </c>
      <c r="F141" s="197">
        <v>466761824</v>
      </c>
      <c r="G141" s="184">
        <f>G145*G16</f>
        <v>472151736.54346138</v>
      </c>
      <c r="H141" s="184">
        <f>H145*H16</f>
        <v>523418812.3906334</v>
      </c>
      <c r="I141" s="184">
        <f>I145*I16</f>
        <v>569050919.25621915</v>
      </c>
      <c r="J141" s="184">
        <f>J145*J16</f>
        <v>610951714.63503885</v>
      </c>
      <c r="K141" s="184">
        <f>K145*K16</f>
        <v>649518702.19370139</v>
      </c>
    </row>
    <row r="142" spans="3:11" ht="15" customHeight="1" x14ac:dyDescent="0.25">
      <c r="C142" s="29" t="s">
        <v>154</v>
      </c>
      <c r="D142" s="197">
        <v>115356260</v>
      </c>
      <c r="E142" s="197">
        <v>174973858</v>
      </c>
      <c r="F142" s="197">
        <v>233400485</v>
      </c>
      <c r="G142" s="184">
        <f>G146*G140</f>
        <v>250360626.95009136</v>
      </c>
      <c r="H142" s="184">
        <f t="shared" ref="H142:K142" si="112">H146*H140</f>
        <v>279687126.0896166</v>
      </c>
      <c r="I142" s="184">
        <f t="shared" si="112"/>
        <v>312048411.61525565</v>
      </c>
      <c r="J142" s="184">
        <f t="shared" si="112"/>
        <v>346674001.62171423</v>
      </c>
      <c r="K142" s="184">
        <f t="shared" si="112"/>
        <v>383035919.56646919</v>
      </c>
    </row>
    <row r="143" spans="3:11" ht="15" customHeight="1" x14ac:dyDescent="0.25">
      <c r="C143" s="16" t="s">
        <v>155</v>
      </c>
      <c r="D143" s="229">
        <f>D59</f>
        <v>2157622936</v>
      </c>
      <c r="E143" s="229">
        <f>E59</f>
        <v>3322359931</v>
      </c>
      <c r="F143" s="229">
        <f>F59</f>
        <v>3586044267</v>
      </c>
      <c r="G143" s="229">
        <f>G140+G141-G142+G255+G237</f>
        <v>4006102825.6943727</v>
      </c>
      <c r="H143" s="229">
        <f>H140+H141-H142+H255+H237</f>
        <v>4469630193.5783892</v>
      </c>
      <c r="I143" s="229">
        <f>I140+I141-I142+I255+I237</f>
        <v>4965590361.3043871</v>
      </c>
      <c r="J143" s="229">
        <f>J140+J141-J142+J255+J237</f>
        <v>5486420848.7951651</v>
      </c>
      <c r="K143" s="229">
        <f>K140+K141-K142+K255+K237</f>
        <v>6025651577.178359</v>
      </c>
    </row>
    <row r="144" spans="3:11" ht="15" customHeight="1" x14ac:dyDescent="0.25">
      <c r="C144" s="13"/>
      <c r="D144" s="10"/>
      <c r="E144" s="157"/>
      <c r="F144" s="157"/>
      <c r="G144" s="158"/>
      <c r="H144" s="158"/>
      <c r="I144" s="158"/>
      <c r="J144" s="158"/>
      <c r="K144" s="158"/>
    </row>
    <row r="145" spans="1:11" ht="15" customHeight="1" x14ac:dyDescent="0.25">
      <c r="C145" s="6" t="s">
        <v>156</v>
      </c>
      <c r="D145" s="22">
        <f>D141/D16</f>
        <v>5.4597186194598045E-2</v>
      </c>
      <c r="E145" s="22">
        <f>E141/E16</f>
        <v>4.2885289505499996E-2</v>
      </c>
      <c r="F145" s="22">
        <f>F141/F16</f>
        <v>5.9813090374237529E-2</v>
      </c>
      <c r="G145" s="210">
        <f t="shared" ref="G145" si="113">AVERAGE(D145:F145)</f>
        <v>5.2431855358111866E-2</v>
      </c>
      <c r="H145" s="210">
        <f t="shared" ref="H145:K145" si="114">G145</f>
        <v>5.2431855358111866E-2</v>
      </c>
      <c r="I145" s="210">
        <f t="shared" si="114"/>
        <v>5.2431855358111866E-2</v>
      </c>
      <c r="J145" s="210">
        <f t="shared" si="114"/>
        <v>5.2431855358111866E-2</v>
      </c>
      <c r="K145" s="210">
        <f t="shared" si="114"/>
        <v>5.2431855358111866E-2</v>
      </c>
    </row>
    <row r="146" spans="1:11" ht="15" customHeight="1" x14ac:dyDescent="0.25">
      <c r="C146" s="6" t="s">
        <v>157</v>
      </c>
      <c r="D146" s="22">
        <f>D142/D140</f>
        <v>5.8098716251330278E-2</v>
      </c>
      <c r="E146" s="22">
        <f t="shared" ref="E146:F146" si="115">E142/E140</f>
        <v>8.1095660914868958E-2</v>
      </c>
      <c r="F146" s="22">
        <f t="shared" si="115"/>
        <v>7.0251414611104041E-2</v>
      </c>
      <c r="G146" s="210">
        <f>AVERAGE(D146:F146)</f>
        <v>6.9815263925767757E-2</v>
      </c>
      <c r="H146" s="210">
        <f>G146</f>
        <v>6.9815263925767757E-2</v>
      </c>
      <c r="I146" s="210">
        <f t="shared" ref="I146:K146" si="116">H146</f>
        <v>6.9815263925767757E-2</v>
      </c>
      <c r="J146" s="210">
        <f t="shared" si="116"/>
        <v>6.9815263925767757E-2</v>
      </c>
      <c r="K146" s="210">
        <f t="shared" si="116"/>
        <v>6.9815263925767757E-2</v>
      </c>
    </row>
    <row r="147" spans="1:11" ht="15" customHeight="1" x14ac:dyDescent="0.25">
      <c r="E147" s="1"/>
      <c r="F147" s="1"/>
      <c r="G147" s="1"/>
      <c r="H147" s="1"/>
      <c r="I147" s="1"/>
      <c r="J147" s="1"/>
      <c r="K147" s="1"/>
    </row>
    <row r="148" spans="1:11" s="35" customFormat="1" ht="15" customHeight="1" x14ac:dyDescent="0.25">
      <c r="C148" s="45" t="s">
        <v>158</v>
      </c>
      <c r="D148" s="47"/>
      <c r="E148" s="47"/>
      <c r="F148" s="47"/>
      <c r="G148" s="47"/>
      <c r="H148" s="47"/>
      <c r="I148" s="47"/>
      <c r="J148" s="47"/>
      <c r="K148" s="47"/>
    </row>
    <row r="149" spans="1:11" s="31" customFormat="1" ht="15" customHeight="1" x14ac:dyDescent="0.25">
      <c r="C149" s="32"/>
      <c r="D149" s="33"/>
      <c r="E149" s="34"/>
      <c r="F149" s="34"/>
      <c r="G149" s="34"/>
      <c r="H149" s="34"/>
      <c r="I149" s="34"/>
      <c r="J149" s="34"/>
      <c r="K149" s="34"/>
    </row>
    <row r="150" spans="1:11" s="31" customFormat="1" ht="15" customHeight="1" x14ac:dyDescent="0.25">
      <c r="C150" s="35" t="s">
        <v>159</v>
      </c>
      <c r="D150" s="10">
        <f>2829328</f>
        <v>2829328</v>
      </c>
      <c r="E150" s="10">
        <f>4068150</f>
        <v>4068150</v>
      </c>
      <c r="F150" s="10">
        <f>4811254</f>
        <v>4811254</v>
      </c>
      <c r="G150" s="36">
        <f>G267</f>
        <v>5442043.2443589335</v>
      </c>
      <c r="H150" s="36">
        <f t="shared" ref="H150:K150" si="117">H267</f>
        <v>6032949.9850915456</v>
      </c>
      <c r="I150" s="36">
        <f t="shared" si="117"/>
        <v>6558907.8068539286</v>
      </c>
      <c r="J150" s="36">
        <f t="shared" si="117"/>
        <v>7041858.355958987</v>
      </c>
      <c r="K150" s="36">
        <f t="shared" si="117"/>
        <v>7486383.2784667639</v>
      </c>
    </row>
    <row r="151" spans="1:11" s="31" customFormat="1" ht="15" customHeight="1" x14ac:dyDescent="0.25">
      <c r="A151" s="32"/>
      <c r="B151" s="32"/>
      <c r="C151" s="24" t="s">
        <v>29</v>
      </c>
      <c r="D151" s="37">
        <f t="shared" ref="D151:K151" si="118">D150/D16</f>
        <v>5.8421808555897284E-4</v>
      </c>
      <c r="E151" s="37">
        <f t="shared" si="118"/>
        <v>6.1224097148353913E-4</v>
      </c>
      <c r="F151" s="37">
        <f t="shared" si="118"/>
        <v>6.1653707633855636E-4</v>
      </c>
      <c r="G151" s="37">
        <f t="shared" si="118"/>
        <v>6.0433204446035604E-4</v>
      </c>
      <c r="H151" s="37">
        <f t="shared" si="118"/>
        <v>6.0433204446035604E-4</v>
      </c>
      <c r="I151" s="37">
        <f t="shared" si="118"/>
        <v>6.0433204446035604E-4</v>
      </c>
      <c r="J151" s="37">
        <f t="shared" si="118"/>
        <v>6.0433204446035604E-4</v>
      </c>
      <c r="K151" s="37">
        <f t="shared" si="118"/>
        <v>6.0433204446035604E-4</v>
      </c>
    </row>
    <row r="152" spans="1:11" ht="15" customHeight="1" x14ac:dyDescent="0.25">
      <c r="C152" s="38" t="s">
        <v>160</v>
      </c>
      <c r="D152" s="30">
        <f>D142+D150</f>
        <v>118185588</v>
      </c>
      <c r="E152" s="30">
        <f t="shared" ref="E152:K152" si="119">E142+E150</f>
        <v>179042008</v>
      </c>
      <c r="F152" s="30">
        <f t="shared" si="119"/>
        <v>238211739</v>
      </c>
      <c r="G152" s="30">
        <f t="shared" si="119"/>
        <v>255802670.19445029</v>
      </c>
      <c r="H152" s="30">
        <f t="shared" si="119"/>
        <v>285720076.07470816</v>
      </c>
      <c r="I152" s="30">
        <f t="shared" si="119"/>
        <v>318607319.4221096</v>
      </c>
      <c r="J152" s="30">
        <f t="shared" si="119"/>
        <v>353715859.97767323</v>
      </c>
      <c r="K152" s="30">
        <f t="shared" si="119"/>
        <v>390522302.84493595</v>
      </c>
    </row>
    <row r="154" spans="1:11" x14ac:dyDescent="0.25">
      <c r="C154" s="13" t="s">
        <v>161</v>
      </c>
      <c r="D154" s="249"/>
      <c r="E154" s="13"/>
      <c r="F154" s="13"/>
      <c r="G154" s="13"/>
      <c r="H154" s="13"/>
      <c r="I154" s="13"/>
      <c r="J154" s="13"/>
      <c r="K154" s="13"/>
    </row>
    <row r="155" spans="1:11" x14ac:dyDescent="0.25">
      <c r="C155" s="48" t="s">
        <v>107</v>
      </c>
      <c r="D155" s="49">
        <f t="shared" ref="D155:K155" si="120">D$13</f>
        <v>2023</v>
      </c>
      <c r="E155" s="49">
        <f t="shared" si="120"/>
        <v>2024</v>
      </c>
      <c r="F155" s="49">
        <f t="shared" si="120"/>
        <v>2025</v>
      </c>
      <c r="G155" s="50">
        <f t="shared" si="120"/>
        <v>2026</v>
      </c>
      <c r="H155" s="50">
        <f t="shared" si="120"/>
        <v>2027</v>
      </c>
      <c r="I155" s="50">
        <f t="shared" si="120"/>
        <v>2028</v>
      </c>
      <c r="J155" s="50">
        <f t="shared" si="120"/>
        <v>2029</v>
      </c>
      <c r="K155" s="50">
        <f t="shared" si="120"/>
        <v>2030</v>
      </c>
    </row>
    <row r="156" spans="1:11" x14ac:dyDescent="0.25">
      <c r="C156" s="43" t="s">
        <v>108</v>
      </c>
      <c r="D156" s="44">
        <f t="shared" ref="D156:K156" si="121">D$14</f>
        <v>45291</v>
      </c>
      <c r="E156" s="44">
        <f t="shared" si="121"/>
        <v>45657</v>
      </c>
      <c r="F156" s="44">
        <f t="shared" si="121"/>
        <v>46022</v>
      </c>
      <c r="G156" s="44">
        <f t="shared" si="121"/>
        <v>46387</v>
      </c>
      <c r="H156" s="44">
        <f t="shared" si="121"/>
        <v>46752</v>
      </c>
      <c r="I156" s="44">
        <f t="shared" si="121"/>
        <v>47118</v>
      </c>
      <c r="J156" s="44">
        <f t="shared" si="121"/>
        <v>47483</v>
      </c>
      <c r="K156" s="44">
        <f t="shared" si="121"/>
        <v>47848</v>
      </c>
    </row>
    <row r="157" spans="1:11" x14ac:dyDescent="0.25">
      <c r="C157" s="35"/>
      <c r="D157" s="250"/>
      <c r="E157" s="35"/>
      <c r="F157" s="195"/>
      <c r="G157" s="253"/>
      <c r="H157" s="35"/>
    </row>
    <row r="158" spans="1:11" x14ac:dyDescent="0.25">
      <c r="C158" s="45" t="s">
        <v>268</v>
      </c>
      <c r="D158" s="250"/>
      <c r="E158" s="35"/>
      <c r="F158" s="195"/>
      <c r="G158" s="253"/>
      <c r="H158" s="35"/>
    </row>
    <row r="159" spans="1:11" x14ac:dyDescent="0.25">
      <c r="C159" s="17" t="s">
        <v>269</v>
      </c>
      <c r="D159" s="260">
        <v>3168669968</v>
      </c>
      <c r="E159" s="260">
        <v>4303384491</v>
      </c>
      <c r="F159" s="260">
        <v>5014550630</v>
      </c>
      <c r="G159" s="199">
        <f>F159*(1+G166)</f>
        <v>5816878730.7999992</v>
      </c>
      <c r="H159" s="199">
        <f t="shared" ref="H159:K159" si="122">G159*(1+H166)</f>
        <v>6398566603.8800001</v>
      </c>
      <c r="I159" s="199">
        <f t="shared" ref="I159:J161" si="123">H159*(1+I166)</f>
        <v>6910451932.1904001</v>
      </c>
      <c r="J159" s="199">
        <f t="shared" si="123"/>
        <v>7394183567.4437284</v>
      </c>
      <c r="K159" s="199">
        <f t="shared" si="122"/>
        <v>7837834581.4903526</v>
      </c>
    </row>
    <row r="160" spans="1:11" x14ac:dyDescent="0.25">
      <c r="C160" s="17" t="s">
        <v>270</v>
      </c>
      <c r="D160" s="260">
        <v>1354826130</v>
      </c>
      <c r="E160" s="260">
        <v>1976494702</v>
      </c>
      <c r="F160" s="260">
        <v>2488770044</v>
      </c>
      <c r="G160" s="199">
        <f t="shared" ref="G160:K160" si="124">F160*(1+G167)</f>
        <v>2737647048.4000001</v>
      </c>
      <c r="H160" s="199">
        <f t="shared" si="124"/>
        <v>3066164694.2080002</v>
      </c>
      <c r="I160" s="199">
        <f t="shared" si="123"/>
        <v>3372781163.6288004</v>
      </c>
      <c r="J160" s="199">
        <f t="shared" si="123"/>
        <v>3642603656.7191048</v>
      </c>
      <c r="K160" s="199">
        <f t="shared" si="124"/>
        <v>3897585912.6894422</v>
      </c>
    </row>
    <row r="161" spans="3:11" x14ac:dyDescent="0.25">
      <c r="C161" s="17" t="s">
        <v>271</v>
      </c>
      <c r="D161" s="260">
        <v>319435112</v>
      </c>
      <c r="E161" s="260">
        <v>364808421</v>
      </c>
      <c r="F161" s="260">
        <v>300352754</v>
      </c>
      <c r="G161" s="199">
        <f t="shared" ref="G161:K161" si="125">F161*(1+G168)</f>
        <v>450529131</v>
      </c>
      <c r="H161" s="199">
        <f t="shared" si="125"/>
        <v>518108500.64999998</v>
      </c>
      <c r="I161" s="199">
        <f t="shared" si="123"/>
        <v>569919350.71500003</v>
      </c>
      <c r="J161" s="199">
        <f t="shared" si="123"/>
        <v>615512898.77220011</v>
      </c>
      <c r="K161" s="199">
        <f t="shared" si="125"/>
        <v>652443672.6985321</v>
      </c>
    </row>
    <row r="162" spans="3:11" x14ac:dyDescent="0.25">
      <c r="C162" s="38" t="s">
        <v>162</v>
      </c>
      <c r="D162" s="251">
        <f>SUM(D159:D161)</f>
        <v>4842931210</v>
      </c>
      <c r="E162" s="251">
        <f t="shared" ref="E162:K162" si="126">SUM(E159:E161)</f>
        <v>6644687614</v>
      </c>
      <c r="F162" s="251">
        <f t="shared" si="126"/>
        <v>7803673428</v>
      </c>
      <c r="G162" s="251">
        <f t="shared" si="126"/>
        <v>9005054910.1999989</v>
      </c>
      <c r="H162" s="251">
        <f t="shared" si="126"/>
        <v>9982839798.7380009</v>
      </c>
      <c r="I162" s="251">
        <f t="shared" si="126"/>
        <v>10853152446.534201</v>
      </c>
      <c r="J162" s="251">
        <f t="shared" si="126"/>
        <v>11652300122.935034</v>
      </c>
      <c r="K162" s="251">
        <f t="shared" si="126"/>
        <v>12387864166.878326</v>
      </c>
    </row>
    <row r="163" spans="3:11" x14ac:dyDescent="0.25">
      <c r="C163" s="252"/>
      <c r="D163" s="199"/>
      <c r="E163" s="199"/>
      <c r="F163" s="199"/>
      <c r="G163" s="199"/>
      <c r="H163" s="199"/>
      <c r="I163" s="199"/>
      <c r="J163" s="199"/>
      <c r="K163" s="199"/>
    </row>
    <row r="164" spans="3:11" x14ac:dyDescent="0.25">
      <c r="C164" s="6" t="s">
        <v>163</v>
      </c>
      <c r="D164" s="199">
        <f t="shared" ref="D164:K164" si="127">D162-D16</f>
        <v>0</v>
      </c>
      <c r="E164" s="199">
        <f t="shared" si="127"/>
        <v>0</v>
      </c>
      <c r="F164" s="199">
        <f t="shared" si="127"/>
        <v>0</v>
      </c>
      <c r="G164" s="199">
        <f t="shared" si="127"/>
        <v>0</v>
      </c>
      <c r="H164" s="199">
        <f t="shared" si="127"/>
        <v>0</v>
      </c>
      <c r="I164" s="199">
        <f t="shared" si="127"/>
        <v>0</v>
      </c>
      <c r="J164" s="199">
        <f t="shared" si="127"/>
        <v>0</v>
      </c>
      <c r="K164" s="199">
        <f t="shared" si="127"/>
        <v>0</v>
      </c>
    </row>
    <row r="165" spans="3:11" x14ac:dyDescent="0.25">
      <c r="D165" s="199"/>
      <c r="E165" s="199"/>
      <c r="F165" s="199"/>
      <c r="G165" s="199"/>
      <c r="H165" s="199"/>
      <c r="I165" s="199"/>
      <c r="J165" s="199"/>
      <c r="K165" s="199"/>
    </row>
    <row r="166" spans="3:11" x14ac:dyDescent="0.25">
      <c r="C166" s="17" t="s">
        <v>272</v>
      </c>
      <c r="D166" s="1">
        <v>0.58078793457379452</v>
      </c>
      <c r="E166" s="1">
        <f>E159/D159-1</f>
        <v>0.35810435749362957</v>
      </c>
      <c r="F166" s="1">
        <f t="shared" ref="F166:F168" si="128">F159/E159-1</f>
        <v>0.16525740158410596</v>
      </c>
      <c r="G166" s="210">
        <v>0.16</v>
      </c>
      <c r="H166" s="210">
        <v>0.1</v>
      </c>
      <c r="I166" s="210">
        <v>0.08</v>
      </c>
      <c r="J166" s="210">
        <v>7.0000000000000007E-2</v>
      </c>
      <c r="K166" s="210">
        <v>0.06</v>
      </c>
    </row>
    <row r="167" spans="3:11" x14ac:dyDescent="0.25">
      <c r="C167" s="17" t="s">
        <v>273</v>
      </c>
      <c r="D167" s="1">
        <v>0.25034615384370462</v>
      </c>
      <c r="E167" s="1">
        <f t="shared" ref="E167" si="129">E160/D160-1</f>
        <v>0.45885487313416373</v>
      </c>
      <c r="F167" s="1">
        <f t="shared" si="128"/>
        <v>0.25918376683814648</v>
      </c>
      <c r="G167" s="210">
        <v>0.1</v>
      </c>
      <c r="H167" s="210">
        <v>0.12</v>
      </c>
      <c r="I167" s="210">
        <v>0.1</v>
      </c>
      <c r="J167" s="210">
        <v>0.08</v>
      </c>
      <c r="K167" s="210">
        <v>7.0000000000000007E-2</v>
      </c>
    </row>
    <row r="168" spans="3:11" x14ac:dyDescent="0.25">
      <c r="C168" s="17" t="s">
        <v>274</v>
      </c>
      <c r="D168" s="1">
        <v>0.7198307319104611</v>
      </c>
      <c r="E168" s="1">
        <f t="shared" ref="E168" si="130">E161/D161-1</f>
        <v>0.1420423344068702</v>
      </c>
      <c r="F168" s="1">
        <f t="shared" si="128"/>
        <v>-0.17668360511886316</v>
      </c>
      <c r="G168" s="210">
        <v>0.5</v>
      </c>
      <c r="H168" s="210">
        <v>0.15</v>
      </c>
      <c r="I168" s="210">
        <v>0.1</v>
      </c>
      <c r="J168" s="210">
        <v>0.08</v>
      </c>
      <c r="K168" s="210">
        <v>0.06</v>
      </c>
    </row>
    <row r="169" spans="3:11" x14ac:dyDescent="0.25">
      <c r="C169" s="224"/>
      <c r="D169" s="7"/>
      <c r="E169" s="1"/>
      <c r="F169" s="1"/>
      <c r="G169" s="1"/>
      <c r="H169" s="1"/>
      <c r="I169" s="1"/>
      <c r="J169" s="1"/>
      <c r="K169" s="1"/>
    </row>
    <row r="170" spans="3:11" x14ac:dyDescent="0.25">
      <c r="C170" s="13" t="s">
        <v>164</v>
      </c>
    </row>
    <row r="171" spans="3:11" x14ac:dyDescent="0.25">
      <c r="C171" s="48" t="s">
        <v>107</v>
      </c>
      <c r="D171" s="49">
        <f t="shared" ref="D171:K171" si="131">D$13</f>
        <v>2023</v>
      </c>
      <c r="E171" s="49">
        <f t="shared" si="131"/>
        <v>2024</v>
      </c>
      <c r="F171" s="49">
        <f t="shared" si="131"/>
        <v>2025</v>
      </c>
      <c r="G171" s="50">
        <f t="shared" si="131"/>
        <v>2026</v>
      </c>
      <c r="H171" s="50">
        <f t="shared" si="131"/>
        <v>2027</v>
      </c>
      <c r="I171" s="50">
        <f t="shared" si="131"/>
        <v>2028</v>
      </c>
      <c r="J171" s="50">
        <f t="shared" si="131"/>
        <v>2029</v>
      </c>
      <c r="K171" s="50">
        <f t="shared" si="131"/>
        <v>2030</v>
      </c>
    </row>
    <row r="172" spans="3:11" x14ac:dyDescent="0.25">
      <c r="C172" s="43" t="s">
        <v>108</v>
      </c>
      <c r="D172" s="242">
        <f t="shared" ref="D172:K172" si="132">D$14</f>
        <v>45291</v>
      </c>
      <c r="E172" s="227">
        <f t="shared" si="132"/>
        <v>45657</v>
      </c>
      <c r="F172" s="227">
        <f t="shared" si="132"/>
        <v>46022</v>
      </c>
      <c r="G172" s="227">
        <f t="shared" si="132"/>
        <v>46387</v>
      </c>
      <c r="H172" s="227">
        <f t="shared" si="132"/>
        <v>46752</v>
      </c>
      <c r="I172" s="227">
        <f t="shared" si="132"/>
        <v>47118</v>
      </c>
      <c r="J172" s="227">
        <f t="shared" si="132"/>
        <v>47483</v>
      </c>
      <c r="K172" s="227">
        <f t="shared" si="132"/>
        <v>47848</v>
      </c>
    </row>
    <row r="173" spans="3:11" x14ac:dyDescent="0.25">
      <c r="D173" s="6"/>
    </row>
    <row r="174" spans="3:11" x14ac:dyDescent="0.25">
      <c r="C174" s="13" t="s">
        <v>165</v>
      </c>
      <c r="D174" s="6"/>
    </row>
    <row r="175" spans="3:11" x14ac:dyDescent="0.25">
      <c r="C175" s="17" t="s">
        <v>240</v>
      </c>
      <c r="D175" s="27">
        <f t="shared" ref="D175:F176" si="133">D53</f>
        <v>1596967107</v>
      </c>
      <c r="E175" s="27">
        <f t="shared" si="133"/>
        <v>2543351777</v>
      </c>
      <c r="F175" s="27">
        <f t="shared" si="133"/>
        <v>2880321793</v>
      </c>
      <c r="G175" s="27">
        <f>G189/365*-G17</f>
        <v>3416757414.7384729</v>
      </c>
      <c r="H175" s="27">
        <f>H189/365*-H17</f>
        <v>3713485309.4793668</v>
      </c>
      <c r="I175" s="27">
        <f>I189/365*-I17</f>
        <v>3956485581.7182388</v>
      </c>
      <c r="J175" s="27">
        <f>J189/365*-J17</f>
        <v>4190019205.6752763</v>
      </c>
      <c r="K175" s="27">
        <f>K189/365*-K17</f>
        <v>4454518698.3600092</v>
      </c>
    </row>
    <row r="176" spans="3:11" x14ac:dyDescent="0.25">
      <c r="C176" s="17" t="s">
        <v>241</v>
      </c>
      <c r="D176" s="27">
        <f t="shared" si="133"/>
        <v>1179786142</v>
      </c>
      <c r="E176" s="27">
        <f t="shared" si="133"/>
        <v>1443866262</v>
      </c>
      <c r="F176" s="27">
        <f t="shared" si="133"/>
        <v>1659292035</v>
      </c>
      <c r="G176" s="27">
        <f>G190/365*G16</f>
        <v>2021742515.6511512</v>
      </c>
      <c r="H176" s="27">
        <f>H190/365*H16</f>
        <v>2241266916.1164222</v>
      </c>
      <c r="I176" s="27">
        <f>I190/365*I16</f>
        <v>2436662513.3121119</v>
      </c>
      <c r="J176" s="27">
        <f>J190/365*J16</f>
        <v>2616080723.3924665</v>
      </c>
      <c r="K176" s="27">
        <f>K190/365*K16</f>
        <v>2781223647.6116166</v>
      </c>
    </row>
    <row r="177" spans="3:11" x14ac:dyDescent="0.25">
      <c r="C177" s="13" t="s">
        <v>166</v>
      </c>
      <c r="D177" s="211">
        <f>SUM(D175:D176)</f>
        <v>2776753249</v>
      </c>
      <c r="E177" s="211">
        <f t="shared" ref="E177:F177" si="134">SUM(E175:E176)</f>
        <v>3987218039</v>
      </c>
      <c r="F177" s="211">
        <f t="shared" si="134"/>
        <v>4539613828</v>
      </c>
      <c r="G177" s="211">
        <f t="shared" ref="G177:K177" si="135">SUM(G175:G176)</f>
        <v>5438499930.3896236</v>
      </c>
      <c r="H177" s="211">
        <f t="shared" si="135"/>
        <v>5954752225.595789</v>
      </c>
      <c r="I177" s="211">
        <f t="shared" si="135"/>
        <v>6393148095.0303507</v>
      </c>
      <c r="J177" s="211">
        <f t="shared" si="135"/>
        <v>6806099929.0677433</v>
      </c>
      <c r="K177" s="211">
        <f t="shared" si="135"/>
        <v>7235742345.9716263</v>
      </c>
    </row>
    <row r="178" spans="3:11" x14ac:dyDescent="0.25">
      <c r="C178" s="13"/>
      <c r="E178" s="28"/>
      <c r="F178" s="28"/>
      <c r="G178" s="7"/>
      <c r="H178" s="7"/>
      <c r="I178" s="7"/>
      <c r="J178" s="7"/>
      <c r="K178" s="7"/>
    </row>
    <row r="179" spans="3:11" x14ac:dyDescent="0.25">
      <c r="C179" s="13" t="s">
        <v>167</v>
      </c>
      <c r="E179" s="28"/>
      <c r="F179" s="28"/>
      <c r="G179" s="7"/>
      <c r="H179" s="7"/>
      <c r="I179" s="7"/>
      <c r="J179" s="7"/>
      <c r="K179" s="7"/>
    </row>
    <row r="180" spans="3:11" x14ac:dyDescent="0.25">
      <c r="C180" s="17" t="s">
        <v>256</v>
      </c>
      <c r="D180" s="19">
        <f>D75</f>
        <v>972211730</v>
      </c>
      <c r="E180" s="19">
        <f>E75</f>
        <v>1511358852</v>
      </c>
      <c r="F180" s="19">
        <f>F75</f>
        <v>1520387559</v>
      </c>
      <c r="G180" s="27">
        <f>G191/365*-G17</f>
        <v>1973324351.4840546</v>
      </c>
      <c r="H180" s="27">
        <f>H191/365*-H17</f>
        <v>2144697472.0723133</v>
      </c>
      <c r="I180" s="27">
        <f>I191/365*-I17</f>
        <v>2285040580.0020065</v>
      </c>
      <c r="J180" s="27">
        <f>J191/365*-J17</f>
        <v>2419916291.4168353</v>
      </c>
      <c r="K180" s="27">
        <f>K191/365*-K17</f>
        <v>2572676123.7709012</v>
      </c>
    </row>
    <row r="181" spans="3:11" x14ac:dyDescent="0.25">
      <c r="C181" s="17" t="s">
        <v>253</v>
      </c>
      <c r="D181" s="19">
        <f>D72</f>
        <v>151554607</v>
      </c>
      <c r="E181" s="19">
        <f>E72</f>
        <v>280295448</v>
      </c>
      <c r="F181" s="19">
        <f>F72</f>
        <v>147720552</v>
      </c>
      <c r="G181" s="27">
        <f>$F181/-$F$29*-G$29</f>
        <v>109625985.01326028</v>
      </c>
      <c r="H181" s="27">
        <f t="shared" ref="H181:K181" si="136">$F181/-$F$29*-H$29</f>
        <v>133103909.78593889</v>
      </c>
      <c r="I181" s="27">
        <f t="shared" si="136"/>
        <v>198065941.52532533</v>
      </c>
      <c r="J181" s="27">
        <f t="shared" si="136"/>
        <v>241121720.62466407</v>
      </c>
      <c r="K181" s="27">
        <f t="shared" si="136"/>
        <v>270085574.96930134</v>
      </c>
    </row>
    <row r="182" spans="3:11" x14ac:dyDescent="0.25">
      <c r="C182" s="13" t="s">
        <v>168</v>
      </c>
      <c r="D182" s="214">
        <f>SUM(D180:D181)</f>
        <v>1123766337</v>
      </c>
      <c r="E182" s="214">
        <f>SUM(E180:E181)</f>
        <v>1791654300</v>
      </c>
      <c r="F182" s="214">
        <f>SUM(F180:F181)</f>
        <v>1668108111</v>
      </c>
      <c r="G182" s="214">
        <f>SUM(G180:G181)</f>
        <v>2082950336.4973149</v>
      </c>
      <c r="H182" s="214">
        <f>SUM(H180:H181)</f>
        <v>2277801381.858252</v>
      </c>
      <c r="I182" s="214">
        <f>SUM(I180:I181)</f>
        <v>2483106521.5273318</v>
      </c>
      <c r="J182" s="214">
        <f>SUM(J180:J181)</f>
        <v>2661038012.0414991</v>
      </c>
      <c r="K182" s="214">
        <f>SUM(K180:K181)</f>
        <v>2842761698.7402024</v>
      </c>
    </row>
    <row r="183" spans="3:11" x14ac:dyDescent="0.25">
      <c r="E183" s="28"/>
      <c r="F183" s="28"/>
      <c r="G183" s="7"/>
      <c r="H183" s="7"/>
      <c r="I183" s="7"/>
      <c r="J183" s="7"/>
      <c r="K183" s="7"/>
    </row>
    <row r="184" spans="3:11" x14ac:dyDescent="0.25">
      <c r="C184" s="6" t="s">
        <v>169</v>
      </c>
      <c r="D184" s="19">
        <f>D177-D182</f>
        <v>1652986912</v>
      </c>
      <c r="E184" s="19">
        <f>E177-E182</f>
        <v>2195563739</v>
      </c>
      <c r="F184" s="19">
        <f>F177-F182</f>
        <v>2871505717</v>
      </c>
      <c r="G184" s="19">
        <f>G177-G182</f>
        <v>3355549593.8923087</v>
      </c>
      <c r="H184" s="19">
        <f>H177-H182</f>
        <v>3676950843.7375369</v>
      </c>
      <c r="I184" s="19">
        <f>I177-I182</f>
        <v>3910041573.5030189</v>
      </c>
      <c r="J184" s="19">
        <f>J177-J182</f>
        <v>4145061917.0262442</v>
      </c>
      <c r="K184" s="19">
        <f>K177-K182</f>
        <v>4392980647.2314243</v>
      </c>
    </row>
    <row r="185" spans="3:11" x14ac:dyDescent="0.25">
      <c r="C185" s="6" t="s">
        <v>170</v>
      </c>
      <c r="D185" s="22">
        <f>D184/D16</f>
        <v>0.34131951091661283</v>
      </c>
      <c r="E185" s="22">
        <f>E184/E16</f>
        <v>0.3304239215661644</v>
      </c>
      <c r="F185" s="22">
        <f>F184/F16</f>
        <v>0.36796846299293906</v>
      </c>
      <c r="G185" s="22">
        <f>G184/G16</f>
        <v>0.37262955388439528</v>
      </c>
      <c r="H185" s="22">
        <f>H184/H16</f>
        <v>0.36832714116101167</v>
      </c>
      <c r="I185" s="22">
        <f>I184/I16</f>
        <v>0.36026782013475123</v>
      </c>
      <c r="J185" s="22">
        <f>J184/J16</f>
        <v>0.35572907265472725</v>
      </c>
      <c r="K185" s="22">
        <f>K184/K16</f>
        <v>0.35461969779883623</v>
      </c>
    </row>
    <row r="186" spans="3:11" x14ac:dyDescent="0.25">
      <c r="C186" s="6" t="s">
        <v>171</v>
      </c>
      <c r="D186" s="19"/>
      <c r="E186" s="184">
        <f>D184-E184</f>
        <v>-542576827</v>
      </c>
      <c r="F186" s="184">
        <f t="shared" ref="F186:K186" si="137">E184-F184</f>
        <v>-675941978</v>
      </c>
      <c r="G186" s="184">
        <f>F184-G184</f>
        <v>-484043876.89230871</v>
      </c>
      <c r="H186" s="184">
        <f t="shared" si="137"/>
        <v>-321401249.8452282</v>
      </c>
      <c r="I186" s="184">
        <f t="shared" si="137"/>
        <v>-233090729.76548195</v>
      </c>
      <c r="J186" s="184">
        <f t="shared" si="137"/>
        <v>-235020343.52322531</v>
      </c>
      <c r="K186" s="184">
        <f t="shared" si="137"/>
        <v>-247918730.20518017</v>
      </c>
    </row>
    <row r="187" spans="3:11" x14ac:dyDescent="0.25">
      <c r="D187" s="19"/>
      <c r="E187" s="184"/>
      <c r="F187" s="184"/>
      <c r="G187" s="184"/>
      <c r="H187" s="184"/>
      <c r="I187" s="184"/>
      <c r="J187" s="184"/>
      <c r="K187" s="184"/>
    </row>
    <row r="188" spans="3:11" x14ac:dyDescent="0.25">
      <c r="C188" s="13" t="s">
        <v>172</v>
      </c>
      <c r="G188" s="235"/>
      <c r="H188" s="235"/>
      <c r="I188" s="235"/>
      <c r="J188" s="235"/>
      <c r="K188" s="235"/>
    </row>
    <row r="189" spans="3:11" x14ac:dyDescent="0.25">
      <c r="C189" s="17" t="s">
        <v>173</v>
      </c>
      <c r="D189" s="237">
        <f>D175/-D$17*365</f>
        <v>173.78856550910407</v>
      </c>
      <c r="E189" s="237">
        <f>E175/-E$17*365</f>
        <v>194.63939922128395</v>
      </c>
      <c r="F189" s="237">
        <f>F175/-F$17*365</f>
        <v>174.67286240351714</v>
      </c>
      <c r="G189" s="254">
        <f>AVERAGE(D189:F189)</f>
        <v>181.03360904463503</v>
      </c>
      <c r="H189" s="254">
        <f>G189</f>
        <v>181.03360904463503</v>
      </c>
      <c r="I189" s="254">
        <f t="shared" ref="I189:K189" si="138">H189</f>
        <v>181.03360904463503</v>
      </c>
      <c r="J189" s="254">
        <f t="shared" si="138"/>
        <v>181.03360904463503</v>
      </c>
      <c r="K189" s="254">
        <f t="shared" si="138"/>
        <v>181.03360904463503</v>
      </c>
    </row>
    <row r="190" spans="3:11" x14ac:dyDescent="0.25">
      <c r="C190" s="17" t="s">
        <v>174</v>
      </c>
      <c r="D190" s="237">
        <f>D176/D$16*365</f>
        <v>88.917625123566438</v>
      </c>
      <c r="E190" s="237">
        <f>E176/E$16*365</f>
        <v>79.313162069442626</v>
      </c>
      <c r="F190" s="237">
        <f>F176/F$16*365</f>
        <v>77.60980753012106</v>
      </c>
      <c r="G190" s="254">
        <f t="shared" ref="G190:G191" si="139">AVERAGE(D190:F190)</f>
        <v>81.946864907710037</v>
      </c>
      <c r="H190" s="254">
        <f t="shared" ref="H190:K190" si="140">G190</f>
        <v>81.946864907710037</v>
      </c>
      <c r="I190" s="254">
        <f t="shared" si="140"/>
        <v>81.946864907710037</v>
      </c>
      <c r="J190" s="254">
        <f t="shared" si="140"/>
        <v>81.946864907710037</v>
      </c>
      <c r="K190" s="254">
        <f t="shared" si="140"/>
        <v>81.946864907710037</v>
      </c>
    </row>
    <row r="191" spans="3:11" x14ac:dyDescent="0.25">
      <c r="C191" s="17" t="s">
        <v>175</v>
      </c>
      <c r="D191" s="237">
        <f>D180/-D$17*365</f>
        <v>105.80010144681358</v>
      </c>
      <c r="E191" s="237">
        <f>E180/-E$17*365</f>
        <v>115.6623246620003</v>
      </c>
      <c r="F191" s="237">
        <f>F180/-F$17*365</f>
        <v>92.201658696135226</v>
      </c>
      <c r="G191" s="254">
        <f t="shared" si="139"/>
        <v>104.55469493498303</v>
      </c>
      <c r="H191" s="254">
        <f t="shared" ref="H191:K191" si="141">G191</f>
        <v>104.55469493498303</v>
      </c>
      <c r="I191" s="254">
        <f t="shared" si="141"/>
        <v>104.55469493498303</v>
      </c>
      <c r="J191" s="254">
        <f t="shared" si="141"/>
        <v>104.55469493498303</v>
      </c>
      <c r="K191" s="254">
        <f t="shared" si="141"/>
        <v>104.55469493498303</v>
      </c>
    </row>
    <row r="192" spans="3:11" x14ac:dyDescent="0.25">
      <c r="D192" s="236"/>
      <c r="E192" s="236"/>
      <c r="F192" s="236"/>
      <c r="G192" s="235"/>
      <c r="H192" s="235"/>
      <c r="I192" s="235"/>
      <c r="J192" s="235"/>
      <c r="K192" s="235"/>
    </row>
    <row r="193" spans="3:11" x14ac:dyDescent="0.25">
      <c r="C193" s="13" t="s">
        <v>176</v>
      </c>
    </row>
    <row r="194" spans="3:11" x14ac:dyDescent="0.25">
      <c r="C194" s="48" t="s">
        <v>107</v>
      </c>
      <c r="D194" s="49">
        <f t="shared" ref="D194:K194" si="142">D$13</f>
        <v>2023</v>
      </c>
      <c r="E194" s="49">
        <f t="shared" si="142"/>
        <v>2024</v>
      </c>
      <c r="F194" s="49">
        <f t="shared" si="142"/>
        <v>2025</v>
      </c>
      <c r="G194" s="50">
        <f t="shared" si="142"/>
        <v>2026</v>
      </c>
      <c r="H194" s="50">
        <f t="shared" si="142"/>
        <v>2027</v>
      </c>
      <c r="I194" s="50">
        <f t="shared" si="142"/>
        <v>2028</v>
      </c>
      <c r="J194" s="50">
        <f t="shared" si="142"/>
        <v>2029</v>
      </c>
      <c r="K194" s="50">
        <f t="shared" si="142"/>
        <v>2030</v>
      </c>
    </row>
    <row r="195" spans="3:11" x14ac:dyDescent="0.25">
      <c r="C195" s="43" t="s">
        <v>108</v>
      </c>
      <c r="D195" s="242">
        <f t="shared" ref="D195:K195" si="143">D$14</f>
        <v>45291</v>
      </c>
      <c r="E195" s="227">
        <f t="shared" si="143"/>
        <v>45657</v>
      </c>
      <c r="F195" s="227">
        <f t="shared" si="143"/>
        <v>46022</v>
      </c>
      <c r="G195" s="227">
        <f t="shared" si="143"/>
        <v>46387</v>
      </c>
      <c r="H195" s="227">
        <f t="shared" si="143"/>
        <v>46752</v>
      </c>
      <c r="I195" s="227">
        <f t="shared" si="143"/>
        <v>47118</v>
      </c>
      <c r="J195" s="227">
        <f t="shared" si="143"/>
        <v>47483</v>
      </c>
      <c r="K195" s="227">
        <f t="shared" si="143"/>
        <v>47848</v>
      </c>
    </row>
    <row r="197" spans="3:11" x14ac:dyDescent="0.25">
      <c r="C197" s="13" t="s">
        <v>177</v>
      </c>
      <c r="D197" s="19"/>
      <c r="E197" s="184"/>
      <c r="F197" s="184"/>
      <c r="G197" s="184"/>
      <c r="H197" s="184"/>
      <c r="I197" s="184"/>
      <c r="J197" s="184"/>
      <c r="K197" s="184"/>
    </row>
    <row r="198" spans="3:11" x14ac:dyDescent="0.25">
      <c r="C198" s="29" t="s">
        <v>152</v>
      </c>
      <c r="D198" s="19"/>
      <c r="E198" s="184">
        <f>D199</f>
        <v>1397806591</v>
      </c>
      <c r="F198" s="184">
        <f t="shared" ref="F198:K198" si="144">E199</f>
        <v>918826317</v>
      </c>
      <c r="G198" s="184">
        <f t="shared" si="144"/>
        <v>1587533130</v>
      </c>
      <c r="H198" s="184">
        <f t="shared" si="144"/>
        <v>2162821129.883605</v>
      </c>
      <c r="I198" s="184">
        <f t="shared" si="144"/>
        <v>2400567579.7258358</v>
      </c>
      <c r="J198" s="184">
        <f t="shared" si="144"/>
        <v>2278587844.4318171</v>
      </c>
      <c r="K198" s="184">
        <f t="shared" si="144"/>
        <v>1982347888.7505074</v>
      </c>
    </row>
    <row r="199" spans="3:11" x14ac:dyDescent="0.25">
      <c r="C199" s="29" t="s">
        <v>155</v>
      </c>
      <c r="D199" s="19">
        <f>D71+D73+D81+D77</f>
        <v>1397806591</v>
      </c>
      <c r="E199" s="19">
        <f>E71+E73+E81+E77</f>
        <v>918826317</v>
      </c>
      <c r="F199" s="19">
        <f>F71+F73+F81+F77</f>
        <v>1587533130</v>
      </c>
      <c r="G199" s="19">
        <f>G71+G73+G81+G77</f>
        <v>2162821129.883605</v>
      </c>
      <c r="H199" s="19">
        <f>H71+H73+H81+H77</f>
        <v>2400567579.7258358</v>
      </c>
      <c r="I199" s="19">
        <f>I71+I73+I81+I77</f>
        <v>2278587844.4318171</v>
      </c>
      <c r="J199" s="19">
        <f>J71+J73+J81+J77</f>
        <v>1982347888.7505074</v>
      </c>
      <c r="K199" s="19">
        <f>K71+K73+K81+K77</f>
        <v>1587533130</v>
      </c>
    </row>
    <row r="200" spans="3:11" x14ac:dyDescent="0.25">
      <c r="C200" s="29" t="s">
        <v>178</v>
      </c>
      <c r="D200" s="19"/>
      <c r="E200" s="184">
        <f>AVERAGE(E198,E199)</f>
        <v>1158316454</v>
      </c>
      <c r="F200" s="184">
        <f t="shared" ref="F200" si="145">AVERAGE(F198,F199)</f>
        <v>1253179723.5</v>
      </c>
      <c r="G200" s="184">
        <f t="shared" ref="G200" si="146">AVERAGE(G198,G199)</f>
        <v>1875177129.9418025</v>
      </c>
      <c r="H200" s="184">
        <f t="shared" ref="H200" si="147">AVERAGE(H198,H199)</f>
        <v>2281694354.8047204</v>
      </c>
      <c r="I200" s="184">
        <f t="shared" ref="I200" si="148">AVERAGE(I198,I199)</f>
        <v>2339577712.0788264</v>
      </c>
      <c r="J200" s="184">
        <f t="shared" ref="J200" si="149">AVERAGE(J198,J199)</f>
        <v>2130467866.5911622</v>
      </c>
      <c r="K200" s="184">
        <f t="shared" ref="K200" si="150">AVERAGE(K198,K199)</f>
        <v>1784940509.3752537</v>
      </c>
    </row>
    <row r="201" spans="3:11" x14ac:dyDescent="0.25">
      <c r="C201" s="29" t="s">
        <v>179</v>
      </c>
      <c r="D201" s="22"/>
      <c r="E201" s="1">
        <f>E208/E200</f>
        <v>-0.2433489078279121</v>
      </c>
      <c r="F201" s="1">
        <f t="shared" ref="F201" si="151">F208/F200</f>
        <v>-0.23820688637243179</v>
      </c>
      <c r="G201" s="210">
        <v>0.2</v>
      </c>
      <c r="H201" s="210">
        <f>G201</f>
        <v>0.2</v>
      </c>
      <c r="I201" s="210">
        <v>0.19</v>
      </c>
      <c r="J201" s="210">
        <f t="shared" ref="J201:K201" si="152">I201</f>
        <v>0.19</v>
      </c>
      <c r="K201" s="210">
        <f t="shared" si="152"/>
        <v>0.19</v>
      </c>
    </row>
    <row r="202" spans="3:11" x14ac:dyDescent="0.25">
      <c r="C202" s="17"/>
      <c r="D202" s="248"/>
      <c r="E202" s="206"/>
      <c r="F202" s="206"/>
      <c r="G202" s="207"/>
      <c r="H202" s="207"/>
      <c r="I202" s="207"/>
      <c r="J202" s="207"/>
      <c r="K202" s="207"/>
    </row>
    <row r="203" spans="3:11" x14ac:dyDescent="0.25">
      <c r="C203" s="13" t="s">
        <v>180</v>
      </c>
      <c r="D203" s="7"/>
    </row>
    <row r="204" spans="3:11" x14ac:dyDescent="0.25">
      <c r="C204" s="17" t="s">
        <v>181</v>
      </c>
      <c r="D204" s="184">
        <f>D55</f>
        <v>456269505</v>
      </c>
      <c r="E204" s="184">
        <f>E55</f>
        <v>352233706</v>
      </c>
      <c r="F204" s="184">
        <f>F55</f>
        <v>313950137</v>
      </c>
      <c r="G204" s="184">
        <f>G55</f>
        <v>477356355.63517749</v>
      </c>
      <c r="H204" s="184">
        <f>H55</f>
        <v>529188558.28604198</v>
      </c>
      <c r="I204" s="184">
        <f>I55</f>
        <v>575323676.6121521</v>
      </c>
      <c r="J204" s="184">
        <f>J55</f>
        <v>617686352.48977733</v>
      </c>
      <c r="K204" s="184">
        <f>K55</f>
        <v>662605204.98637044</v>
      </c>
    </row>
    <row r="205" spans="3:11" x14ac:dyDescent="0.25">
      <c r="C205" s="17" t="s">
        <v>182</v>
      </c>
      <c r="D205" s="184"/>
      <c r="E205" s="184">
        <f>AVERAGE(D204,E204)</f>
        <v>404251605.5</v>
      </c>
      <c r="F205" s="184">
        <f t="shared" ref="F205:K205" si="153">AVERAGE(E204,F204)</f>
        <v>333091921.5</v>
      </c>
      <c r="G205" s="184">
        <f t="shared" si="153"/>
        <v>395653246.31758875</v>
      </c>
      <c r="H205" s="184">
        <f t="shared" si="153"/>
        <v>503272456.96060973</v>
      </c>
      <c r="I205" s="184">
        <f t="shared" si="153"/>
        <v>552256117.44909704</v>
      </c>
      <c r="J205" s="184">
        <f t="shared" si="153"/>
        <v>596505014.55096471</v>
      </c>
      <c r="K205" s="184">
        <f t="shared" si="153"/>
        <v>640145778.73807383</v>
      </c>
    </row>
    <row r="206" spans="3:11" x14ac:dyDescent="0.25">
      <c r="C206" s="17" t="s">
        <v>183</v>
      </c>
      <c r="D206" s="184"/>
      <c r="E206" s="1">
        <f>E209/E205</f>
        <v>1.6996699348915758E-2</v>
      </c>
      <c r="F206" s="1">
        <f t="shared" ref="F206" si="154">F209/F205</f>
        <v>3.3250701338309102E-3</v>
      </c>
      <c r="G206" s="210">
        <f>AVERAGE(D206:F206)</f>
        <v>1.0160884741373334E-2</v>
      </c>
      <c r="H206" s="210">
        <f>G206</f>
        <v>1.0160884741373334E-2</v>
      </c>
      <c r="I206" s="210">
        <f t="shared" ref="I206:K206" si="155">H206</f>
        <v>1.0160884741373334E-2</v>
      </c>
      <c r="J206" s="210">
        <f t="shared" si="155"/>
        <v>1.0160884741373334E-2</v>
      </c>
      <c r="K206" s="210">
        <f t="shared" si="155"/>
        <v>1.0160884741373334E-2</v>
      </c>
    </row>
    <row r="207" spans="3:11" x14ac:dyDescent="0.25">
      <c r="C207" s="17"/>
      <c r="D207" s="248"/>
      <c r="E207" s="206"/>
      <c r="F207" s="206"/>
      <c r="G207" s="207"/>
      <c r="H207" s="207"/>
      <c r="I207" s="207"/>
      <c r="J207" s="207"/>
      <c r="K207" s="207"/>
    </row>
    <row r="208" spans="3:11" x14ac:dyDescent="0.25">
      <c r="C208" s="6" t="s">
        <v>278</v>
      </c>
      <c r="D208" s="234">
        <v>-248799054</v>
      </c>
      <c r="E208" s="234">
        <v>-281875044</v>
      </c>
      <c r="F208" s="234">
        <v>-298516040</v>
      </c>
      <c r="G208" s="19">
        <f xml:space="preserve"> -G201*G198</f>
        <v>-317506626</v>
      </c>
      <c r="H208" s="19">
        <f t="shared" ref="H208:K208" si="156" xml:space="preserve"> -H201*H198</f>
        <v>-432564225.97672105</v>
      </c>
      <c r="I208" s="19">
        <f t="shared" si="156"/>
        <v>-456107840.14790881</v>
      </c>
      <c r="J208" s="19">
        <f t="shared" si="156"/>
        <v>-432931690.44204527</v>
      </c>
      <c r="K208" s="19">
        <f t="shared" si="156"/>
        <v>-376646098.86259639</v>
      </c>
    </row>
    <row r="209" spans="3:11" x14ac:dyDescent="0.25">
      <c r="C209" s="6" t="s">
        <v>110</v>
      </c>
      <c r="D209" s="234">
        <v>0</v>
      </c>
      <c r="E209" s="234">
        <v>6870943</v>
      </c>
      <c r="F209" s="234">
        <v>1107554</v>
      </c>
      <c r="G209" s="184">
        <f>F204*G206</f>
        <v>3190011.1565953679</v>
      </c>
      <c r="H209" s="184">
        <f t="shared" ref="H209:K209" si="157">G204*H206</f>
        <v>4850362.910171058</v>
      </c>
      <c r="I209" s="184">
        <f t="shared" si="157"/>
        <v>5377023.947197997</v>
      </c>
      <c r="J209" s="184">
        <f t="shared" si="157"/>
        <v>5845797.5670392234</v>
      </c>
      <c r="K209" s="184">
        <f t="shared" si="157"/>
        <v>6276239.8339679297</v>
      </c>
    </row>
    <row r="210" spans="3:11" x14ac:dyDescent="0.25">
      <c r="C210" s="6" t="s">
        <v>184</v>
      </c>
      <c r="D210" s="184">
        <f>SUM(D208:D209)</f>
        <v>-248799054</v>
      </c>
      <c r="E210" s="184">
        <f t="shared" ref="E210:K210" si="158">SUM(E208:E209)</f>
        <v>-275004101</v>
      </c>
      <c r="F210" s="184">
        <f t="shared" si="158"/>
        <v>-297408486</v>
      </c>
      <c r="G210" s="184">
        <f t="shared" si="158"/>
        <v>-314316614.84340465</v>
      </c>
      <c r="H210" s="184">
        <f t="shared" si="158"/>
        <v>-427713863.06655002</v>
      </c>
      <c r="I210" s="184">
        <f t="shared" si="158"/>
        <v>-450730816.20071083</v>
      </c>
      <c r="J210" s="184">
        <f t="shared" si="158"/>
        <v>-427085892.87500602</v>
      </c>
      <c r="K210" s="184">
        <f t="shared" si="158"/>
        <v>-370369859.02862847</v>
      </c>
    </row>
    <row r="212" spans="3:11" x14ac:dyDescent="0.25">
      <c r="C212" s="13" t="s">
        <v>185</v>
      </c>
    </row>
    <row r="213" spans="3:11" x14ac:dyDescent="0.25">
      <c r="C213" s="48" t="s">
        <v>107</v>
      </c>
      <c r="D213" s="49">
        <f t="shared" ref="D213:K213" si="159">D$13</f>
        <v>2023</v>
      </c>
      <c r="E213" s="49">
        <f t="shared" si="159"/>
        <v>2024</v>
      </c>
      <c r="F213" s="49">
        <f t="shared" si="159"/>
        <v>2025</v>
      </c>
      <c r="G213" s="50">
        <f t="shared" si="159"/>
        <v>2026</v>
      </c>
      <c r="H213" s="50">
        <f t="shared" si="159"/>
        <v>2027</v>
      </c>
      <c r="I213" s="50">
        <f t="shared" si="159"/>
        <v>2028</v>
      </c>
      <c r="J213" s="50">
        <f t="shared" si="159"/>
        <v>2029</v>
      </c>
      <c r="K213" s="50">
        <f t="shared" si="159"/>
        <v>2030</v>
      </c>
    </row>
    <row r="214" spans="3:11" x14ac:dyDescent="0.25">
      <c r="C214" s="43" t="s">
        <v>108</v>
      </c>
      <c r="D214" s="242">
        <f t="shared" ref="D214:K214" si="160">D$14</f>
        <v>45291</v>
      </c>
      <c r="E214" s="227">
        <f t="shared" si="160"/>
        <v>45657</v>
      </c>
      <c r="F214" s="227">
        <f t="shared" si="160"/>
        <v>46022</v>
      </c>
      <c r="G214" s="227">
        <f t="shared" si="160"/>
        <v>46387</v>
      </c>
      <c r="H214" s="227">
        <f t="shared" si="160"/>
        <v>46752</v>
      </c>
      <c r="I214" s="227">
        <f t="shared" si="160"/>
        <v>47118</v>
      </c>
      <c r="J214" s="227">
        <f t="shared" si="160"/>
        <v>47483</v>
      </c>
      <c r="K214" s="227">
        <f t="shared" si="160"/>
        <v>47848</v>
      </c>
    </row>
    <row r="216" spans="3:11" x14ac:dyDescent="0.25">
      <c r="C216" s="13" t="s">
        <v>186</v>
      </c>
    </row>
    <row r="217" spans="3:11" x14ac:dyDescent="0.25">
      <c r="C217" s="17" t="s">
        <v>152</v>
      </c>
      <c r="D217" s="19"/>
      <c r="E217" s="184">
        <f>D220</f>
        <v>75470228</v>
      </c>
      <c r="F217" s="184">
        <f t="shared" ref="F217:K217" si="161">E220</f>
        <v>940414138</v>
      </c>
      <c r="G217" s="184">
        <f t="shared" si="161"/>
        <v>1162995099</v>
      </c>
      <c r="H217" s="184">
        <f t="shared" si="161"/>
        <v>1649929041.551198</v>
      </c>
      <c r="I217" s="184">
        <f t="shared" si="161"/>
        <v>2241146639.7621193</v>
      </c>
      <c r="J217" s="184">
        <f t="shared" si="161"/>
        <v>3120910956.4099998</v>
      </c>
      <c r="K217" s="184">
        <f t="shared" si="161"/>
        <v>4191919349.5778637</v>
      </c>
    </row>
    <row r="218" spans="3:11" x14ac:dyDescent="0.25">
      <c r="C218" s="17" t="s">
        <v>286</v>
      </c>
      <c r="D218" s="261">
        <f>D31</f>
        <v>446284054</v>
      </c>
      <c r="E218" s="261">
        <f>E31</f>
        <v>890332908</v>
      </c>
      <c r="F218" s="261">
        <f>F31</f>
        <v>244075897</v>
      </c>
      <c r="G218" s="261">
        <f>G31</f>
        <v>486933942.55119801</v>
      </c>
      <c r="H218" s="261">
        <f>H31</f>
        <v>591217598.21092153</v>
      </c>
      <c r="I218" s="261">
        <f>I31</f>
        <v>879764316.64788055</v>
      </c>
      <c r="J218" s="261">
        <f>J31</f>
        <v>1071008393.1678638</v>
      </c>
      <c r="K218" s="261">
        <f>K31</f>
        <v>1199659312.7998009</v>
      </c>
    </row>
    <row r="219" spans="3:11" x14ac:dyDescent="0.25">
      <c r="C219" s="17" t="s">
        <v>187</v>
      </c>
      <c r="D219" s="234">
        <v>0</v>
      </c>
      <c r="E219" s="186">
        <v>-25388998</v>
      </c>
      <c r="F219" s="234">
        <v>-21494936</v>
      </c>
      <c r="G219" s="184">
        <f>G228*G218</f>
        <v>0</v>
      </c>
      <c r="H219" s="184">
        <f>H228*H218</f>
        <v>0</v>
      </c>
      <c r="I219" s="184">
        <f>I228*I218</f>
        <v>0</v>
      </c>
      <c r="J219" s="184">
        <f>J228*J218</f>
        <v>0</v>
      </c>
      <c r="K219" s="184">
        <f>K228*K218</f>
        <v>0</v>
      </c>
    </row>
    <row r="220" spans="3:11" x14ac:dyDescent="0.25">
      <c r="C220" s="17" t="s">
        <v>188</v>
      </c>
      <c r="D220" s="19">
        <f>D94</f>
        <v>75470228</v>
      </c>
      <c r="E220" s="19">
        <f>E94</f>
        <v>940414138</v>
      </c>
      <c r="F220" s="19">
        <f>F94</f>
        <v>1162995099</v>
      </c>
      <c r="G220" s="19">
        <f>SUM(G217:G219)</f>
        <v>1649929041.551198</v>
      </c>
      <c r="H220" s="19">
        <f t="shared" ref="H220:K220" si="162">SUM(H217:H219)</f>
        <v>2241146639.7621193</v>
      </c>
      <c r="I220" s="19">
        <f t="shared" si="162"/>
        <v>3120910956.4099998</v>
      </c>
      <c r="J220" s="19">
        <f t="shared" si="162"/>
        <v>4191919349.5778637</v>
      </c>
      <c r="K220" s="19">
        <f t="shared" si="162"/>
        <v>5391578662.3776646</v>
      </c>
    </row>
    <row r="221" spans="3:11" x14ac:dyDescent="0.25">
      <c r="C221" s="17"/>
      <c r="D221" s="19"/>
      <c r="E221" s="19"/>
      <c r="F221" s="19"/>
      <c r="G221" s="19"/>
      <c r="H221" s="19"/>
      <c r="I221" s="19"/>
      <c r="J221" s="19"/>
      <c r="K221" s="19"/>
    </row>
    <row r="222" spans="3:11" x14ac:dyDescent="0.25">
      <c r="C222" s="13" t="s">
        <v>288</v>
      </c>
      <c r="D222" s="184"/>
      <c r="E222" s="184"/>
      <c r="F222" s="184"/>
      <c r="G222" s="184"/>
      <c r="H222" s="184"/>
      <c r="I222" s="184"/>
      <c r="J222" s="184"/>
      <c r="K222" s="184"/>
    </row>
    <row r="223" spans="3:11" x14ac:dyDescent="0.25">
      <c r="C223" s="17" t="s">
        <v>152</v>
      </c>
      <c r="D223" s="184"/>
      <c r="E223" s="184">
        <f>D226</f>
        <v>76266769</v>
      </c>
      <c r="F223" s="184">
        <f t="shared" ref="F223:K223" si="163">E226</f>
        <v>122018569</v>
      </c>
      <c r="G223" s="184">
        <f t="shared" si="163"/>
        <v>127973731</v>
      </c>
      <c r="H223" s="184">
        <f t="shared" si="163"/>
        <v>146310363.9640975</v>
      </c>
      <c r="I223" s="184">
        <f t="shared" si="163"/>
        <v>168574041.13457754</v>
      </c>
      <c r="J223" s="184">
        <f t="shared" si="163"/>
        <v>201703617.77645662</v>
      </c>
      <c r="K223" s="184">
        <f t="shared" si="163"/>
        <v>242034936.03308457</v>
      </c>
    </row>
    <row r="224" spans="3:11" x14ac:dyDescent="0.25">
      <c r="C224" s="17" t="s">
        <v>289</v>
      </c>
      <c r="D224" s="184">
        <f>D32</f>
        <v>26635521</v>
      </c>
      <c r="E224" s="184">
        <f>E32</f>
        <v>29057147</v>
      </c>
      <c r="F224" s="184">
        <f>F32</f>
        <v>15221247</v>
      </c>
      <c r="G224" s="184">
        <f>G229*G30</f>
        <v>30366545.420318969</v>
      </c>
      <c r="H224" s="184">
        <f>H229*H30</f>
        <v>36869962.186865158</v>
      </c>
      <c r="I224" s="184">
        <f>I229*I30</f>
        <v>54864532.426500112</v>
      </c>
      <c r="J224" s="184">
        <f>J229*J30</f>
        <v>66791041.196014397</v>
      </c>
      <c r="K224" s="184">
        <f>K229*K30</f>
        <v>74814067.838808477</v>
      </c>
    </row>
    <row r="225" spans="3:11" x14ac:dyDescent="0.25">
      <c r="C225" s="17" t="s">
        <v>290</v>
      </c>
      <c r="D225" s="186">
        <v>0</v>
      </c>
      <c r="E225" s="186">
        <v>0</v>
      </c>
      <c r="F225" s="186">
        <v>-6030000</v>
      </c>
      <c r="G225" s="184">
        <f>G230*G30</f>
        <v>-12029912.456221452</v>
      </c>
      <c r="H225" s="184">
        <f>H230*H30</f>
        <v>-14606285.016385118</v>
      </c>
      <c r="I225" s="184">
        <f>I230*I30</f>
        <v>-21734955.784621041</v>
      </c>
      <c r="J225" s="184">
        <f>J230*J30</f>
        <v>-26459722.939386427</v>
      </c>
      <c r="K225" s="184">
        <f>K230*K30</f>
        <v>-29638099.235103086</v>
      </c>
    </row>
    <row r="226" spans="3:11" x14ac:dyDescent="0.25">
      <c r="C226" s="17" t="s">
        <v>188</v>
      </c>
      <c r="D226" s="184">
        <f>D96</f>
        <v>76266769</v>
      </c>
      <c r="E226" s="184">
        <f>E96</f>
        <v>122018569</v>
      </c>
      <c r="F226" s="184">
        <f>F96</f>
        <v>127973731</v>
      </c>
      <c r="G226" s="184">
        <f>SUM(G223:G225)</f>
        <v>146310363.9640975</v>
      </c>
      <c r="H226" s="184">
        <f t="shared" ref="H226:K226" si="164">SUM(H223:H225)</f>
        <v>168574041.13457754</v>
      </c>
      <c r="I226" s="184">
        <f t="shared" si="164"/>
        <v>201703617.77645662</v>
      </c>
      <c r="J226" s="184">
        <f t="shared" si="164"/>
        <v>242034936.03308457</v>
      </c>
      <c r="K226" s="184">
        <f t="shared" si="164"/>
        <v>287210904.63678998</v>
      </c>
    </row>
    <row r="227" spans="3:11" x14ac:dyDescent="0.25">
      <c r="D227" s="184"/>
      <c r="E227" s="184"/>
      <c r="F227" s="184"/>
      <c r="G227" s="184"/>
      <c r="H227" s="184"/>
      <c r="I227" s="184"/>
      <c r="J227" s="184"/>
      <c r="K227" s="184"/>
    </row>
    <row r="228" spans="3:11" x14ac:dyDescent="0.25">
      <c r="C228" s="6" t="s">
        <v>287</v>
      </c>
      <c r="D228" s="1"/>
      <c r="E228" s="1">
        <f>E219/E218</f>
        <v>-2.851629741175421E-2</v>
      </c>
      <c r="F228" s="1">
        <f>F219/F218</f>
        <v>-8.8066606593276184E-2</v>
      </c>
      <c r="G228" s="210">
        <v>0</v>
      </c>
      <c r="H228" s="210">
        <f>G228</f>
        <v>0</v>
      </c>
      <c r="I228" s="210">
        <f t="shared" ref="I228:K228" si="165">H228</f>
        <v>0</v>
      </c>
      <c r="J228" s="210">
        <f t="shared" si="165"/>
        <v>0</v>
      </c>
      <c r="K228" s="210">
        <f t="shared" si="165"/>
        <v>0</v>
      </c>
    </row>
    <row r="229" spans="3:11" x14ac:dyDescent="0.25">
      <c r="C229" s="6" t="s">
        <v>292</v>
      </c>
      <c r="D229" s="22">
        <f>D224/D30</f>
        <v>5.6321460155249442E-2</v>
      </c>
      <c r="E229" s="22">
        <f>E224/E30</f>
        <v>3.1604808907792679E-2</v>
      </c>
      <c r="F229" s="22">
        <f>F224/F30</f>
        <v>5.8701946211949019E-2</v>
      </c>
      <c r="G229" s="210">
        <f t="shared" ref="G229:K229" si="166">F229</f>
        <v>5.8701946211949019E-2</v>
      </c>
      <c r="H229" s="210">
        <f t="shared" si="166"/>
        <v>5.8701946211949019E-2</v>
      </c>
      <c r="I229" s="210">
        <f t="shared" si="166"/>
        <v>5.8701946211949019E-2</v>
      </c>
      <c r="J229" s="210">
        <f t="shared" si="166"/>
        <v>5.8701946211949019E-2</v>
      </c>
      <c r="K229" s="210">
        <f t="shared" si="166"/>
        <v>5.8701946211949019E-2</v>
      </c>
    </row>
    <row r="230" spans="3:11" x14ac:dyDescent="0.25">
      <c r="C230" s="6" t="s">
        <v>291</v>
      </c>
      <c r="D230" s="22">
        <f>D225/D30</f>
        <v>0</v>
      </c>
      <c r="E230" s="22">
        <f>E225/E30</f>
        <v>0</v>
      </c>
      <c r="F230" s="22">
        <f>F225/F30</f>
        <v>-2.3255173223196011E-2</v>
      </c>
      <c r="G230" s="210">
        <f t="shared" ref="G230:K230" si="167">F230</f>
        <v>-2.3255173223196011E-2</v>
      </c>
      <c r="H230" s="210">
        <f t="shared" si="167"/>
        <v>-2.3255173223196011E-2</v>
      </c>
      <c r="I230" s="210">
        <f t="shared" si="167"/>
        <v>-2.3255173223196011E-2</v>
      </c>
      <c r="J230" s="210">
        <f t="shared" si="167"/>
        <v>-2.3255173223196011E-2</v>
      </c>
      <c r="K230" s="210">
        <f t="shared" si="167"/>
        <v>-2.3255173223196011E-2</v>
      </c>
    </row>
    <row r="231" spans="3:11" x14ac:dyDescent="0.25">
      <c r="D231" s="19"/>
      <c r="E231" s="19"/>
      <c r="F231" s="19"/>
      <c r="G231" s="184"/>
      <c r="H231" s="184"/>
      <c r="I231" s="184"/>
      <c r="J231" s="184"/>
      <c r="K231" s="184"/>
    </row>
    <row r="232" spans="3:11" x14ac:dyDescent="0.25">
      <c r="C232" s="13" t="s">
        <v>190</v>
      </c>
    </row>
    <row r="233" spans="3:11" x14ac:dyDescent="0.25">
      <c r="C233" s="48" t="s">
        <v>107</v>
      </c>
      <c r="D233" s="49">
        <f t="shared" ref="D233:K233" si="168">D$13</f>
        <v>2023</v>
      </c>
      <c r="E233" s="49">
        <f t="shared" si="168"/>
        <v>2024</v>
      </c>
      <c r="F233" s="49">
        <f t="shared" si="168"/>
        <v>2025</v>
      </c>
      <c r="G233" s="50">
        <f t="shared" si="168"/>
        <v>2026</v>
      </c>
      <c r="H233" s="50">
        <f t="shared" si="168"/>
        <v>2027</v>
      </c>
      <c r="I233" s="50">
        <f t="shared" si="168"/>
        <v>2028</v>
      </c>
      <c r="J233" s="50">
        <f t="shared" si="168"/>
        <v>2029</v>
      </c>
      <c r="K233" s="50">
        <f t="shared" si="168"/>
        <v>2030</v>
      </c>
    </row>
    <row r="234" spans="3:11" x14ac:dyDescent="0.25">
      <c r="C234" s="43" t="s">
        <v>108</v>
      </c>
      <c r="D234" s="242">
        <f t="shared" ref="D234:K234" si="169">D$14</f>
        <v>45291</v>
      </c>
      <c r="E234" s="227">
        <f t="shared" si="169"/>
        <v>45657</v>
      </c>
      <c r="F234" s="227">
        <f t="shared" si="169"/>
        <v>46022</v>
      </c>
      <c r="G234" s="227">
        <f t="shared" si="169"/>
        <v>46387</v>
      </c>
      <c r="H234" s="227">
        <f t="shared" si="169"/>
        <v>46752</v>
      </c>
      <c r="I234" s="227">
        <f t="shared" si="169"/>
        <v>47118</v>
      </c>
      <c r="J234" s="227">
        <f t="shared" si="169"/>
        <v>47483</v>
      </c>
      <c r="K234" s="227">
        <f t="shared" si="169"/>
        <v>47848</v>
      </c>
    </row>
    <row r="235" spans="3:11" x14ac:dyDescent="0.25">
      <c r="D235" s="19"/>
      <c r="E235" s="19"/>
      <c r="F235" s="19"/>
      <c r="G235" s="184"/>
      <c r="H235" s="184"/>
      <c r="I235" s="184"/>
      <c r="J235" s="184"/>
      <c r="K235" s="184"/>
    </row>
    <row r="236" spans="3:11" x14ac:dyDescent="0.25">
      <c r="C236" s="6" t="s">
        <v>191</v>
      </c>
      <c r="E236" s="184">
        <f>D241</f>
        <v>108779664</v>
      </c>
      <c r="F236" s="184">
        <f t="shared" ref="F236:K236" si="170">E241</f>
        <v>143149713</v>
      </c>
      <c r="G236" s="184">
        <f t="shared" si="170"/>
        <v>151636058</v>
      </c>
      <c r="H236" s="184">
        <f t="shared" si="170"/>
        <v>171000872.30630791</v>
      </c>
      <c r="I236" s="184">
        <f t="shared" si="170"/>
        <v>192468352.6137532</v>
      </c>
      <c r="J236" s="184">
        <f t="shared" si="170"/>
        <v>215807386.50760853</v>
      </c>
      <c r="K236" s="184">
        <f t="shared" si="170"/>
        <v>240864938.11303172</v>
      </c>
    </row>
    <row r="237" spans="3:11" x14ac:dyDescent="0.25">
      <c r="C237" s="17" t="s">
        <v>192</v>
      </c>
      <c r="D237" s="234">
        <v>18117454</v>
      </c>
      <c r="E237" s="234">
        <v>3985038</v>
      </c>
      <c r="F237" s="234">
        <v>52306834</v>
      </c>
      <c r="G237" s="184">
        <f>G244*G$16</f>
        <v>60359511.029594079</v>
      </c>
      <c r="H237" s="184">
        <f t="shared" ref="H237:K237" si="171">H244*H$16</f>
        <v>66913454.159627602</v>
      </c>
      <c r="I237" s="184">
        <f t="shared" si="171"/>
        <v>72747027.234717622</v>
      </c>
      <c r="J237" s="184">
        <f t="shared" si="171"/>
        <v>78103592.349423766</v>
      </c>
      <c r="K237" s="184">
        <f t="shared" si="171"/>
        <v>83033966.063533857</v>
      </c>
    </row>
    <row r="238" spans="3:11" x14ac:dyDescent="0.25">
      <c r="C238" s="17" t="s">
        <v>193</v>
      </c>
      <c r="D238" s="186">
        <v>5051997</v>
      </c>
      <c r="E238" s="186">
        <v>7771959</v>
      </c>
      <c r="F238" s="186">
        <v>8555207</v>
      </c>
      <c r="G238" s="184">
        <f t="shared" ref="G238:K238" si="172">G245*G$16</f>
        <v>9932948.944494063</v>
      </c>
      <c r="H238" s="184">
        <f t="shared" si="172"/>
        <v>11011486.218658235</v>
      </c>
      <c r="I238" s="184">
        <f t="shared" si="172"/>
        <v>11971477.155139387</v>
      </c>
      <c r="J238" s="184">
        <f t="shared" si="172"/>
        <v>12852970.177442817</v>
      </c>
      <c r="K238" s="184">
        <f t="shared" si="172"/>
        <v>13664327.816763647</v>
      </c>
    </row>
    <row r="239" spans="3:11" x14ac:dyDescent="0.25">
      <c r="C239" s="17" t="s">
        <v>282</v>
      </c>
      <c r="D239" s="234">
        <v>20961125</v>
      </c>
      <c r="E239" s="186">
        <v>24307947</v>
      </c>
      <c r="F239" s="186">
        <v>44252960</v>
      </c>
      <c r="G239" s="184">
        <f t="shared" ref="G239:K239" si="173">G246*G$16</f>
        <v>40994696.723286137</v>
      </c>
      <c r="H239" s="184">
        <f t="shared" si="173"/>
        <v>45445973.852182321</v>
      </c>
      <c r="I239" s="184">
        <f t="shared" si="173"/>
        <v>49407993.340862259</v>
      </c>
      <c r="J239" s="184">
        <f t="shared" si="173"/>
        <v>53046040.744000569</v>
      </c>
      <c r="K239" s="184">
        <f t="shared" si="173"/>
        <v>56394629.420328744</v>
      </c>
    </row>
    <row r="240" spans="3:11" x14ac:dyDescent="0.25">
      <c r="C240" s="17" t="s">
        <v>285</v>
      </c>
      <c r="D240" s="234">
        <v>5051997</v>
      </c>
      <c r="E240" s="186">
        <v>7771959</v>
      </c>
      <c r="F240" s="186">
        <v>8555207</v>
      </c>
      <c r="G240" s="184">
        <f t="shared" ref="G240:K240" si="174">G247*G$16</f>
        <v>9932948.944494063</v>
      </c>
      <c r="H240" s="184">
        <f t="shared" si="174"/>
        <v>11011486.218658235</v>
      </c>
      <c r="I240" s="184">
        <f t="shared" si="174"/>
        <v>11971477.155139387</v>
      </c>
      <c r="J240" s="184">
        <f t="shared" si="174"/>
        <v>12852970.177442817</v>
      </c>
      <c r="K240" s="184">
        <f t="shared" si="174"/>
        <v>13664327.816763647</v>
      </c>
    </row>
    <row r="241" spans="3:11" x14ac:dyDescent="0.25">
      <c r="C241" s="6" t="s">
        <v>194</v>
      </c>
      <c r="D241" s="19">
        <f>D74+D82</f>
        <v>108779664</v>
      </c>
      <c r="E241" s="19">
        <f>E74+E82</f>
        <v>143149713</v>
      </c>
      <c r="F241" s="19">
        <f>F74+F82</f>
        <v>151636058</v>
      </c>
      <c r="G241" s="184">
        <f>G236+G237+G238-G239-G240</f>
        <v>171000872.30630791</v>
      </c>
      <c r="H241" s="184">
        <f t="shared" ref="H241:K241" si="175">H236+H237+H238-H239-H240</f>
        <v>192468352.6137532</v>
      </c>
      <c r="I241" s="184">
        <f t="shared" si="175"/>
        <v>215807386.50760853</v>
      </c>
      <c r="J241" s="184">
        <f t="shared" si="175"/>
        <v>240864938.11303172</v>
      </c>
      <c r="K241" s="184">
        <f t="shared" si="175"/>
        <v>267504274.75623685</v>
      </c>
    </row>
    <row r="242" spans="3:11" x14ac:dyDescent="0.25">
      <c r="C242" s="6" t="s">
        <v>195</v>
      </c>
      <c r="D242" s="248">
        <f>D74/(D74+D82)</f>
        <v>0.21880891266588212</v>
      </c>
      <c r="E242" s="248">
        <f>E74/(E74+E82)</f>
        <v>0.24759506154231689</v>
      </c>
      <c r="F242" s="248">
        <f>F74/(F74+F82)</f>
        <v>0.26532067326624914</v>
      </c>
      <c r="G242" s="207">
        <f>AVERAGE(D242:F242)</f>
        <v>0.24390821582481603</v>
      </c>
      <c r="H242" s="207">
        <f>G242</f>
        <v>0.24390821582481603</v>
      </c>
      <c r="I242" s="207">
        <f t="shared" ref="I242:K242" si="176">H242</f>
        <v>0.24390821582481603</v>
      </c>
      <c r="J242" s="207">
        <f t="shared" si="176"/>
        <v>0.24390821582481603</v>
      </c>
      <c r="K242" s="207">
        <f t="shared" si="176"/>
        <v>0.24390821582481603</v>
      </c>
    </row>
    <row r="243" spans="3:11" x14ac:dyDescent="0.25">
      <c r="D243" s="248"/>
      <c r="E243" s="206"/>
      <c r="F243" s="206"/>
      <c r="G243" s="206"/>
      <c r="H243" s="206"/>
      <c r="I243" s="206"/>
      <c r="J243" s="206"/>
      <c r="K243" s="206"/>
    </row>
    <row r="244" spans="3:11" x14ac:dyDescent="0.25">
      <c r="C244" s="6" t="s">
        <v>196</v>
      </c>
      <c r="D244" s="22">
        <f>D237/D$16</f>
        <v>3.7410099822582448E-3</v>
      </c>
      <c r="E244" s="22">
        <f t="shared" ref="E244:F244" si="177">E237/E$16</f>
        <v>5.9973293426221258E-4</v>
      </c>
      <c r="F244" s="22">
        <f t="shared" si="177"/>
        <v>6.7028476374114097E-3</v>
      </c>
      <c r="G244" s="210">
        <f>F244</f>
        <v>6.7028476374114097E-3</v>
      </c>
      <c r="H244" s="210">
        <f>G244</f>
        <v>6.7028476374114097E-3</v>
      </c>
      <c r="I244" s="210">
        <f t="shared" ref="I244:K244" si="178">H244</f>
        <v>6.7028476374114097E-3</v>
      </c>
      <c r="J244" s="210">
        <f t="shared" si="178"/>
        <v>6.7028476374114097E-3</v>
      </c>
      <c r="K244" s="210">
        <f t="shared" si="178"/>
        <v>6.7028476374114097E-3</v>
      </c>
    </row>
    <row r="245" spans="3:11" x14ac:dyDescent="0.25">
      <c r="C245" s="6" t="s">
        <v>197</v>
      </c>
      <c r="D245" s="22">
        <f t="shared" ref="D245:F245" si="179">D238/D$16</f>
        <v>1.0431692669035453E-3</v>
      </c>
      <c r="E245" s="22">
        <f t="shared" si="179"/>
        <v>1.16965001990837E-3</v>
      </c>
      <c r="F245" s="22">
        <f t="shared" si="179"/>
        <v>1.0963051028382938E-3</v>
      </c>
      <c r="G245" s="210">
        <f t="shared" ref="G245:G247" si="180">AVERAGE(D245:F245)</f>
        <v>1.1030414632167364E-3</v>
      </c>
      <c r="H245" s="210">
        <f t="shared" ref="H245:K245" si="181">G245</f>
        <v>1.1030414632167364E-3</v>
      </c>
      <c r="I245" s="210">
        <f t="shared" si="181"/>
        <v>1.1030414632167364E-3</v>
      </c>
      <c r="J245" s="210">
        <f t="shared" si="181"/>
        <v>1.1030414632167364E-3</v>
      </c>
      <c r="K245" s="210">
        <f t="shared" si="181"/>
        <v>1.1030414632167364E-3</v>
      </c>
    </row>
    <row r="246" spans="3:11" x14ac:dyDescent="0.25">
      <c r="C246" s="6" t="s">
        <v>283</v>
      </c>
      <c r="D246" s="22">
        <f t="shared" ref="D246:F246" si="182">D239/D$16</f>
        <v>4.3281897039375867E-3</v>
      </c>
      <c r="E246" s="22">
        <f t="shared" si="182"/>
        <v>3.6582527896096215E-3</v>
      </c>
      <c r="F246" s="22">
        <f t="shared" si="182"/>
        <v>5.6707857406254345E-3</v>
      </c>
      <c r="G246" s="210">
        <f t="shared" si="180"/>
        <v>4.5524094113908809E-3</v>
      </c>
      <c r="H246" s="210">
        <f t="shared" ref="H246:K246" si="183">G246</f>
        <v>4.5524094113908809E-3</v>
      </c>
      <c r="I246" s="210">
        <f t="shared" si="183"/>
        <v>4.5524094113908809E-3</v>
      </c>
      <c r="J246" s="210">
        <f t="shared" si="183"/>
        <v>4.5524094113908809E-3</v>
      </c>
      <c r="K246" s="210">
        <f t="shared" si="183"/>
        <v>4.5524094113908809E-3</v>
      </c>
    </row>
    <row r="247" spans="3:11" x14ac:dyDescent="0.25">
      <c r="C247" s="6" t="s">
        <v>284</v>
      </c>
      <c r="D247" s="22">
        <f t="shared" ref="D247:F247" si="184">D240/D$16</f>
        <v>1.0431692669035453E-3</v>
      </c>
      <c r="E247" s="22">
        <f t="shared" si="184"/>
        <v>1.16965001990837E-3</v>
      </c>
      <c r="F247" s="22">
        <f t="shared" si="184"/>
        <v>1.0963051028382938E-3</v>
      </c>
      <c r="G247" s="210">
        <f t="shared" si="180"/>
        <v>1.1030414632167364E-3</v>
      </c>
      <c r="H247" s="210">
        <f t="shared" ref="H247:K247" si="185">G247</f>
        <v>1.1030414632167364E-3</v>
      </c>
      <c r="I247" s="210">
        <f t="shared" si="185"/>
        <v>1.1030414632167364E-3</v>
      </c>
      <c r="J247" s="210">
        <f t="shared" si="185"/>
        <v>1.1030414632167364E-3</v>
      </c>
      <c r="K247" s="210">
        <f t="shared" si="185"/>
        <v>1.1030414632167364E-3</v>
      </c>
    </row>
    <row r="249" spans="3:11" x14ac:dyDescent="0.25">
      <c r="C249" s="13" t="s">
        <v>236</v>
      </c>
    </row>
    <row r="250" spans="3:11" x14ac:dyDescent="0.25">
      <c r="C250" s="48" t="s">
        <v>107</v>
      </c>
      <c r="D250" s="49">
        <f t="shared" ref="D250:K250" si="186">D$13</f>
        <v>2023</v>
      </c>
      <c r="E250" s="49">
        <f t="shared" si="186"/>
        <v>2024</v>
      </c>
      <c r="F250" s="49">
        <f t="shared" si="186"/>
        <v>2025</v>
      </c>
      <c r="G250" s="50">
        <f t="shared" si="186"/>
        <v>2026</v>
      </c>
      <c r="H250" s="50">
        <f t="shared" si="186"/>
        <v>2027</v>
      </c>
      <c r="I250" s="50">
        <f t="shared" si="186"/>
        <v>2028</v>
      </c>
      <c r="J250" s="50">
        <f t="shared" si="186"/>
        <v>2029</v>
      </c>
      <c r="K250" s="50">
        <f t="shared" si="186"/>
        <v>2030</v>
      </c>
    </row>
    <row r="251" spans="3:11" x14ac:dyDescent="0.25">
      <c r="C251" s="43" t="s">
        <v>108</v>
      </c>
      <c r="D251" s="242">
        <f t="shared" ref="D251:K251" si="187">D$14</f>
        <v>45291</v>
      </c>
      <c r="E251" s="227">
        <f t="shared" si="187"/>
        <v>45657</v>
      </c>
      <c r="F251" s="227">
        <f t="shared" si="187"/>
        <v>46022</v>
      </c>
      <c r="G251" s="227">
        <f t="shared" si="187"/>
        <v>46387</v>
      </c>
      <c r="H251" s="227">
        <f t="shared" si="187"/>
        <v>46752</v>
      </c>
      <c r="I251" s="227">
        <f t="shared" si="187"/>
        <v>47118</v>
      </c>
      <c r="J251" s="227">
        <f t="shared" si="187"/>
        <v>47483</v>
      </c>
      <c r="K251" s="227">
        <f t="shared" si="187"/>
        <v>47848</v>
      </c>
    </row>
    <row r="253" spans="3:11" x14ac:dyDescent="0.25">
      <c r="C253" s="6" t="s">
        <v>152</v>
      </c>
      <c r="D253" s="184"/>
      <c r="E253" s="184">
        <f>D256</f>
        <v>46977888</v>
      </c>
      <c r="F253" s="184">
        <f t="shared" ref="F253:K253" si="188">E256</f>
        <v>55825795</v>
      </c>
      <c r="G253" s="184">
        <f t="shared" si="188"/>
        <v>72204179</v>
      </c>
      <c r="H253" s="184">
        <f t="shared" si="188"/>
        <v>104139421.74891874</v>
      </c>
      <c r="I253" s="184">
        <f t="shared" si="188"/>
        <v>139542249.99099377</v>
      </c>
      <c r="J253" s="184">
        <f t="shared" si="188"/>
        <v>178031527.56091738</v>
      </c>
      <c r="K253" s="184">
        <f t="shared" si="188"/>
        <v>219354877.24840102</v>
      </c>
    </row>
    <row r="254" spans="3:11" x14ac:dyDescent="0.25">
      <c r="C254" s="17" t="s">
        <v>198</v>
      </c>
      <c r="D254" s="186">
        <v>55148058</v>
      </c>
      <c r="E254" s="186">
        <v>139179073</v>
      </c>
      <c r="F254" s="186">
        <v>189234137</v>
      </c>
      <c r="G254" s="184">
        <f>G258*G16</f>
        <v>169843180.82032734</v>
      </c>
      <c r="H254" s="184">
        <f>H258*H16</f>
        <v>188285055.66544753</v>
      </c>
      <c r="I254" s="184">
        <f>I258*I16</f>
        <v>204699910.42024046</v>
      </c>
      <c r="J254" s="184">
        <f>J258*J16</f>
        <v>219772531.81551373</v>
      </c>
      <c r="K254" s="184">
        <f>K258*K16</f>
        <v>233645910.50850576</v>
      </c>
    </row>
    <row r="255" spans="3:11" x14ac:dyDescent="0.25">
      <c r="C255" s="17" t="s">
        <v>279</v>
      </c>
      <c r="D255" s="186">
        <v>20236699</v>
      </c>
      <c r="E255" s="186">
        <v>130331166</v>
      </c>
      <c r="F255" s="186">
        <v>172855753</v>
      </c>
      <c r="G255" s="184">
        <f>G259*G16</f>
        <v>137907938.0714086</v>
      </c>
      <c r="H255" s="184">
        <f>H259*H16</f>
        <v>152882227.42337248</v>
      </c>
      <c r="I255" s="184">
        <f>I259*I16</f>
        <v>166210632.85031688</v>
      </c>
      <c r="J255" s="184">
        <f>J259*J16</f>
        <v>178449182.12803009</v>
      </c>
      <c r="K255" s="184">
        <f>K259*K16</f>
        <v>189713979.69242758</v>
      </c>
    </row>
    <row r="256" spans="3:11" x14ac:dyDescent="0.25">
      <c r="C256" s="6" t="s">
        <v>155</v>
      </c>
      <c r="D256" s="184">
        <f>D60</f>
        <v>46977888</v>
      </c>
      <c r="E256" s="184">
        <f>E60</f>
        <v>55825795</v>
      </c>
      <c r="F256" s="184">
        <f>F60</f>
        <v>72204179</v>
      </c>
      <c r="G256" s="184">
        <f>G253+G254-G255</f>
        <v>104139421.74891874</v>
      </c>
      <c r="H256" s="184">
        <f t="shared" ref="H256:K256" si="189">H253+H254-H255</f>
        <v>139542249.99099377</v>
      </c>
      <c r="I256" s="184">
        <f t="shared" si="189"/>
        <v>178031527.56091738</v>
      </c>
      <c r="J256" s="184">
        <f t="shared" si="189"/>
        <v>219354877.24840102</v>
      </c>
      <c r="K256" s="184">
        <f t="shared" si="189"/>
        <v>263286808.06447917</v>
      </c>
    </row>
    <row r="258" spans="3:11" x14ac:dyDescent="0.25">
      <c r="C258" s="6" t="s">
        <v>189</v>
      </c>
      <c r="D258" s="1">
        <f>D254/D16</f>
        <v>1.1387330442796027E-2</v>
      </c>
      <c r="E258" s="1">
        <f>E254/E16</f>
        <v>2.0945916660815952E-2</v>
      </c>
      <c r="F258" s="1">
        <f>F254/F16</f>
        <v>2.4249366499758656E-2</v>
      </c>
      <c r="G258" s="210">
        <f>AVERAGE(D258:F258)</f>
        <v>1.8860871201123546E-2</v>
      </c>
      <c r="H258" s="210">
        <f>G258</f>
        <v>1.8860871201123546E-2</v>
      </c>
      <c r="I258" s="210">
        <f t="shared" ref="I258:K258" si="190">H258</f>
        <v>1.8860871201123546E-2</v>
      </c>
      <c r="J258" s="210">
        <f t="shared" si="190"/>
        <v>1.8860871201123546E-2</v>
      </c>
      <c r="K258" s="210">
        <f t="shared" si="190"/>
        <v>1.8860871201123546E-2</v>
      </c>
    </row>
    <row r="259" spans="3:11" x14ac:dyDescent="0.25">
      <c r="C259" s="6" t="s">
        <v>199</v>
      </c>
      <c r="D259" s="1">
        <f>D255/D16</f>
        <v>4.1786055020178571E-3</v>
      </c>
      <c r="E259" s="1">
        <f>E255/E16</f>
        <v>1.9614340593739763E-2</v>
      </c>
      <c r="F259" s="1">
        <f>F255/F16</f>
        <v>2.2150562116013756E-2</v>
      </c>
      <c r="G259" s="210">
        <f t="shared" ref="G259" si="191">AVERAGE(D259:F259)</f>
        <v>1.5314502737257124E-2</v>
      </c>
      <c r="H259" s="210">
        <f t="shared" ref="H259:K259" si="192">G259</f>
        <v>1.5314502737257124E-2</v>
      </c>
      <c r="I259" s="210">
        <f t="shared" si="192"/>
        <v>1.5314502737257124E-2</v>
      </c>
      <c r="J259" s="210">
        <f t="shared" si="192"/>
        <v>1.5314502737257124E-2</v>
      </c>
      <c r="K259" s="210">
        <f t="shared" si="192"/>
        <v>1.5314502737257124E-2</v>
      </c>
    </row>
    <row r="261" spans="3:11" x14ac:dyDescent="0.25">
      <c r="C261" s="13" t="s">
        <v>237</v>
      </c>
    </row>
    <row r="262" spans="3:11" x14ac:dyDescent="0.25">
      <c r="C262" s="48" t="s">
        <v>107</v>
      </c>
      <c r="D262" s="49">
        <f t="shared" ref="D262:K262" si="193">D$13</f>
        <v>2023</v>
      </c>
      <c r="E262" s="49">
        <f t="shared" si="193"/>
        <v>2024</v>
      </c>
      <c r="F262" s="49">
        <f t="shared" si="193"/>
        <v>2025</v>
      </c>
      <c r="G262" s="50">
        <f t="shared" si="193"/>
        <v>2026</v>
      </c>
      <c r="H262" s="50">
        <f t="shared" si="193"/>
        <v>2027</v>
      </c>
      <c r="I262" s="50">
        <f t="shared" si="193"/>
        <v>2028</v>
      </c>
      <c r="J262" s="50">
        <f t="shared" si="193"/>
        <v>2029</v>
      </c>
      <c r="K262" s="50">
        <f t="shared" si="193"/>
        <v>2030</v>
      </c>
    </row>
    <row r="263" spans="3:11" x14ac:dyDescent="0.25">
      <c r="C263" s="43" t="s">
        <v>108</v>
      </c>
      <c r="D263" s="264">
        <f t="shared" ref="D263:K263" si="194">D$14</f>
        <v>45291</v>
      </c>
      <c r="E263" s="227">
        <f t="shared" si="194"/>
        <v>45657</v>
      </c>
      <c r="F263" s="227">
        <f t="shared" si="194"/>
        <v>46022</v>
      </c>
      <c r="G263" s="227">
        <f t="shared" si="194"/>
        <v>46387</v>
      </c>
      <c r="H263" s="227">
        <f t="shared" si="194"/>
        <v>46752</v>
      </c>
      <c r="I263" s="227">
        <f t="shared" si="194"/>
        <v>47118</v>
      </c>
      <c r="J263" s="227">
        <f t="shared" si="194"/>
        <v>47483</v>
      </c>
      <c r="K263" s="227">
        <f t="shared" si="194"/>
        <v>47848</v>
      </c>
    </row>
    <row r="265" spans="3:11" x14ac:dyDescent="0.25">
      <c r="C265" s="6" t="s">
        <v>152</v>
      </c>
      <c r="D265" s="19"/>
      <c r="E265" s="184">
        <f>D268</f>
        <v>17416779</v>
      </c>
      <c r="F265" s="184">
        <f t="shared" ref="F265:K265" si="195">E268</f>
        <v>29719859</v>
      </c>
      <c r="G265" s="184">
        <f t="shared" si="195"/>
        <v>25139638</v>
      </c>
      <c r="H265" s="184">
        <f t="shared" si="195"/>
        <v>25619130.73443057</v>
      </c>
      <c r="I265" s="184">
        <f t="shared" si="195"/>
        <v>26150687.643323746</v>
      </c>
      <c r="J265" s="184">
        <f t="shared" si="195"/>
        <v>26728586.145406835</v>
      </c>
      <c r="K265" s="184">
        <f t="shared" si="195"/>
        <v>27349036.914898891</v>
      </c>
    </row>
    <row r="266" spans="3:11" x14ac:dyDescent="0.25">
      <c r="C266" s="6" t="s">
        <v>280</v>
      </c>
      <c r="D266" s="234">
        <v>5043222</v>
      </c>
      <c r="E266" s="186">
        <v>6188729</v>
      </c>
      <c r="F266" s="186">
        <v>0</v>
      </c>
      <c r="G266" s="184">
        <f>G270*G$16</f>
        <v>5921535.9787895046</v>
      </c>
      <c r="H266" s="184">
        <f t="shared" ref="H266:K266" si="196">H270*H$16</f>
        <v>6564506.8939847201</v>
      </c>
      <c r="I266" s="184">
        <f t="shared" si="196"/>
        <v>7136806.3089370159</v>
      </c>
      <c r="J266" s="184">
        <f t="shared" si="196"/>
        <v>7662309.1254510423</v>
      </c>
      <c r="K266" s="184">
        <f t="shared" si="196"/>
        <v>8146000.6736258855</v>
      </c>
    </row>
    <row r="267" spans="3:11" x14ac:dyDescent="0.25">
      <c r="C267" s="6" t="s">
        <v>281</v>
      </c>
      <c r="D267" s="234">
        <v>2829328</v>
      </c>
      <c r="E267" s="186">
        <v>4068150</v>
      </c>
      <c r="F267" s="186">
        <v>4811254</v>
      </c>
      <c r="G267" s="184">
        <f>G271*G$16</f>
        <v>5442043.2443589335</v>
      </c>
      <c r="H267" s="184">
        <f t="shared" ref="H267:K267" si="197">H271*H$16</f>
        <v>6032949.9850915456</v>
      </c>
      <c r="I267" s="184">
        <f t="shared" si="197"/>
        <v>6558907.8068539286</v>
      </c>
      <c r="J267" s="184">
        <f t="shared" si="197"/>
        <v>7041858.355958987</v>
      </c>
      <c r="K267" s="184">
        <f t="shared" si="197"/>
        <v>7486383.2784667639</v>
      </c>
    </row>
    <row r="268" spans="3:11" x14ac:dyDescent="0.25">
      <c r="C268" s="6" t="s">
        <v>155</v>
      </c>
      <c r="D268" s="19">
        <f>D61</f>
        <v>17416779</v>
      </c>
      <c r="E268" s="19">
        <f>E61</f>
        <v>29719859</v>
      </c>
      <c r="F268" s="19">
        <f>F61</f>
        <v>25139638</v>
      </c>
      <c r="G268" s="184">
        <f>G265+G266-G267</f>
        <v>25619130.73443057</v>
      </c>
      <c r="H268" s="184">
        <f t="shared" ref="H268:K268" si="198">H265+H266-H267</f>
        <v>26150687.643323746</v>
      </c>
      <c r="I268" s="184">
        <f t="shared" si="198"/>
        <v>26728586.145406835</v>
      </c>
      <c r="J268" s="184">
        <f t="shared" si="198"/>
        <v>27349036.914898891</v>
      </c>
      <c r="K268" s="184">
        <f t="shared" si="198"/>
        <v>28008654.310058009</v>
      </c>
    </row>
    <row r="269" spans="3:11" x14ac:dyDescent="0.25">
      <c r="D269" s="206"/>
      <c r="E269" s="206"/>
      <c r="F269" s="206"/>
      <c r="G269" s="207"/>
      <c r="H269" s="207"/>
      <c r="I269" s="207"/>
      <c r="J269" s="207"/>
      <c r="K269" s="207"/>
    </row>
    <row r="270" spans="3:11" x14ac:dyDescent="0.25">
      <c r="C270" s="6" t="s">
        <v>189</v>
      </c>
      <c r="D270" s="248">
        <f>D266/D16</f>
        <v>1.0413573477125644E-3</v>
      </c>
      <c r="E270" s="248">
        <f>E266/E16</f>
        <v>9.3137997743651343E-4</v>
      </c>
      <c r="F270" s="248">
        <f>F266/F16</f>
        <v>0</v>
      </c>
      <c r="G270" s="210">
        <f t="shared" ref="G270:G271" si="199">AVERAGE(D270:F270)</f>
        <v>6.575791083830259E-4</v>
      </c>
      <c r="H270" s="210">
        <f t="shared" ref="H270:K270" si="200">G270</f>
        <v>6.575791083830259E-4</v>
      </c>
      <c r="I270" s="210">
        <f t="shared" si="200"/>
        <v>6.575791083830259E-4</v>
      </c>
      <c r="J270" s="210">
        <f t="shared" si="200"/>
        <v>6.575791083830259E-4</v>
      </c>
      <c r="K270" s="210">
        <f t="shared" si="200"/>
        <v>6.575791083830259E-4</v>
      </c>
    </row>
    <row r="271" spans="3:11" x14ac:dyDescent="0.25">
      <c r="C271" s="6" t="s">
        <v>199</v>
      </c>
      <c r="D271" s="248">
        <f>D267/D16</f>
        <v>5.8421808555897284E-4</v>
      </c>
      <c r="E271" s="248">
        <f>E267/E16</f>
        <v>6.1224097148353913E-4</v>
      </c>
      <c r="F271" s="248">
        <f>F267/F16</f>
        <v>6.1653707633855636E-4</v>
      </c>
      <c r="G271" s="210">
        <f t="shared" si="199"/>
        <v>6.0433204446035604E-4</v>
      </c>
      <c r="H271" s="210">
        <f t="shared" ref="H271:K271" si="201">G271</f>
        <v>6.0433204446035604E-4</v>
      </c>
      <c r="I271" s="210">
        <f t="shared" si="201"/>
        <v>6.0433204446035604E-4</v>
      </c>
      <c r="J271" s="210">
        <f t="shared" si="201"/>
        <v>6.0433204446035604E-4</v>
      </c>
      <c r="K271" s="210">
        <f t="shared" si="201"/>
        <v>6.0433204446035604E-4</v>
      </c>
    </row>
    <row r="273" spans="3:11" x14ac:dyDescent="0.25">
      <c r="C273" s="13" t="s">
        <v>298</v>
      </c>
      <c r="D273" s="7"/>
    </row>
    <row r="274" spans="3:11" x14ac:dyDescent="0.25">
      <c r="C274" s="48" t="s">
        <v>107</v>
      </c>
      <c r="D274" s="49">
        <f t="shared" ref="D274:K274" si="202">D$13</f>
        <v>2023</v>
      </c>
      <c r="E274" s="49">
        <f t="shared" si="202"/>
        <v>2024</v>
      </c>
      <c r="F274" s="49">
        <f t="shared" si="202"/>
        <v>2025</v>
      </c>
      <c r="G274" s="50">
        <f t="shared" si="202"/>
        <v>2026</v>
      </c>
      <c r="H274" s="50">
        <f t="shared" si="202"/>
        <v>2027</v>
      </c>
      <c r="I274" s="50">
        <f t="shared" si="202"/>
        <v>2028</v>
      </c>
      <c r="J274" s="50">
        <f t="shared" si="202"/>
        <v>2029</v>
      </c>
      <c r="K274" s="50">
        <f t="shared" si="202"/>
        <v>2030</v>
      </c>
    </row>
    <row r="275" spans="3:11" x14ac:dyDescent="0.25">
      <c r="C275" s="43" t="s">
        <v>108</v>
      </c>
      <c r="D275" s="227">
        <f t="shared" ref="D275:K275" si="203">D$14</f>
        <v>45291</v>
      </c>
      <c r="E275" s="227">
        <f t="shared" si="203"/>
        <v>45657</v>
      </c>
      <c r="F275" s="227">
        <f t="shared" si="203"/>
        <v>46022</v>
      </c>
      <c r="G275" s="227">
        <f t="shared" si="203"/>
        <v>46387</v>
      </c>
      <c r="H275" s="227">
        <f t="shared" si="203"/>
        <v>46752</v>
      </c>
      <c r="I275" s="227">
        <f t="shared" si="203"/>
        <v>47118</v>
      </c>
      <c r="J275" s="227">
        <f t="shared" si="203"/>
        <v>47483</v>
      </c>
      <c r="K275" s="227">
        <f t="shared" si="203"/>
        <v>47848</v>
      </c>
    </row>
    <row r="276" spans="3:11" x14ac:dyDescent="0.25">
      <c r="D276" s="7"/>
    </row>
    <row r="277" spans="3:11" x14ac:dyDescent="0.25">
      <c r="C277" s="6" t="s">
        <v>299</v>
      </c>
      <c r="D277" s="184">
        <f>D281*D16</f>
        <v>456269505</v>
      </c>
      <c r="E277" s="184">
        <f>E281*E16</f>
        <v>352233706</v>
      </c>
      <c r="F277" s="184">
        <f>F281*F16</f>
        <v>313950137</v>
      </c>
      <c r="G277" s="184">
        <f>G281*G16</f>
        <v>477356355.63517743</v>
      </c>
      <c r="H277" s="184">
        <f>H281*H16</f>
        <v>529188558.28604198</v>
      </c>
      <c r="I277" s="184">
        <f>I281*I16</f>
        <v>575323676.6121521</v>
      </c>
      <c r="J277" s="184">
        <f>J281*J16</f>
        <v>617686352.48977745</v>
      </c>
      <c r="K277" s="184">
        <f>K281*K16</f>
        <v>656678471.34463573</v>
      </c>
    </row>
    <row r="278" spans="3:11" x14ac:dyDescent="0.25">
      <c r="C278" s="6" t="s">
        <v>300</v>
      </c>
      <c r="D278" s="184"/>
      <c r="E278" s="184"/>
      <c r="F278" s="184"/>
      <c r="G278" s="184">
        <f>G115+G121+G124+G125+G126+G131</f>
        <v>-97931644.248427272</v>
      </c>
      <c r="H278" s="184">
        <f>H115+H121+H124+H125+H126+H131</f>
        <v>291442108.44381118</v>
      </c>
      <c r="I278" s="184">
        <f>I115+I121+I124+I125+I126+I131</f>
        <v>697303411.90617037</v>
      </c>
      <c r="J278" s="184">
        <f>J115+J121+J124+J125+J126+J131</f>
        <v>913926308.1710875</v>
      </c>
      <c r="K278" s="184">
        <f>K115+K121+K124+K125+K126+K131</f>
        <v>1057419963.7368777</v>
      </c>
    </row>
    <row r="279" spans="3:11" x14ac:dyDescent="0.25">
      <c r="C279" s="6" t="s">
        <v>301</v>
      </c>
      <c r="D279" s="184"/>
      <c r="E279" s="184"/>
      <c r="F279" s="184"/>
      <c r="G279" s="184">
        <f>MAX(0,F279-(G278-G277))</f>
        <v>575287999.88360476</v>
      </c>
      <c r="H279" s="184">
        <f t="shared" ref="H279:K279" si="204">MAX(0,G279-(H278-H277))</f>
        <v>813034449.72583556</v>
      </c>
      <c r="I279" s="184">
        <f t="shared" si="204"/>
        <v>691054714.43181729</v>
      </c>
      <c r="J279" s="184">
        <f t="shared" si="204"/>
        <v>394814758.75050724</v>
      </c>
      <c r="K279" s="184">
        <f t="shared" si="204"/>
        <v>0</v>
      </c>
    </row>
    <row r="280" spans="3:11" x14ac:dyDescent="0.25">
      <c r="C280" s="6" t="s">
        <v>302</v>
      </c>
      <c r="D280" s="184"/>
      <c r="E280" s="184"/>
      <c r="F280" s="184"/>
      <c r="G280" s="184">
        <f>G279-F279</f>
        <v>575287999.88360476</v>
      </c>
      <c r="H280" s="184">
        <f t="shared" ref="H280:K280" si="205">H279-G279</f>
        <v>237746449.8422308</v>
      </c>
      <c r="I280" s="184">
        <f t="shared" si="205"/>
        <v>-121979735.29401827</v>
      </c>
      <c r="J280" s="184">
        <f t="shared" si="205"/>
        <v>-296239955.68131006</v>
      </c>
      <c r="K280" s="184">
        <f t="shared" si="205"/>
        <v>-394814758.75050724</v>
      </c>
    </row>
    <row r="281" spans="3:11" x14ac:dyDescent="0.25">
      <c r="C281" s="6" t="s">
        <v>303</v>
      </c>
      <c r="D281" s="1">
        <f>D55/D16</f>
        <v>9.4213501124662882E-2</v>
      </c>
      <c r="E281" s="1">
        <f>E55/E16</f>
        <v>5.3009821749612801E-2</v>
      </c>
      <c r="F281" s="1">
        <f>F55/F16</f>
        <v>4.0231070648539702E-2</v>
      </c>
      <c r="G281" s="210">
        <f>MEDIAN(D281:F281)</f>
        <v>5.3009821749612801E-2</v>
      </c>
      <c r="H281" s="210">
        <f>G281</f>
        <v>5.3009821749612801E-2</v>
      </c>
      <c r="I281" s="210">
        <f t="shared" ref="I281:K281" si="206">H281</f>
        <v>5.3009821749612801E-2</v>
      </c>
      <c r="J281" s="210">
        <f t="shared" si="206"/>
        <v>5.3009821749612801E-2</v>
      </c>
      <c r="K281" s="210">
        <f t="shared" si="206"/>
        <v>5.3009821749612801E-2</v>
      </c>
    </row>
  </sheetData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32"/>
  <sheetViews>
    <sheetView showGridLines="0" tabSelected="1" zoomScaleNormal="100" workbookViewId="0">
      <selection activeCell="C50" sqref="C50"/>
    </sheetView>
  </sheetViews>
  <sheetFormatPr defaultColWidth="9.140625" defaultRowHeight="15" x14ac:dyDescent="0.25"/>
  <cols>
    <col min="1" max="1" width="1.42578125" style="51" customWidth="1"/>
    <col min="2" max="2" width="54.42578125" style="51" customWidth="1"/>
    <col min="3" max="3" width="16.7109375" style="51" customWidth="1"/>
    <col min="4" max="4" width="15.5703125" style="51" bestFit="1" customWidth="1"/>
    <col min="5" max="9" width="16.42578125" style="51" customWidth="1"/>
    <col min="10" max="10" width="1.7109375" style="51" customWidth="1"/>
    <col min="11" max="11" width="12.140625" style="51" bestFit="1" customWidth="1"/>
    <col min="12" max="16" width="9.42578125" style="51" customWidth="1"/>
    <col min="17" max="17" width="9.140625" style="51" customWidth="1"/>
    <col min="18" max="16384" width="9.140625" style="51"/>
  </cols>
  <sheetData>
    <row r="1" spans="2:10" ht="15.75" customHeight="1" thickBot="1" x14ac:dyDescent="0.3"/>
    <row r="2" spans="2:10" ht="15.75" customHeight="1" thickBot="1" x14ac:dyDescent="0.3">
      <c r="B2" s="52" t="s">
        <v>0</v>
      </c>
      <c r="C2" s="53"/>
      <c r="D2" s="53"/>
      <c r="E2" s="53"/>
      <c r="F2" s="53"/>
      <c r="G2" s="53"/>
      <c r="H2" s="53"/>
      <c r="I2" s="53"/>
    </row>
    <row r="3" spans="2:10" x14ac:dyDescent="0.25">
      <c r="B3" s="183" t="str">
        <f>FSM!C3</f>
        <v>All amounts are shown in EGP, except per-share data, ratios, and shares outstanding</v>
      </c>
    </row>
    <row r="4" spans="2:10" x14ac:dyDescent="0.25">
      <c r="B4" s="51" t="s">
        <v>1</v>
      </c>
      <c r="C4" s="55"/>
      <c r="D4" s="55">
        <v>46022</v>
      </c>
      <c r="F4" s="51" t="s">
        <v>2</v>
      </c>
      <c r="H4" s="56">
        <f>+WACC!E21</f>
        <v>0.19566200605383333</v>
      </c>
      <c r="I4" s="51" t="s">
        <v>3</v>
      </c>
    </row>
    <row r="5" spans="2:10" x14ac:dyDescent="0.25">
      <c r="B5" s="51" t="s">
        <v>4</v>
      </c>
      <c r="C5" s="57"/>
      <c r="D5" s="57">
        <f>EOMONTH(D4,12)</f>
        <v>46387</v>
      </c>
      <c r="F5" s="51" t="s">
        <v>5</v>
      </c>
      <c r="H5" s="292">
        <f>FSM!D7</f>
        <v>31.54</v>
      </c>
    </row>
    <row r="6" spans="2:10" x14ac:dyDescent="0.25">
      <c r="B6" s="51" t="s">
        <v>6</v>
      </c>
      <c r="C6" s="55"/>
      <c r="D6" s="55">
        <v>46022</v>
      </c>
      <c r="F6" s="51" t="s">
        <v>7</v>
      </c>
      <c r="H6" s="58">
        <v>46212</v>
      </c>
      <c r="J6" s="59"/>
    </row>
    <row r="7" spans="2:10" x14ac:dyDescent="0.25">
      <c r="B7" s="51" t="s">
        <v>8</v>
      </c>
      <c r="C7" s="55"/>
      <c r="D7" s="55">
        <v>46213</v>
      </c>
      <c r="E7" s="59"/>
      <c r="F7" s="212" t="s">
        <v>9</v>
      </c>
      <c r="G7" s="59"/>
      <c r="H7" s="291">
        <f>C73</f>
        <v>77.281571786174482</v>
      </c>
      <c r="J7" s="298"/>
    </row>
    <row r="8" spans="2:10" x14ac:dyDescent="0.25">
      <c r="B8" s="51" t="s">
        <v>10</v>
      </c>
      <c r="C8" s="137"/>
      <c r="D8" s="137">
        <f>YEARFRAC(D7,D5)</f>
        <v>0.47499999999999998</v>
      </c>
      <c r="F8" s="212" t="s">
        <v>11</v>
      </c>
      <c r="H8" s="206">
        <f>H7/H5-1</f>
        <v>1.4502717750847967</v>
      </c>
      <c r="I8" s="295" t="str">
        <f t="array" ref="I8">_xlfn.IFS(H8&gt;15%,"BUY",H8&gt;=0,"HOLD",H8&lt;0,"SELL")</f>
        <v>BUY</v>
      </c>
    </row>
    <row r="9" spans="2:10" x14ac:dyDescent="0.25">
      <c r="D9" s="61"/>
      <c r="F9" t="s">
        <v>12</v>
      </c>
      <c r="H9" s="238">
        <v>1</v>
      </c>
    </row>
    <row r="10" spans="2:10" x14ac:dyDescent="0.25">
      <c r="B10" s="62" t="s">
        <v>13</v>
      </c>
      <c r="C10" s="63"/>
      <c r="D10" s="64"/>
      <c r="F10" s="63"/>
      <c r="G10" s="63"/>
      <c r="H10" s="63"/>
      <c r="I10" s="63"/>
    </row>
    <row r="11" spans="2:10" ht="17.25" customHeight="1" x14ac:dyDescent="0.4">
      <c r="C11" s="65" t="s">
        <v>14</v>
      </c>
      <c r="D11" s="65" t="s">
        <v>15</v>
      </c>
      <c r="E11" s="66" t="s">
        <v>16</v>
      </c>
      <c r="F11" s="65"/>
      <c r="G11" s="65"/>
      <c r="H11" s="65"/>
      <c r="I11" s="65"/>
    </row>
    <row r="12" spans="2:10" x14ac:dyDescent="0.25">
      <c r="B12" s="67" t="s">
        <v>17</v>
      </c>
      <c r="C12" s="68">
        <f>D7</f>
        <v>46213</v>
      </c>
      <c r="D12" s="228">
        <f>D4</f>
        <v>46022</v>
      </c>
      <c r="E12" s="228">
        <f>EOMONTH(D12,12)</f>
        <v>46387</v>
      </c>
      <c r="F12" s="228">
        <f>EOMONTH(E12,12)</f>
        <v>46752</v>
      </c>
      <c r="G12" s="228">
        <f>EOMONTH(F12,12)</f>
        <v>47118</v>
      </c>
      <c r="H12" s="228">
        <f>EOMONTH(G12,12)</f>
        <v>47483</v>
      </c>
      <c r="I12" s="228">
        <f>EOMONTH(H12,12)</f>
        <v>47848</v>
      </c>
    </row>
    <row r="13" spans="2:10" x14ac:dyDescent="0.25">
      <c r="B13" s="67"/>
      <c r="D13" s="175"/>
      <c r="E13" s="182"/>
      <c r="F13" s="182"/>
      <c r="G13" s="182"/>
      <c r="H13" s="182"/>
      <c r="I13" s="181"/>
    </row>
    <row r="14" spans="2:10" x14ac:dyDescent="0.25">
      <c r="B14" s="51" t="s">
        <v>18</v>
      </c>
      <c r="C14" s="155">
        <f>E14*(1-$D$8)+D14*$D$8</f>
        <v>8434398706.1549988</v>
      </c>
      <c r="D14" s="176">
        <f>FSM!F16</f>
        <v>7803673428</v>
      </c>
      <c r="E14" s="176">
        <f>FSM!G16</f>
        <v>9005054910.1999989</v>
      </c>
      <c r="F14" s="176">
        <f>FSM!H16</f>
        <v>9982839798.7380009</v>
      </c>
      <c r="G14" s="176">
        <f>FSM!I16</f>
        <v>10853152446.534201</v>
      </c>
      <c r="H14" s="176">
        <f>FSM!J16</f>
        <v>11652300122.935034</v>
      </c>
      <c r="I14" s="176">
        <f>FSM!K16</f>
        <v>12387864166.878326</v>
      </c>
    </row>
    <row r="15" spans="2:10" x14ac:dyDescent="0.25">
      <c r="B15" s="71" t="s">
        <v>19</v>
      </c>
      <c r="D15" s="177"/>
      <c r="E15" s="177">
        <f>E14/D14-1</f>
        <v>0.15395076348138526</v>
      </c>
      <c r="F15" s="177">
        <f t="shared" ref="F15:I15" si="0">F14/E14-1</f>
        <v>0.10858177971024574</v>
      </c>
      <c r="G15" s="177">
        <f t="shared" si="0"/>
        <v>8.7180868905281095E-2</v>
      </c>
      <c r="H15" s="177">
        <f t="shared" si="0"/>
        <v>7.3632769864577785E-2</v>
      </c>
      <c r="I15" s="177">
        <f t="shared" si="0"/>
        <v>6.3126081218547903E-2</v>
      </c>
    </row>
    <row r="16" spans="2:10" x14ac:dyDescent="0.25">
      <c r="B16" s="51" t="s">
        <v>20</v>
      </c>
      <c r="C16" s="155">
        <f>E16*(1-$D$8)+D16*$D$8</f>
        <v>1115612537.3392887</v>
      </c>
      <c r="D16" s="176">
        <f>FSM!F34</f>
        <v>980780105</v>
      </c>
      <c r="E16" s="176">
        <f>FSM!G34</f>
        <v>1237603785.6462641</v>
      </c>
      <c r="F16" s="176">
        <f>FSM!H34</f>
        <v>1523869500.944854</v>
      </c>
      <c r="G16" s="176">
        <f>FSM!I34</f>
        <v>1975310844.1058924</v>
      </c>
      <c r="H16" s="176">
        <f>FSM!J34</f>
        <v>2248930055.2576833</v>
      </c>
      <c r="I16" s="176">
        <f>FSM!K34</f>
        <v>2405373943.3427377</v>
      </c>
    </row>
    <row r="17" spans="2:13" x14ac:dyDescent="0.25">
      <c r="B17" s="71" t="s">
        <v>21</v>
      </c>
      <c r="D17" s="177">
        <f>D16/D$14</f>
        <v>0.12568184894576806</v>
      </c>
      <c r="E17" s="177">
        <f t="shared" ref="E17:I17" si="1">E16/E$14</f>
        <v>0.13743434082166828</v>
      </c>
      <c r="F17" s="177">
        <f t="shared" si="1"/>
        <v>0.15264889867685713</v>
      </c>
      <c r="G17" s="177">
        <f t="shared" si="1"/>
        <v>0.18200341825445193</v>
      </c>
      <c r="H17" s="177">
        <f t="shared" si="1"/>
        <v>0.19300310080677982</v>
      </c>
      <c r="I17" s="177">
        <f t="shared" si="1"/>
        <v>0.19417180483573857</v>
      </c>
    </row>
    <row r="18" spans="2:13" x14ac:dyDescent="0.25">
      <c r="B18" s="51" t="s">
        <v>22</v>
      </c>
      <c r="C18" s="155">
        <f>E18*(1-$D$8)+D18*$D$8</f>
        <v>868165559.46220219</v>
      </c>
      <c r="D18" s="176">
        <f>FSM!F24</f>
        <v>742568366</v>
      </c>
      <c r="E18" s="176">
        <f>FSM!G24</f>
        <v>981801115.4518137</v>
      </c>
      <c r="F18" s="176">
        <f>FSM!H24</f>
        <v>1238149424.8701458</v>
      </c>
      <c r="G18" s="176">
        <f>FSM!I24</f>
        <v>1656703524.6837828</v>
      </c>
      <c r="H18" s="176">
        <f>FSM!J24</f>
        <v>1895214195.2800102</v>
      </c>
      <c r="I18" s="176">
        <f>FSM!K24</f>
        <v>2014851640.4978018</v>
      </c>
    </row>
    <row r="19" spans="2:13" x14ac:dyDescent="0.25">
      <c r="B19" s="71" t="s">
        <v>21</v>
      </c>
      <c r="D19" s="177">
        <f>D18/D$14</f>
        <v>9.5156258504568478E-2</v>
      </c>
      <c r="E19" s="177">
        <f t="shared" ref="E19:I19" si="2">E18/E$14</f>
        <v>0.10902777664795031</v>
      </c>
      <c r="F19" s="177">
        <f t="shared" si="2"/>
        <v>0.1240277766479503</v>
      </c>
      <c r="G19" s="177">
        <f t="shared" si="2"/>
        <v>0.15264721774112991</v>
      </c>
      <c r="H19" s="177">
        <f t="shared" si="2"/>
        <v>0.16264721774113</v>
      </c>
      <c r="I19" s="177">
        <f t="shared" si="2"/>
        <v>0.16264721774113006</v>
      </c>
    </row>
    <row r="20" spans="2:13" x14ac:dyDescent="0.25">
      <c r="B20" s="71"/>
      <c r="D20" s="176"/>
      <c r="E20" s="176"/>
      <c r="F20" s="176"/>
      <c r="G20" s="176"/>
      <c r="H20" s="176"/>
      <c r="I20" s="176"/>
    </row>
    <row r="21" spans="2:13" x14ac:dyDescent="0.25">
      <c r="B21" s="51" t="s">
        <v>23</v>
      </c>
      <c r="D21" s="178">
        <f>D18*D22</f>
        <v>325504058.54267639</v>
      </c>
      <c r="E21" s="178">
        <f t="shared" ref="E21:I21" si="3">E18*E22</f>
        <v>220905250.97665808</v>
      </c>
      <c r="F21" s="178">
        <f t="shared" si="3"/>
        <v>278583620.59578282</v>
      </c>
      <c r="G21" s="178">
        <f t="shared" si="3"/>
        <v>372758293.05385113</v>
      </c>
      <c r="H21" s="178">
        <f t="shared" si="3"/>
        <v>426423193.93800229</v>
      </c>
      <c r="I21" s="178">
        <f t="shared" si="3"/>
        <v>453341619.11200541</v>
      </c>
    </row>
    <row r="22" spans="2:13" ht="15" customHeight="1" x14ac:dyDescent="0.25">
      <c r="B22" s="71" t="s">
        <v>24</v>
      </c>
      <c r="D22" s="179">
        <f>FSM!F45</f>
        <v>0.43834894327113905</v>
      </c>
      <c r="E22" s="179">
        <f>FSM!G45</f>
        <v>0.22500000000000001</v>
      </c>
      <c r="F22" s="179">
        <f>FSM!H45</f>
        <v>0.22500000000000001</v>
      </c>
      <c r="G22" s="179">
        <f>FSM!I45</f>
        <v>0.22500000000000001</v>
      </c>
      <c r="H22" s="179">
        <f>FSM!J45</f>
        <v>0.22500000000000001</v>
      </c>
      <c r="I22" s="179">
        <f>FSM!K45</f>
        <v>0.22500000000000001</v>
      </c>
    </row>
    <row r="23" spans="2:13" x14ac:dyDescent="0.25">
      <c r="B23" s="72" t="s">
        <v>25</v>
      </c>
      <c r="C23" s="72"/>
      <c r="D23" s="180">
        <f>D18*(1-D22)</f>
        <v>417064307.45732361</v>
      </c>
      <c r="E23" s="180">
        <f t="shared" ref="E23:I23" si="4">E18*(1-E22)</f>
        <v>760895864.47515559</v>
      </c>
      <c r="F23" s="180">
        <f t="shared" si="4"/>
        <v>959565804.27436304</v>
      </c>
      <c r="G23" s="180">
        <f t="shared" si="4"/>
        <v>1283945231.6299317</v>
      </c>
      <c r="H23" s="180">
        <f t="shared" si="4"/>
        <v>1468791001.3420079</v>
      </c>
      <c r="I23" s="180">
        <f t="shared" si="4"/>
        <v>1561510021.3857963</v>
      </c>
    </row>
    <row r="24" spans="2:13" x14ac:dyDescent="0.25">
      <c r="D24" s="69"/>
      <c r="E24" s="69"/>
      <c r="F24" s="69"/>
      <c r="G24" s="69"/>
      <c r="H24" s="69"/>
      <c r="I24" s="69"/>
    </row>
    <row r="25" spans="2:13" x14ac:dyDescent="0.25">
      <c r="B25" s="51" t="s">
        <v>26</v>
      </c>
      <c r="D25" s="70"/>
      <c r="E25" s="70">
        <f>FSM!G152</f>
        <v>255802670.19445029</v>
      </c>
      <c r="F25" s="70">
        <f>FSM!H152</f>
        <v>285720076.07470816</v>
      </c>
      <c r="G25" s="70">
        <f>FSM!I152</f>
        <v>318607319.4221096</v>
      </c>
      <c r="H25" s="70">
        <f>FSM!J152</f>
        <v>353715859.97767323</v>
      </c>
      <c r="I25" s="70">
        <f>FSM!K152</f>
        <v>390522302.84493595</v>
      </c>
      <c r="M25" s="74"/>
    </row>
    <row r="26" spans="2:13" x14ac:dyDescent="0.25">
      <c r="B26" s="51" t="s">
        <v>27</v>
      </c>
      <c r="D26" s="69"/>
      <c r="E26" s="69">
        <f>D32-E32</f>
        <v>-484043876.89230871</v>
      </c>
      <c r="F26" s="69">
        <f t="shared" ref="F26:I26" si="5">E32-F32</f>
        <v>-321401249.8452282</v>
      </c>
      <c r="G26" s="69">
        <f t="shared" si="5"/>
        <v>-233090729.76548195</v>
      </c>
      <c r="H26" s="69">
        <f t="shared" si="5"/>
        <v>-235020343.52322531</v>
      </c>
      <c r="I26" s="69">
        <f t="shared" si="5"/>
        <v>-247918730.20518017</v>
      </c>
      <c r="M26" s="74"/>
    </row>
    <row r="27" spans="2:13" x14ac:dyDescent="0.25">
      <c r="B27" s="51" t="s">
        <v>28</v>
      </c>
      <c r="D27" s="70"/>
      <c r="E27" s="70">
        <f>-FSM!G141</f>
        <v>-472151736.54346138</v>
      </c>
      <c r="F27" s="70">
        <f>-FSM!H141</f>
        <v>-523418812.3906334</v>
      </c>
      <c r="G27" s="70">
        <f>-FSM!I141</f>
        <v>-569050919.25621915</v>
      </c>
      <c r="H27" s="70">
        <f>-FSM!J141</f>
        <v>-610951714.63503885</v>
      </c>
      <c r="I27" s="70">
        <f>-FSM!K141</f>
        <v>-649518702.19370139</v>
      </c>
      <c r="M27" s="74"/>
    </row>
    <row r="28" spans="2:13" x14ac:dyDescent="0.25">
      <c r="B28" s="71" t="s">
        <v>29</v>
      </c>
      <c r="D28" s="1"/>
      <c r="E28" s="1">
        <f>E27/E14</f>
        <v>-5.2431855358111866E-2</v>
      </c>
      <c r="F28" s="1">
        <f t="shared" ref="F28:I28" si="6">F27/F14</f>
        <v>-5.2431855358111866E-2</v>
      </c>
      <c r="G28" s="1">
        <f t="shared" si="6"/>
        <v>-5.2431855358111866E-2</v>
      </c>
      <c r="H28" s="1">
        <f t="shared" si="6"/>
        <v>-5.2431855358111873E-2</v>
      </c>
      <c r="I28" s="1">
        <f t="shared" si="6"/>
        <v>-5.2431855358111866E-2</v>
      </c>
      <c r="M28" s="74"/>
    </row>
    <row r="29" spans="2:13" x14ac:dyDescent="0.25">
      <c r="B29" s="212"/>
      <c r="D29" s="70"/>
      <c r="E29" s="70"/>
      <c r="F29" s="70"/>
      <c r="G29" s="70"/>
      <c r="H29" s="70"/>
      <c r="I29" s="70"/>
      <c r="M29" s="74"/>
    </row>
    <row r="30" spans="2:13" x14ac:dyDescent="0.25">
      <c r="B30" s="72" t="s">
        <v>30</v>
      </c>
      <c r="C30" s="72"/>
      <c r="D30" s="73"/>
      <c r="E30" s="73">
        <f>E23+E25+E26+E27</f>
        <v>60502921.233835757</v>
      </c>
      <c r="F30" s="73">
        <f t="shared" ref="F30:I30" si="7">F23+F25+F26+F27</f>
        <v>400465818.11320966</v>
      </c>
      <c r="G30" s="73">
        <f t="shared" si="7"/>
        <v>800410902.03034019</v>
      </c>
      <c r="H30" s="73">
        <f t="shared" si="7"/>
        <v>976534803.16141701</v>
      </c>
      <c r="I30" s="73">
        <f t="shared" si="7"/>
        <v>1054594891.8318506</v>
      </c>
      <c r="M30" s="73"/>
    </row>
    <row r="31" spans="2:13" x14ac:dyDescent="0.25">
      <c r="D31" s="70"/>
      <c r="E31" s="70"/>
      <c r="F31" s="70"/>
      <c r="G31" s="70"/>
      <c r="H31" s="70"/>
      <c r="I31" s="70"/>
      <c r="M31" s="74"/>
    </row>
    <row r="32" spans="2:13" x14ac:dyDescent="0.25">
      <c r="B32" s="51" t="s">
        <v>31</v>
      </c>
      <c r="C32" s="70"/>
      <c r="D32" s="70">
        <f>FSM!F184</f>
        <v>2871505717</v>
      </c>
      <c r="E32" s="70">
        <f>FSM!G184</f>
        <v>3355549593.8923087</v>
      </c>
      <c r="F32" s="70">
        <f>FSM!H184</f>
        <v>3676950843.7375369</v>
      </c>
      <c r="G32" s="70">
        <f>FSM!I184</f>
        <v>3910041573.5030189</v>
      </c>
      <c r="H32" s="70">
        <f>FSM!J184</f>
        <v>4145061917.0262442</v>
      </c>
      <c r="I32" s="70">
        <f>FSM!K184</f>
        <v>4392980647.2314243</v>
      </c>
    </row>
    <row r="33" spans="2:13" x14ac:dyDescent="0.25">
      <c r="B33" s="71" t="s">
        <v>29</v>
      </c>
      <c r="D33" s="60">
        <f>D32/D14</f>
        <v>0.36796846299293906</v>
      </c>
      <c r="E33" s="60">
        <f t="shared" ref="E33:I33" si="8">E32/E14</f>
        <v>0.37262955388439528</v>
      </c>
      <c r="F33" s="60">
        <f t="shared" si="8"/>
        <v>0.36832714116101167</v>
      </c>
      <c r="G33" s="60">
        <f t="shared" si="8"/>
        <v>0.36026782013475123</v>
      </c>
      <c r="H33" s="60">
        <f t="shared" si="8"/>
        <v>0.35572907265472725</v>
      </c>
      <c r="I33" s="60">
        <f t="shared" si="8"/>
        <v>0.35461969779883623</v>
      </c>
      <c r="J33" s="70"/>
    </row>
    <row r="34" spans="2:13" x14ac:dyDescent="0.25">
      <c r="E34" s="60"/>
      <c r="F34" s="60"/>
      <c r="G34" s="60"/>
      <c r="H34" s="60"/>
      <c r="I34" s="60"/>
      <c r="J34" s="70"/>
      <c r="K34" s="75"/>
      <c r="M34" s="60"/>
    </row>
    <row r="35" spans="2:13" x14ac:dyDescent="0.25">
      <c r="B35" s="62" t="str">
        <f>"Present value of UFCF on "&amp;TEXT(D7,"mmm dd, yyyy")&amp;" valuation date"</f>
        <v>Present value of UFCF on Jul 10, 2026 valuation date</v>
      </c>
      <c r="C35" s="63"/>
      <c r="D35" s="76"/>
      <c r="E35" s="63"/>
      <c r="F35" s="76"/>
      <c r="G35" s="76"/>
      <c r="H35" s="76"/>
      <c r="I35" s="76"/>
      <c r="J35" s="70"/>
    </row>
    <row r="36" spans="2:13" ht="17.25" customHeight="1" x14ac:dyDescent="0.4">
      <c r="B36" s="72"/>
      <c r="D36" s="77" t="s">
        <v>32</v>
      </c>
      <c r="E36" s="77" t="s">
        <v>33</v>
      </c>
      <c r="F36" s="78" t="s">
        <v>34</v>
      </c>
      <c r="G36" s="78" t="s">
        <v>35</v>
      </c>
      <c r="H36" s="78" t="s">
        <v>36</v>
      </c>
      <c r="I36" s="78" t="s">
        <v>37</v>
      </c>
      <c r="J36" s="70"/>
    </row>
    <row r="37" spans="2:13" x14ac:dyDescent="0.25">
      <c r="B37" s="51" t="s">
        <v>38</v>
      </c>
      <c r="D37" s="79">
        <f>D7</f>
        <v>46213</v>
      </c>
      <c r="E37" s="156">
        <f>IF($H$9=1,AVERAGE(E12,D37),E12)</f>
        <v>46300</v>
      </c>
      <c r="F37" s="156">
        <f>IF($H$9=1,AVERAGE(F12,E12),F12)</f>
        <v>46569.5</v>
      </c>
      <c r="G37" s="156">
        <f>IF($H$9=1,AVERAGE(G12,F12),G12)</f>
        <v>46935</v>
      </c>
      <c r="H37" s="156">
        <f>IF($H$9=1,AVERAGE(H12,G12),H12)</f>
        <v>47300.5</v>
      </c>
      <c r="I37" s="156">
        <f>IF($H$9=1,AVERAGE(I12,H12),I12)</f>
        <v>47665.5</v>
      </c>
      <c r="J37" s="70"/>
    </row>
    <row r="38" spans="2:13" x14ac:dyDescent="0.25">
      <c r="B38" s="51" t="s">
        <v>39</v>
      </c>
      <c r="C38" s="80">
        <f>D8</f>
        <v>0.47499999999999998</v>
      </c>
      <c r="D38" s="74"/>
      <c r="E38" s="81">
        <f>E30*C38</f>
        <v>28738887.586071983</v>
      </c>
      <c r="F38" s="81">
        <f>F30</f>
        <v>400465818.11320966</v>
      </c>
      <c r="G38" s="81">
        <f t="shared" ref="G38:I38" si="9">G30</f>
        <v>800410902.03034019</v>
      </c>
      <c r="H38" s="81">
        <f t="shared" si="9"/>
        <v>976534803.16141701</v>
      </c>
      <c r="I38" s="81">
        <f t="shared" si="9"/>
        <v>1054594891.8318506</v>
      </c>
      <c r="J38" s="69"/>
    </row>
    <row r="39" spans="2:13" ht="15" customHeight="1" x14ac:dyDescent="0.25">
      <c r="B39" s="72" t="s">
        <v>40</v>
      </c>
      <c r="C39" s="82"/>
      <c r="D39" s="73"/>
      <c r="E39" s="73">
        <f>E38/(1+$H$4)^((E37-$D$37)/365)</f>
        <v>27540480.0554417</v>
      </c>
      <c r="F39" s="73">
        <f t="shared" ref="F39:I39" si="10">F38/(1+$H$4)^((F37-$D$37)/365)</f>
        <v>336329021.00319368</v>
      </c>
      <c r="G39" s="73">
        <f t="shared" si="10"/>
        <v>562078720.4310962</v>
      </c>
      <c r="H39" s="73">
        <f t="shared" si="10"/>
        <v>573399265.55576992</v>
      </c>
      <c r="I39" s="73">
        <f t="shared" si="10"/>
        <v>517900870.17023957</v>
      </c>
      <c r="J39" s="69"/>
    </row>
    <row r="41" spans="2:13" x14ac:dyDescent="0.25">
      <c r="B41" s="62" t="s">
        <v>41</v>
      </c>
      <c r="C41" s="62"/>
      <c r="E41" s="62" t="s">
        <v>42</v>
      </c>
      <c r="F41" s="63"/>
      <c r="G41" s="63"/>
      <c r="H41" s="63"/>
      <c r="I41" s="63"/>
    </row>
    <row r="42" spans="2:13" x14ac:dyDescent="0.25">
      <c r="B42" s="51" t="s">
        <v>43</v>
      </c>
      <c r="C42" s="83">
        <v>0.1</v>
      </c>
      <c r="E42" s="51" t="s">
        <v>44</v>
      </c>
      <c r="I42" s="74">
        <f>I16</f>
        <v>2405373943.3427377</v>
      </c>
      <c r="J42" s="74"/>
    </row>
    <row r="43" spans="2:13" x14ac:dyDescent="0.25">
      <c r="B43" s="84" t="str">
        <f>YEAR(I12)&amp;" FCF x (1+g)"</f>
        <v>2030 FCF x (1+g)</v>
      </c>
      <c r="C43" s="74">
        <f>I38*(1+C42)</f>
        <v>1160054381.0150359</v>
      </c>
      <c r="E43" s="51" t="s">
        <v>45</v>
      </c>
      <c r="I43" s="262">
        <v>4.5999999999999996</v>
      </c>
      <c r="J43" s="85"/>
    </row>
    <row r="44" spans="2:13" x14ac:dyDescent="0.25">
      <c r="B44" s="51" t="str">
        <f>"Terminal value in "&amp;YEAR(I12)</f>
        <v>Terminal value in 2030</v>
      </c>
      <c r="C44" s="74">
        <f>C43/(H4-C42)</f>
        <v>12126594756.566374</v>
      </c>
      <c r="E44" s="51" t="str">
        <f>"Terminal value in "&amp;YEAR(I12)</f>
        <v>Terminal value in 2030</v>
      </c>
      <c r="I44" s="74">
        <f>I42*I43</f>
        <v>11064720139.376593</v>
      </c>
      <c r="J44" s="74"/>
    </row>
    <row r="45" spans="2:13" x14ac:dyDescent="0.25">
      <c r="B45" s="51" t="s">
        <v>46</v>
      </c>
      <c r="C45" s="74">
        <f>C44/(1+$H$4)^((I37-D37)/365)</f>
        <v>5955247863.6782169</v>
      </c>
      <c r="E45" s="51" t="s">
        <v>46</v>
      </c>
      <c r="I45" s="74">
        <f>I44/(1+H4)^((I37-D37)/365)</f>
        <v>5433771994.1156292</v>
      </c>
      <c r="J45" s="74"/>
    </row>
    <row r="46" spans="2:13" x14ac:dyDescent="0.25">
      <c r="B46" s="51" t="s">
        <v>47</v>
      </c>
      <c r="C46" s="69">
        <f>SUM(E39:I39)</f>
        <v>2017248357.2157412</v>
      </c>
      <c r="E46" s="51" t="s">
        <v>47</v>
      </c>
      <c r="I46" s="74">
        <f>C46</f>
        <v>2017248357.2157412</v>
      </c>
      <c r="J46" s="74"/>
    </row>
    <row r="47" spans="2:13" x14ac:dyDescent="0.25">
      <c r="B47" s="72" t="s">
        <v>48</v>
      </c>
      <c r="C47" s="86">
        <f>C45+C46</f>
        <v>7972496220.8939581</v>
      </c>
      <c r="E47" s="72" t="s">
        <v>49</v>
      </c>
      <c r="I47" s="86">
        <f>I45+I46</f>
        <v>7451020351.3313704</v>
      </c>
      <c r="J47" s="86"/>
    </row>
    <row r="49" spans="2:10" x14ac:dyDescent="0.25">
      <c r="B49" s="87" t="s">
        <v>50</v>
      </c>
      <c r="C49" s="88">
        <f>C45/C47</f>
        <v>0.74697405914987736</v>
      </c>
      <c r="E49" s="87" t="s">
        <v>50</v>
      </c>
      <c r="I49" s="88">
        <f>I45/I47</f>
        <v>0.72926548820185499</v>
      </c>
      <c r="J49" s="88"/>
    </row>
    <row r="50" spans="2:10" x14ac:dyDescent="0.25">
      <c r="B50" s="87" t="s">
        <v>51</v>
      </c>
      <c r="C50" s="88">
        <f>1-C49</f>
        <v>0.25302594085012264</v>
      </c>
      <c r="E50" s="87" t="s">
        <v>52</v>
      </c>
      <c r="G50" s="89"/>
      <c r="I50" s="90">
        <f>1-I49</f>
        <v>0.27073451179814501</v>
      </c>
      <c r="J50" s="90"/>
    </row>
    <row r="51" spans="2:10" x14ac:dyDescent="0.25">
      <c r="B51" s="87" t="s">
        <v>53</v>
      </c>
      <c r="C51" s="332">
        <f>C44/I16</f>
        <v>5.0414592667093157</v>
      </c>
      <c r="E51" s="51" t="s">
        <v>54</v>
      </c>
      <c r="I51" s="217">
        <f>(H4-I38/I44)/(1+I38/I44)</f>
        <v>9.1618251048310964E-2</v>
      </c>
      <c r="J51" s="92"/>
    </row>
    <row r="52" spans="2:10" x14ac:dyDescent="0.25">
      <c r="B52" s="87"/>
      <c r="C52" s="67"/>
      <c r="D52" s="91"/>
      <c r="I52" s="92"/>
      <c r="J52" s="92"/>
    </row>
    <row r="53" spans="2:10" x14ac:dyDescent="0.25">
      <c r="B53" s="62" t="s">
        <v>55</v>
      </c>
      <c r="C53" s="63"/>
      <c r="E53" s="62" t="s">
        <v>56</v>
      </c>
      <c r="F53" s="63"/>
      <c r="G53" s="62"/>
      <c r="H53" s="63"/>
      <c r="I53" s="63"/>
    </row>
    <row r="54" spans="2:10" x14ac:dyDescent="0.25">
      <c r="B54" s="51" t="s">
        <v>57</v>
      </c>
      <c r="C54" s="189" t="s">
        <v>58</v>
      </c>
    </row>
    <row r="55" spans="2:10" x14ac:dyDescent="0.25">
      <c r="B55" s="93" t="s">
        <v>59</v>
      </c>
      <c r="C55" s="58" t="s">
        <v>60</v>
      </c>
      <c r="G55" s="94" t="s">
        <v>57</v>
      </c>
      <c r="H55" s="95" t="s">
        <v>61</v>
      </c>
      <c r="I55" s="95" t="s">
        <v>62</v>
      </c>
    </row>
    <row r="56" spans="2:10" x14ac:dyDescent="0.25">
      <c r="B56" s="96" t="s">
        <v>63</v>
      </c>
      <c r="C56" s="97"/>
      <c r="E56" s="51" t="s">
        <v>64</v>
      </c>
      <c r="G56" s="190" t="s">
        <v>58</v>
      </c>
      <c r="H56" s="58" t="s">
        <v>60</v>
      </c>
      <c r="I56" s="187">
        <v>80000000</v>
      </c>
      <c r="J56" s="98"/>
    </row>
    <row r="57" spans="2:10" x14ac:dyDescent="0.25">
      <c r="B57" s="71" t="s">
        <v>65</v>
      </c>
      <c r="C57" s="100">
        <f>FSM!F71+FSM!F73+FSM!F74+FSM!F81+FSM!F82+FSM!F83</f>
        <v>1976028881</v>
      </c>
      <c r="E57" s="93" t="s">
        <v>66</v>
      </c>
      <c r="G57" s="190"/>
      <c r="H57" s="58"/>
      <c r="I57" s="184"/>
      <c r="J57" s="99"/>
    </row>
    <row r="58" spans="2:10" x14ac:dyDescent="0.25">
      <c r="B58" s="71" t="s">
        <v>67</v>
      </c>
      <c r="C58" s="184"/>
      <c r="E58" s="93" t="s">
        <v>68</v>
      </c>
      <c r="G58" s="58"/>
      <c r="H58" s="58"/>
      <c r="I58" s="184"/>
    </row>
    <row r="59" spans="2:10" ht="15" customHeight="1" x14ac:dyDescent="0.25">
      <c r="B59" s="71" t="s">
        <v>69</v>
      </c>
      <c r="C59" s="184"/>
      <c r="E59" s="51" t="s">
        <v>67</v>
      </c>
      <c r="G59" s="58"/>
      <c r="H59" s="58"/>
      <c r="I59" s="184"/>
    </row>
    <row r="60" spans="2:10" x14ac:dyDescent="0.25">
      <c r="B60" s="101" t="s">
        <v>70</v>
      </c>
      <c r="C60" s="100">
        <f>FSM!F96</f>
        <v>127973731</v>
      </c>
      <c r="E60" s="51" t="s">
        <v>71</v>
      </c>
      <c r="G60" s="58"/>
      <c r="H60" s="58"/>
      <c r="I60" s="184"/>
    </row>
    <row r="61" spans="2:10" ht="15" customHeight="1" x14ac:dyDescent="0.25">
      <c r="B61" s="96" t="s">
        <v>72</v>
      </c>
      <c r="C61" s="100"/>
      <c r="E61" s="102" t="s">
        <v>73</v>
      </c>
      <c r="I61" s="188">
        <f>SUM(I56:I60)</f>
        <v>80000000</v>
      </c>
      <c r="J61" s="103"/>
    </row>
    <row r="62" spans="2:10" x14ac:dyDescent="0.25">
      <c r="B62" s="104" t="s">
        <v>74</v>
      </c>
      <c r="C62" s="100">
        <f>FSM!F55</f>
        <v>313950137</v>
      </c>
      <c r="J62" s="105"/>
    </row>
    <row r="63" spans="2:10" x14ac:dyDescent="0.25">
      <c r="B63" s="104" t="s">
        <v>75</v>
      </c>
      <c r="C63" s="100">
        <f>FSM!F62</f>
        <v>81997</v>
      </c>
      <c r="J63" s="105"/>
    </row>
    <row r="64" spans="2:10" x14ac:dyDescent="0.25">
      <c r="B64" s="104" t="s">
        <v>76</v>
      </c>
      <c r="C64" s="100"/>
      <c r="J64" s="106"/>
    </row>
    <row r="65" spans="2:6" x14ac:dyDescent="0.25">
      <c r="B65" s="107" t="s">
        <v>55</v>
      </c>
      <c r="C65" s="14">
        <f>SUM(C57:C60)-SUM(C62:C64)</f>
        <v>1789970478</v>
      </c>
    </row>
    <row r="67" spans="2:6" x14ac:dyDescent="0.25">
      <c r="B67" s="62" t="s">
        <v>77</v>
      </c>
      <c r="C67" s="63"/>
      <c r="D67" s="63"/>
    </row>
    <row r="68" spans="2:6" ht="17.25" customHeight="1" x14ac:dyDescent="0.4">
      <c r="C68" s="108" t="s">
        <v>78</v>
      </c>
      <c r="D68" s="108" t="s">
        <v>20</v>
      </c>
    </row>
    <row r="69" spans="2:6" x14ac:dyDescent="0.25">
      <c r="B69" s="51" t="s">
        <v>79</v>
      </c>
      <c r="C69" s="109">
        <f>C47</f>
        <v>7972496220.8939581</v>
      </c>
      <c r="D69" s="109">
        <f>I47</f>
        <v>7451020351.3313704</v>
      </c>
    </row>
    <row r="70" spans="2:6" x14ac:dyDescent="0.25">
      <c r="B70" s="51" t="s">
        <v>55</v>
      </c>
      <c r="C70" s="110">
        <f>$C$65</f>
        <v>1789970478</v>
      </c>
      <c r="D70" s="110">
        <f t="shared" ref="D70" si="11">$C$65</f>
        <v>1789970478</v>
      </c>
    </row>
    <row r="71" spans="2:6" x14ac:dyDescent="0.25">
      <c r="B71" s="51" t="s">
        <v>80</v>
      </c>
      <c r="C71" s="111">
        <f>C69-C70</f>
        <v>6182525742.8939581</v>
      </c>
      <c r="D71" s="111">
        <f t="shared" ref="D71" si="12">D69-D70</f>
        <v>5661049873.3313704</v>
      </c>
    </row>
    <row r="72" spans="2:6" x14ac:dyDescent="0.25">
      <c r="B72" s="51" t="s">
        <v>56</v>
      </c>
      <c r="C72" s="213">
        <f>$I$61</f>
        <v>80000000</v>
      </c>
      <c r="D72" s="213">
        <f>$I$61</f>
        <v>80000000</v>
      </c>
    </row>
    <row r="73" spans="2:6" x14ac:dyDescent="0.25">
      <c r="B73" s="72" t="s">
        <v>81</v>
      </c>
      <c r="C73" s="291">
        <f>C71/C72</f>
        <v>77.281571786174482</v>
      </c>
      <c r="D73" s="291">
        <f t="shared" ref="D73" si="13">D71/D72</f>
        <v>70.763123416642131</v>
      </c>
    </row>
    <row r="75" spans="2:6" ht="17.25" customHeight="1" x14ac:dyDescent="0.4">
      <c r="C75" s="65" t="s">
        <v>82</v>
      </c>
      <c r="D75" s="65"/>
    </row>
    <row r="76" spans="2:6" x14ac:dyDescent="0.25">
      <c r="B76" s="94"/>
      <c r="C76" s="95" t="s">
        <v>78</v>
      </c>
      <c r="D76" s="95" t="s">
        <v>20</v>
      </c>
    </row>
    <row r="77" spans="2:6" x14ac:dyDescent="0.25">
      <c r="B77" s="51" t="s">
        <v>83</v>
      </c>
      <c r="C77" s="232">
        <f>C69/$C$14</f>
        <v>0.94523587260299091</v>
      </c>
      <c r="D77" s="232">
        <f>D69/$C$14</f>
        <v>0.88340859982039877</v>
      </c>
    </row>
    <row r="78" spans="2:6" x14ac:dyDescent="0.25">
      <c r="B78" s="51" t="s">
        <v>84</v>
      </c>
      <c r="C78" s="233">
        <f>C69/$C$16</f>
        <v>7.1462949313102788</v>
      </c>
      <c r="D78" s="233">
        <f>D69/$C$16</f>
        <v>6.6788603587244451</v>
      </c>
    </row>
    <row r="79" spans="2:6" x14ac:dyDescent="0.25">
      <c r="B79" s="69" t="s">
        <v>85</v>
      </c>
      <c r="C79" s="233">
        <f>C69/$C$18</f>
        <v>9.1831519161306474</v>
      </c>
      <c r="D79" s="233">
        <f>D69/$C$18</f>
        <v>8.5824878332503918</v>
      </c>
    </row>
    <row r="80" spans="2:6" ht="17.25" customHeight="1" x14ac:dyDescent="0.4">
      <c r="B80" s="69"/>
      <c r="C80" s="65" t="s">
        <v>86</v>
      </c>
      <c r="D80" s="65"/>
      <c r="E80" s="112"/>
      <c r="F80" s="112"/>
    </row>
    <row r="81" spans="2:17" x14ac:dyDescent="0.25">
      <c r="B81" s="94"/>
      <c r="C81" s="95" t="s">
        <v>78</v>
      </c>
      <c r="D81" s="95" t="s">
        <v>20</v>
      </c>
      <c r="E81" s="112"/>
      <c r="F81" s="112"/>
    </row>
    <row r="82" spans="2:17" x14ac:dyDescent="0.25">
      <c r="B82" s="51" t="s">
        <v>83</v>
      </c>
      <c r="C82" s="232">
        <f>C69/$E$14</f>
        <v>0.88533565873802011</v>
      </c>
      <c r="D82" s="232">
        <f>D69/$E$14</f>
        <v>0.82742642056425686</v>
      </c>
      <c r="E82" s="112"/>
      <c r="F82" s="112"/>
    </row>
    <row r="83" spans="2:17" x14ac:dyDescent="0.25">
      <c r="B83" s="51" t="s">
        <v>84</v>
      </c>
      <c r="C83" s="233">
        <f>C69/$E$16</f>
        <v>6.4418809261566716</v>
      </c>
      <c r="D83" s="233">
        <f>D69/$E$16</f>
        <v>6.0205216223062239</v>
      </c>
      <c r="E83" s="112"/>
      <c r="F83" s="112"/>
    </row>
    <row r="84" spans="2:17" x14ac:dyDescent="0.25">
      <c r="B84" s="69" t="s">
        <v>85</v>
      </c>
      <c r="C84" s="233">
        <f>C69/$E$18</f>
        <v>8.120276189770987</v>
      </c>
      <c r="D84" s="233">
        <f>D69/$E$18</f>
        <v>7.5891341271317412</v>
      </c>
      <c r="E84" s="112"/>
      <c r="F84" s="112"/>
    </row>
    <row r="86" spans="2:17" x14ac:dyDescent="0.25">
      <c r="B86" s="62" t="s">
        <v>87</v>
      </c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</row>
    <row r="87" spans="2:17" x14ac:dyDescent="0.25">
      <c r="B87" s="72"/>
    </row>
    <row r="88" spans="2:17" ht="17.25" customHeight="1" x14ac:dyDescent="0.4">
      <c r="B88" s="113"/>
      <c r="C88" s="72"/>
      <c r="D88" s="114" t="s">
        <v>81</v>
      </c>
      <c r="E88" s="65"/>
      <c r="F88" s="65"/>
      <c r="G88" s="65"/>
      <c r="H88" s="65"/>
      <c r="I88" s="65"/>
      <c r="J88" s="115"/>
      <c r="L88" s="114" t="s">
        <v>88</v>
      </c>
      <c r="M88" s="65"/>
      <c r="N88" s="65"/>
      <c r="O88" s="65"/>
      <c r="P88" s="65"/>
      <c r="Q88" s="65"/>
    </row>
    <row r="89" spans="2:17" ht="15" customHeight="1" x14ac:dyDescent="0.25">
      <c r="B89" s="113"/>
      <c r="D89" s="93"/>
      <c r="E89" s="116" t="s">
        <v>89</v>
      </c>
      <c r="F89" s="116"/>
      <c r="G89" s="116"/>
      <c r="H89" s="116"/>
      <c r="I89" s="116"/>
      <c r="J89" s="117"/>
      <c r="L89" s="116" t="s">
        <v>89</v>
      </c>
      <c r="M89" s="116"/>
      <c r="N89" s="116"/>
      <c r="O89" s="116"/>
      <c r="P89" s="116"/>
      <c r="Q89" s="116"/>
    </row>
    <row r="90" spans="2:17" ht="15" customHeight="1" x14ac:dyDescent="0.25">
      <c r="B90" s="113"/>
      <c r="C90" s="118"/>
      <c r="D90" s="159">
        <f>C73</f>
        <v>77.281571786174482</v>
      </c>
      <c r="E90" s="193">
        <f>F90-0.005</f>
        <v>0.09</v>
      </c>
      <c r="F90" s="194">
        <f>G90-0.005</f>
        <v>9.5000000000000001E-2</v>
      </c>
      <c r="G90" s="119">
        <f>$C$42</f>
        <v>0.1</v>
      </c>
      <c r="H90" s="194">
        <f>G90+0.005</f>
        <v>0.10500000000000001</v>
      </c>
      <c r="I90" s="218">
        <f>H90+0.005</f>
        <v>0.11000000000000001</v>
      </c>
      <c r="K90" s="123"/>
      <c r="L90" s="120">
        <f>C78</f>
        <v>7.1462949313102788</v>
      </c>
      <c r="M90" s="193">
        <f>N90-0.005</f>
        <v>0.09</v>
      </c>
      <c r="N90" s="194">
        <f>O90-0.005</f>
        <v>9.5000000000000001E-2</v>
      </c>
      <c r="O90" s="119">
        <f>$C$42</f>
        <v>0.1</v>
      </c>
      <c r="P90" s="194">
        <f>O90+0.005</f>
        <v>0.10500000000000001</v>
      </c>
      <c r="Q90" s="218">
        <f>P90+0.005</f>
        <v>0.11000000000000001</v>
      </c>
    </row>
    <row r="91" spans="2:17" ht="15" customHeight="1" x14ac:dyDescent="0.25">
      <c r="B91" s="113"/>
      <c r="D91" s="191">
        <f>D92+0.01</f>
        <v>0.21566200605383334</v>
      </c>
      <c r="E91" s="121">
        <f t="dataTable" ref="E91:I95" dt2D="1" dtr="1" r1="C42" r2="H4" ca="1"/>
        <v>54.352591864075194</v>
      </c>
      <c r="F91" s="121">
        <v>52.109140961553251</v>
      </c>
      <c r="G91" s="121">
        <v>52.109140961553251</v>
      </c>
      <c r="H91" s="121">
        <v>54.352591864075194</v>
      </c>
      <c r="I91" s="121">
        <v>59.421391989681958</v>
      </c>
      <c r="J91" s="122"/>
      <c r="L91" s="191">
        <f>L92+0.01</f>
        <v>0.21566200605383334</v>
      </c>
      <c r="M91" s="123">
        <f t="dataTable" ref="M91:Q95" dt2D="1" dtr="1" r1="C42" r2="H4" ca="1"/>
        <v>5.5020696000471938</v>
      </c>
      <c r="N91" s="123">
        <v>5.34119289223446</v>
      </c>
      <c r="O91" s="123">
        <v>5.34119289223446</v>
      </c>
      <c r="P91" s="123">
        <v>5.5020696000471938</v>
      </c>
      <c r="Q91" s="123">
        <v>5.8655506442954586</v>
      </c>
    </row>
    <row r="92" spans="2:17" ht="15" customHeight="1" x14ac:dyDescent="0.25">
      <c r="B92" s="113"/>
      <c r="D92" s="191">
        <f>D93+0.01</f>
        <v>0.20566200605383333</v>
      </c>
      <c r="E92" s="121">
        <v>61.324560617854942</v>
      </c>
      <c r="F92" s="121">
        <v>58.619377229713074</v>
      </c>
      <c r="G92" s="121">
        <v>58.619377229713074</v>
      </c>
      <c r="H92" s="121">
        <v>61.324560617854942</v>
      </c>
      <c r="I92" s="121">
        <v>67.502994409664694</v>
      </c>
      <c r="J92" s="122"/>
      <c r="L92" s="191">
        <f>L93+0.01</f>
        <v>0.20566200605383333</v>
      </c>
      <c r="M92" s="123">
        <v>6.002025885616213</v>
      </c>
      <c r="N92" s="123">
        <v>5.8080385792638722</v>
      </c>
      <c r="O92" s="123">
        <v>5.8080385792638722</v>
      </c>
      <c r="P92" s="123">
        <v>6.002025885616213</v>
      </c>
      <c r="Q92" s="123">
        <v>6.445078188097157</v>
      </c>
    </row>
    <row r="93" spans="2:17" ht="15" customHeight="1" x14ac:dyDescent="0.25">
      <c r="B93" s="113"/>
      <c r="C93" s="118" t="s">
        <v>90</v>
      </c>
      <c r="D93" s="124">
        <f>WACC!$E$21</f>
        <v>0.19566200605383333</v>
      </c>
      <c r="E93" s="121">
        <v>69.623723691573574</v>
      </c>
      <c r="F93" s="121">
        <v>66.313802170592453</v>
      </c>
      <c r="G93" s="121">
        <v>66.313802170592453</v>
      </c>
      <c r="H93" s="121">
        <v>69.623723691573574</v>
      </c>
      <c r="I93" s="121">
        <v>77.281571786174482</v>
      </c>
      <c r="J93" s="122"/>
      <c r="K93" s="118" t="s">
        <v>90</v>
      </c>
      <c r="L93" s="124">
        <f>WACC!$E$21</f>
        <v>0.19566200605383333</v>
      </c>
      <c r="M93" s="123">
        <v>6.5971545917537009</v>
      </c>
      <c r="N93" s="123">
        <v>6.3598018256132125</v>
      </c>
      <c r="O93" s="123">
        <v>6.3598018256132125</v>
      </c>
      <c r="P93" s="123">
        <v>6.5971545917537009</v>
      </c>
      <c r="Q93" s="123">
        <v>7.1462949313102788</v>
      </c>
    </row>
    <row r="94" spans="2:17" ht="15" customHeight="1" x14ac:dyDescent="0.25">
      <c r="B94" s="113"/>
      <c r="D94" s="191">
        <f>D93-0.01</f>
        <v>0.18566200605383332</v>
      </c>
      <c r="E94" s="121">
        <v>79.666528404942596</v>
      </c>
      <c r="F94" s="121">
        <v>75.54557550908541</v>
      </c>
      <c r="G94" s="121">
        <v>75.54557550908541</v>
      </c>
      <c r="H94" s="121">
        <v>79.666528404942596</v>
      </c>
      <c r="I94" s="121">
        <v>89.351647968676502</v>
      </c>
      <c r="J94" s="122"/>
      <c r="L94" s="191">
        <f>L93-0.01</f>
        <v>0.18566200605383332</v>
      </c>
      <c r="M94" s="123">
        <v>7.3173189410946211</v>
      </c>
      <c r="N94" s="123">
        <v>7.0218075331152479</v>
      </c>
      <c r="O94" s="123">
        <v>7.0218075331152479</v>
      </c>
      <c r="P94" s="123">
        <v>7.3173189410946211</v>
      </c>
      <c r="Q94" s="123">
        <v>8.0118338727272604</v>
      </c>
    </row>
    <row r="95" spans="2:17" ht="15" customHeight="1" x14ac:dyDescent="0.25">
      <c r="B95" s="125" t="s">
        <v>91</v>
      </c>
      <c r="D95" s="192">
        <f>D94-0.01</f>
        <v>0.17566200605383331</v>
      </c>
      <c r="E95" s="121">
        <v>92.063892412247782</v>
      </c>
      <c r="F95" s="121">
        <v>86.823680783980294</v>
      </c>
      <c r="G95" s="121">
        <v>86.823680783980294</v>
      </c>
      <c r="H95" s="121">
        <v>92.063892412247782</v>
      </c>
      <c r="I95" s="121">
        <v>104.62206059053612</v>
      </c>
      <c r="J95" s="122"/>
      <c r="L95" s="192">
        <f>L94-0.01</f>
        <v>0.17566200605383331</v>
      </c>
      <c r="M95" s="123">
        <v>8.2063275237247613</v>
      </c>
      <c r="N95" s="123">
        <v>7.8305546489763094</v>
      </c>
      <c r="O95" s="123">
        <v>7.8305546489763094</v>
      </c>
      <c r="P95" s="123">
        <v>8.2063275237247613</v>
      </c>
      <c r="Q95" s="123">
        <v>9.1068672905681343</v>
      </c>
    </row>
    <row r="96" spans="2:17" ht="15" customHeight="1" x14ac:dyDescent="0.25">
      <c r="B96" s="125" t="s">
        <v>92</v>
      </c>
      <c r="E96" s="126"/>
      <c r="F96" s="126"/>
      <c r="G96" s="126"/>
      <c r="H96" s="126"/>
      <c r="I96" s="126"/>
      <c r="J96" s="126"/>
    </row>
    <row r="97" spans="2:17" ht="17.25" customHeight="1" x14ac:dyDescent="0.4">
      <c r="B97" s="113"/>
      <c r="D97" s="114" t="s">
        <v>81</v>
      </c>
      <c r="E97" s="65"/>
      <c r="F97" s="65"/>
      <c r="G97" s="65"/>
      <c r="H97" s="65"/>
      <c r="I97" s="65"/>
      <c r="J97" s="115"/>
      <c r="L97" s="114" t="s">
        <v>88</v>
      </c>
      <c r="M97" s="65"/>
      <c r="N97" s="65"/>
      <c r="O97" s="65"/>
      <c r="P97" s="65"/>
      <c r="Q97" s="65"/>
    </row>
    <row r="98" spans="2:17" ht="15" customHeight="1" x14ac:dyDescent="0.25">
      <c r="B98" s="113"/>
      <c r="E98" s="116" t="s">
        <v>93</v>
      </c>
      <c r="F98" s="116"/>
      <c r="G98" s="116"/>
      <c r="H98" s="116"/>
      <c r="I98" s="116"/>
      <c r="J98" s="117"/>
      <c r="M98" s="116" t="s">
        <v>93</v>
      </c>
      <c r="N98" s="116"/>
      <c r="O98" s="116"/>
      <c r="P98" s="116"/>
      <c r="Q98" s="116"/>
    </row>
    <row r="99" spans="2:17" ht="15" customHeight="1" x14ac:dyDescent="0.25">
      <c r="B99" s="113"/>
      <c r="D99" s="160">
        <f>D73</f>
        <v>70.763123416642131</v>
      </c>
      <c r="E99" s="161">
        <f>+F99-0.5</f>
        <v>3.5999999999999996</v>
      </c>
      <c r="F99" s="161">
        <f>+G99-0.5</f>
        <v>4.0999999999999996</v>
      </c>
      <c r="G99" s="127">
        <f>$I$43</f>
        <v>4.5999999999999996</v>
      </c>
      <c r="H99" s="161">
        <f>+G99+0.5</f>
        <v>5.0999999999999996</v>
      </c>
      <c r="I99" s="220">
        <f>+H99+0.5</f>
        <v>5.6</v>
      </c>
      <c r="J99" s="219"/>
      <c r="L99" s="120">
        <f>D78</f>
        <v>6.6788603587244451</v>
      </c>
      <c r="M99" s="161">
        <f>+N99-0.5</f>
        <v>3.5999999999999996</v>
      </c>
      <c r="N99" s="161">
        <f>+O99-0.5</f>
        <v>4.0999999999999996</v>
      </c>
      <c r="O99" s="127">
        <f>$I$43</f>
        <v>4.5999999999999996</v>
      </c>
      <c r="P99" s="161">
        <f>+O99+0.5</f>
        <v>5.0999999999999996</v>
      </c>
      <c r="Q99" s="220">
        <f>+P99+0.5</f>
        <v>5.6</v>
      </c>
    </row>
    <row r="100" spans="2:17" ht="15" customHeight="1" x14ac:dyDescent="0.25">
      <c r="B100" s="113"/>
      <c r="D100" s="191">
        <f>D101+0.01</f>
        <v>0.21566200605383334</v>
      </c>
      <c r="E100" s="121">
        <f t="dataTable" ref="E100:I104" dt2D="1" dtr="1" r1="I43" r2="H4" ca="1"/>
        <v>51.546732683620284</v>
      </c>
      <c r="F100" s="121">
        <v>44.635524508634255</v>
      </c>
      <c r="G100" s="121">
        <v>44.635524508634255</v>
      </c>
      <c r="H100" s="121">
        <v>51.546732683620284</v>
      </c>
      <c r="I100" s="121">
        <v>65.369149033592336</v>
      </c>
      <c r="J100" s="122"/>
      <c r="L100" s="191">
        <f>L101+0.01</f>
        <v>0.21566200605383334</v>
      </c>
      <c r="M100" s="123">
        <f t="dataTable" ref="M100:Q104" dt2D="1" dtr="1" r1="I43" r2="H4" ca="1"/>
        <v>5.3008628845223349</v>
      </c>
      <c r="N100" s="123">
        <v>4.8052637087390213</v>
      </c>
      <c r="O100" s="123">
        <v>4.8052637087390213</v>
      </c>
      <c r="P100" s="123">
        <v>5.3008628845223349</v>
      </c>
      <c r="Q100" s="123">
        <v>6.2920612360889603</v>
      </c>
    </row>
    <row r="101" spans="2:17" ht="15" customHeight="1" x14ac:dyDescent="0.25">
      <c r="B101" s="113"/>
      <c r="D101" s="191">
        <f>D102+0.01</f>
        <v>0.20566200605383333</v>
      </c>
      <c r="E101" s="121">
        <v>53.728224902933718</v>
      </c>
      <c r="F101" s="121">
        <v>46.586068816146053</v>
      </c>
      <c r="G101" s="121">
        <v>46.586068816146053</v>
      </c>
      <c r="H101" s="121">
        <v>53.728224902933718</v>
      </c>
      <c r="I101" s="121">
        <v>68.01253707650902</v>
      </c>
      <c r="J101" s="122"/>
      <c r="L101" s="191">
        <f>L102+0.01</f>
        <v>0.20566200605383333</v>
      </c>
      <c r="M101" s="123">
        <v>5.4572965670993518</v>
      </c>
      <c r="N101" s="123">
        <v>4.9451362356049389</v>
      </c>
      <c r="O101" s="123">
        <v>4.9451362356049389</v>
      </c>
      <c r="P101" s="123">
        <v>5.4572965670993518</v>
      </c>
      <c r="Q101" s="123">
        <v>6.4816172300881751</v>
      </c>
    </row>
    <row r="102" spans="2:17" ht="15" customHeight="1" x14ac:dyDescent="0.25">
      <c r="B102" s="113"/>
      <c r="C102" s="118" t="s">
        <v>90</v>
      </c>
      <c r="D102" s="124">
        <f>WACC!$E$21</f>
        <v>0.19566200605383333</v>
      </c>
      <c r="E102" s="121">
        <v>55.997438650023582</v>
      </c>
      <c r="F102" s="121">
        <v>48.614596266714287</v>
      </c>
      <c r="G102" s="121">
        <v>48.614596266714287</v>
      </c>
      <c r="H102" s="121">
        <v>55.997438650023582</v>
      </c>
      <c r="I102" s="121">
        <v>70.763123416642131</v>
      </c>
      <c r="J102" s="122"/>
      <c r="K102" s="118" t="s">
        <v>90</v>
      </c>
      <c r="L102" s="124">
        <f>WACC!$E$21</f>
        <v>0.19566200605383333</v>
      </c>
      <c r="M102" s="123">
        <v>5.6200207152163593</v>
      </c>
      <c r="N102" s="123">
        <v>5.090600893462315</v>
      </c>
      <c r="O102" s="123">
        <v>5.090600893462315</v>
      </c>
      <c r="P102" s="123">
        <v>5.6200207152163593</v>
      </c>
      <c r="Q102" s="123">
        <v>6.6788603587244451</v>
      </c>
    </row>
    <row r="103" spans="2:17" ht="15" customHeight="1" x14ac:dyDescent="0.25">
      <c r="B103" s="113"/>
      <c r="D103" s="191">
        <f>D102-0.01</f>
        <v>0.18566200605383332</v>
      </c>
      <c r="E103" s="121">
        <v>58.358740564465251</v>
      </c>
      <c r="F103" s="121">
        <v>50.724976192263838</v>
      </c>
      <c r="G103" s="121">
        <v>50.724976192263838</v>
      </c>
      <c r="H103" s="121">
        <v>58.358740564465251</v>
      </c>
      <c r="I103" s="121">
        <v>73.626269308868032</v>
      </c>
      <c r="J103" s="122"/>
      <c r="L103" s="191">
        <f>L102-0.01</f>
        <v>0.18566200605383332</v>
      </c>
      <c r="M103" s="123">
        <v>5.7893484583464838</v>
      </c>
      <c r="N103" s="123">
        <v>5.2419351501090006</v>
      </c>
      <c r="O103" s="123">
        <v>5.2419351501090006</v>
      </c>
      <c r="P103" s="123">
        <v>5.7893484583464838</v>
      </c>
      <c r="Q103" s="123">
        <v>6.8841750748214476</v>
      </c>
    </row>
    <row r="104" spans="2:17" ht="15" customHeight="1" x14ac:dyDescent="0.25">
      <c r="B104" s="113"/>
      <c r="D104" s="192">
        <f>D103-0.01</f>
        <v>0.17566200605383331</v>
      </c>
      <c r="E104" s="121">
        <v>60.816755641667044</v>
      </c>
      <c r="F104" s="121">
        <v>52.921306382681706</v>
      </c>
      <c r="G104" s="121">
        <v>52.921306382681706</v>
      </c>
      <c r="H104" s="121">
        <v>60.816755641667044</v>
      </c>
      <c r="I104" s="121">
        <v>76.607654159637704</v>
      </c>
      <c r="J104" s="122"/>
      <c r="L104" s="192">
        <f>L103-0.01</f>
        <v>0.17566200605383331</v>
      </c>
      <c r="M104" s="123">
        <v>5.9656114525264599</v>
      </c>
      <c r="N104" s="123">
        <v>5.3994328559455491</v>
      </c>
      <c r="O104" s="123">
        <v>5.3994328559455491</v>
      </c>
      <c r="P104" s="123">
        <v>5.9656114525264599</v>
      </c>
      <c r="Q104" s="123">
        <v>7.0979686456882796</v>
      </c>
    </row>
    <row r="105" spans="2:17" x14ac:dyDescent="0.25">
      <c r="J105" s="128"/>
    </row>
    <row r="106" spans="2:17" x14ac:dyDescent="0.25">
      <c r="B106" s="129" t="s">
        <v>94</v>
      </c>
      <c r="C106" s="129"/>
      <c r="D106" s="129"/>
      <c r="E106" s="129"/>
      <c r="G106" s="129" t="s">
        <v>95</v>
      </c>
      <c r="H106" s="129"/>
      <c r="I106" s="129"/>
      <c r="J106" s="130"/>
      <c r="K106" s="129"/>
      <c r="L106" s="129"/>
      <c r="M106" s="129"/>
      <c r="N106" s="129"/>
      <c r="O106" s="129"/>
      <c r="P106" s="129"/>
    </row>
    <row r="107" spans="2:17" x14ac:dyDescent="0.25">
      <c r="J107" s="128"/>
    </row>
    <row r="108" spans="2:17" x14ac:dyDescent="0.25">
      <c r="J108" s="128"/>
    </row>
    <row r="109" spans="2:17" x14ac:dyDescent="0.25">
      <c r="J109" s="128"/>
    </row>
    <row r="110" spans="2:17" x14ac:dyDescent="0.25">
      <c r="J110" s="128"/>
    </row>
    <row r="111" spans="2:17" x14ac:dyDescent="0.25">
      <c r="J111" s="128"/>
    </row>
    <row r="112" spans="2:17" x14ac:dyDescent="0.25">
      <c r="J112" s="128"/>
    </row>
    <row r="113" spans="2:17" x14ac:dyDescent="0.25">
      <c r="J113" s="128"/>
    </row>
    <row r="114" spans="2:17" x14ac:dyDescent="0.25">
      <c r="J114" s="128"/>
    </row>
    <row r="115" spans="2:17" x14ac:dyDescent="0.25">
      <c r="J115" s="128"/>
    </row>
    <row r="116" spans="2:17" x14ac:dyDescent="0.25">
      <c r="J116" s="128"/>
    </row>
    <row r="117" spans="2:17" x14ac:dyDescent="0.25">
      <c r="J117" s="128"/>
    </row>
    <row r="118" spans="2:17" x14ac:dyDescent="0.25">
      <c r="J118" s="128"/>
    </row>
    <row r="119" spans="2:17" x14ac:dyDescent="0.25">
      <c r="J119" s="128"/>
    </row>
    <row r="120" spans="2:17" x14ac:dyDescent="0.25">
      <c r="J120" s="128"/>
      <c r="M120" s="131"/>
    </row>
    <row r="121" spans="2:17" x14ac:dyDescent="0.25">
      <c r="J121" s="128"/>
    </row>
    <row r="122" spans="2:17" x14ac:dyDescent="0.25">
      <c r="J122" s="128"/>
    </row>
    <row r="123" spans="2:17" x14ac:dyDescent="0.25">
      <c r="J123" s="128"/>
    </row>
    <row r="124" spans="2:17" x14ac:dyDescent="0.25">
      <c r="J124" s="128"/>
    </row>
    <row r="125" spans="2:17" x14ac:dyDescent="0.25">
      <c r="J125" s="128"/>
    </row>
    <row r="126" spans="2:17" x14ac:dyDescent="0.25">
      <c r="J126" s="128"/>
    </row>
    <row r="127" spans="2:17" x14ac:dyDescent="0.25">
      <c r="B127" s="132"/>
      <c r="C127" s="133" t="s">
        <v>96</v>
      </c>
      <c r="D127" s="133" t="s">
        <v>97</v>
      </c>
      <c r="E127" s="134" t="s">
        <v>98</v>
      </c>
      <c r="G127" s="132"/>
      <c r="H127" s="135"/>
      <c r="I127" s="135"/>
      <c r="J127" s="136"/>
      <c r="K127" s="135"/>
      <c r="L127" s="135"/>
      <c r="M127" s="135"/>
      <c r="N127" s="135"/>
      <c r="O127" s="133" t="s">
        <v>96</v>
      </c>
      <c r="P127" s="133" t="s">
        <v>97</v>
      </c>
      <c r="Q127" s="134" t="s">
        <v>98</v>
      </c>
    </row>
    <row r="128" spans="2:17" x14ac:dyDescent="0.25">
      <c r="B128" s="162" t="str">
        <f>"DCF Value at "&amp;TEXT(E99,"0.0x")&amp;"-"&amp;TEXT(I99,"0.0x")&amp;" Exit EBITDA Range at "&amp;TEXT(D102,"0.0%")&amp;" WACC"</f>
        <v>DCF Value at 3.6x-5.6x Exit EBITDA Range at 19.6% WACC</v>
      </c>
      <c r="C128" s="163">
        <f>E102</f>
        <v>55.997438650023582</v>
      </c>
      <c r="D128" s="163">
        <f>E128-C128</f>
        <v>14.765684766618548</v>
      </c>
      <c r="E128" s="164">
        <f>I102</f>
        <v>70.763123416642131</v>
      </c>
      <c r="G128" s="162" t="str">
        <f>"LTM EBITDA Purchase Multiple at "&amp;TEXT(M90,"0.0%")&amp;"-"&amp;TEXT(Q90,"0.0%")&amp;" Perpetuity Growth at "&amp;TEXT(L93,"0.0%")&amp;" WACC"</f>
        <v>LTM EBITDA Purchase Multiple at 9.0%-11.0% Perpetuity Growth at 19.6% WACC</v>
      </c>
      <c r="J128" s="170"/>
      <c r="O128" s="171">
        <f>M93</f>
        <v>6.5971545917537009</v>
      </c>
      <c r="P128" s="171">
        <f>Q128-O128</f>
        <v>0.54914033955657793</v>
      </c>
      <c r="Q128" s="172">
        <f>Q93</f>
        <v>7.1462949313102788</v>
      </c>
    </row>
    <row r="129" spans="2:17" x14ac:dyDescent="0.25">
      <c r="B129" s="165" t="str">
        <f>"DCF Value at "&amp;TEXT(E90,"0.0%")&amp;"-"&amp;TEXT(I90,"0.0%")&amp;" Perpetuity Range at "&amp;TEXT(D102,"0.0%")&amp;" WACC"</f>
        <v>DCF Value at 9.0%-11.0% Perpetuity Range at 19.6% WACC</v>
      </c>
      <c r="C129" s="163">
        <f>E93</f>
        <v>69.623723691573574</v>
      </c>
      <c r="D129" s="163">
        <f>E129-C129</f>
        <v>7.657848094600908</v>
      </c>
      <c r="E129" s="164">
        <f>I93</f>
        <v>77.281571786174482</v>
      </c>
      <c r="G129" s="165" t="str">
        <f>"LTM EBITDA Purchase Multiple at "&amp;TEXT(M102,"0.0x")&amp;"-"&amp;TEXT(Q102,"0.0x")&amp;" Exit EBITDA Multiple at "&amp;TEXT(L102,"0.0%")&amp;" WACC"</f>
        <v>LTM EBITDA Purchase Multiple at 5.6x-6.7x Exit EBITDA Multiple at 19.6% WACC</v>
      </c>
      <c r="J129" s="170"/>
      <c r="O129" s="171">
        <f>M102</f>
        <v>5.6200207152163593</v>
      </c>
      <c r="P129" s="171">
        <f>Q129-O129</f>
        <v>1.0588396435080858</v>
      </c>
      <c r="Q129" s="172">
        <f>Q102</f>
        <v>6.6788603587244451</v>
      </c>
    </row>
    <row r="130" spans="2:17" x14ac:dyDescent="0.25">
      <c r="B130" s="166" t="s">
        <v>99</v>
      </c>
      <c r="C130" s="167">
        <v>22.82</v>
      </c>
      <c r="D130" s="168">
        <f>E130-C130</f>
        <v>9.0599999999999987</v>
      </c>
      <c r="E130" s="169">
        <v>31.88</v>
      </c>
      <c r="G130" s="166" t="str">
        <f>"LTM EBITDA Purchase Multiple at "&amp;TEXT(L104,"0.0%")&amp;"-"&amp;TEXT(L100,"0.0%")&amp;" WACC at "&amp;TEXT(O99,"0.0x")&amp;" Exit EBITDA"</f>
        <v>LTM EBITDA Purchase Multiple at 17.6%-21.6% WACC at 4.6x Exit EBITDA</v>
      </c>
      <c r="H130" s="40"/>
      <c r="I130" s="40"/>
      <c r="J130" s="173"/>
      <c r="K130" s="40"/>
      <c r="L130" s="40"/>
      <c r="M130" s="40"/>
      <c r="N130" s="40"/>
      <c r="O130" s="168">
        <f>O100</f>
        <v>4.8052637087390213</v>
      </c>
      <c r="P130" s="168">
        <f>Q130-O130</f>
        <v>0.5941691472065278</v>
      </c>
      <c r="Q130" s="174">
        <f>O104</f>
        <v>5.3994328559455491</v>
      </c>
    </row>
    <row r="131" spans="2:17" x14ac:dyDescent="0.25">
      <c r="J131" s="128"/>
    </row>
    <row r="132" spans="2:17" x14ac:dyDescent="0.25">
      <c r="J132" s="128"/>
    </row>
  </sheetData>
  <conditionalFormatting sqref="E91:J95 E100:J104">
    <cfRule type="cellIs" dxfId="4" priority="5" operator="lessThan">
      <formula>#REF!</formula>
    </cfRule>
  </conditionalFormatting>
  <conditionalFormatting sqref="I8">
    <cfRule type="expression" dxfId="3" priority="1">
      <formula>$I8="SELL"</formula>
    </cfRule>
    <cfRule type="expression" dxfId="2" priority="2">
      <formula>$I8="HOLD"</formula>
    </cfRule>
    <cfRule type="expression" dxfId="1" priority="3">
      <formula>$I8="BUY"</formula>
    </cfRule>
  </conditionalFormatting>
  <dataValidations disablePrompts="1" count="1">
    <dataValidation type="list" allowBlank="1" showInputMessage="1" showErrorMessage="1" sqref="H9" xr:uid="{00000000-0002-0000-0100-000000000000}">
      <formula1>"0,1"</formula1>
    </dataValidation>
  </dataValidations>
  <pageMargins left="0.7" right="0.7" top="0.75" bottom="0.75" header="0.3" footer="0.3"/>
  <pageSetup orientation="portrait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46"/>
  <sheetViews>
    <sheetView topLeftCell="A9" zoomScaleNormal="100" workbookViewId="0">
      <selection activeCell="G43" sqref="G43"/>
    </sheetView>
  </sheetViews>
  <sheetFormatPr defaultColWidth="9.140625" defaultRowHeight="15" x14ac:dyDescent="0.25"/>
  <cols>
    <col min="1" max="1" width="1.42578125" style="51" customWidth="1"/>
    <col min="2" max="2" width="50.28515625" style="51" customWidth="1"/>
    <col min="3" max="3" width="15.5703125" style="51" bestFit="1" customWidth="1"/>
    <col min="4" max="4" width="12.7109375" style="51" customWidth="1"/>
    <col min="5" max="5" width="16.140625" style="51" bestFit="1" customWidth="1"/>
    <col min="6" max="6" width="14.5703125" style="51" bestFit="1" customWidth="1"/>
    <col min="7" max="7" width="18.7109375" style="51" bestFit="1" customWidth="1"/>
    <col min="8" max="9" width="12.7109375" style="51" customWidth="1"/>
    <col min="10" max="10" width="1.7109375" style="51" customWidth="1"/>
    <col min="11" max="11" width="11" style="51" bestFit="1" customWidth="1"/>
    <col min="12" max="16" width="9.42578125" style="51" customWidth="1"/>
    <col min="17" max="17" width="9.140625" style="51" customWidth="1"/>
    <col min="18" max="16384" width="9.140625" style="51"/>
  </cols>
  <sheetData>
    <row r="1" spans="2:9" ht="15.75" customHeight="1" thickBot="1" x14ac:dyDescent="0.3"/>
    <row r="2" spans="2:9" ht="15.75" customHeight="1" thickBot="1" x14ac:dyDescent="0.3">
      <c r="B2" s="52" t="s">
        <v>200</v>
      </c>
      <c r="C2" s="53"/>
      <c r="D2" s="53"/>
      <c r="E2" s="53"/>
      <c r="F2" s="53"/>
      <c r="G2" s="53"/>
      <c r="H2" s="53"/>
      <c r="I2" s="53"/>
    </row>
    <row r="3" spans="2:9" x14ac:dyDescent="0.25">
      <c r="B3" s="54" t="str">
        <f>DCF!B3</f>
        <v>All amounts are shown in EGP, except per-share data, ratios, and shares outstanding</v>
      </c>
    </row>
    <row r="4" spans="2:9" ht="15" customHeight="1" x14ac:dyDescent="0.25">
      <c r="B4" s="138" t="s">
        <v>201</v>
      </c>
      <c r="C4" s="139"/>
      <c r="D4" s="139"/>
      <c r="E4" s="140"/>
      <c r="F4" s="141"/>
    </row>
    <row r="5" spans="2:9" x14ac:dyDescent="0.25">
      <c r="E5" s="94"/>
    </row>
    <row r="6" spans="2:9" ht="15" customHeight="1" x14ac:dyDescent="0.25">
      <c r="B6" s="51" t="s">
        <v>202</v>
      </c>
      <c r="C6" s="297">
        <v>0.2</v>
      </c>
      <c r="D6" s="263"/>
    </row>
    <row r="7" spans="2:9" ht="15" customHeight="1" x14ac:dyDescent="0.25">
      <c r="B7" s="51" t="s">
        <v>24</v>
      </c>
      <c r="C7" s="257">
        <v>0.22500000000000001</v>
      </c>
    </row>
    <row r="8" spans="2:9" ht="15" customHeight="1" x14ac:dyDescent="0.25">
      <c r="B8" s="51" t="s">
        <v>203</v>
      </c>
      <c r="C8" s="144">
        <f>C6*(1-C7)</f>
        <v>0.15500000000000003</v>
      </c>
    </row>
    <row r="10" spans="2:9" x14ac:dyDescent="0.25">
      <c r="B10" s="51" t="s">
        <v>204</v>
      </c>
      <c r="C10" s="265">
        <v>0.19802700000000001</v>
      </c>
      <c r="D10" s="206"/>
      <c r="E10" s="206"/>
    </row>
    <row r="11" spans="2:9" x14ac:dyDescent="0.25">
      <c r="B11" s="51" t="s">
        <v>205</v>
      </c>
      <c r="C11" s="296">
        <f>IF(C32="Observed",(2/3)*C34+(1/3),C35)</f>
        <v>0.69690806522847293</v>
      </c>
    </row>
    <row r="12" spans="2:9" ht="15" customHeight="1" x14ac:dyDescent="0.25">
      <c r="B12" s="51" t="s">
        <v>206</v>
      </c>
      <c r="C12" s="145">
        <f>13.94%-9.71%</f>
        <v>4.229999999999999E-2</v>
      </c>
      <c r="D12" s="206"/>
    </row>
    <row r="13" spans="2:9" x14ac:dyDescent="0.25">
      <c r="B13" s="51" t="s">
        <v>207</v>
      </c>
      <c r="C13" s="146">
        <f>C10+C11*C12</f>
        <v>0.22750621115916442</v>
      </c>
      <c r="D13" s="258"/>
    </row>
    <row r="14" spans="2:9" x14ac:dyDescent="0.25">
      <c r="C14" s="147"/>
    </row>
    <row r="15" spans="2:9" x14ac:dyDescent="0.25">
      <c r="B15" s="142" t="s">
        <v>208</v>
      </c>
      <c r="C15" s="148"/>
      <c r="D15" s="148"/>
      <c r="E15" s="148"/>
    </row>
    <row r="16" spans="2:9" x14ac:dyDescent="0.25">
      <c r="B16" s="72"/>
      <c r="C16" s="118"/>
      <c r="D16" s="118" t="s">
        <v>209</v>
      </c>
    </row>
    <row r="17" spans="2:6" ht="17.25" customHeight="1" x14ac:dyDescent="0.4">
      <c r="C17" s="149" t="s">
        <v>210</v>
      </c>
      <c r="D17" s="149" t="s">
        <v>211</v>
      </c>
      <c r="E17" s="149" t="s">
        <v>212</v>
      </c>
    </row>
    <row r="18" spans="2:6" x14ac:dyDescent="0.25">
      <c r="B18" s="51" t="s">
        <v>128</v>
      </c>
      <c r="C18" s="70">
        <f>DCF!I61*DCF!H5</f>
        <v>2523200000</v>
      </c>
      <c r="D18" s="150"/>
      <c r="E18" s="151">
        <f>C18/(C18+C19)</f>
        <v>0.56080721091014885</v>
      </c>
    </row>
    <row r="19" spans="2:6" x14ac:dyDescent="0.25">
      <c r="B19" s="51" t="s">
        <v>65</v>
      </c>
      <c r="C19" s="70">
        <f>DCF!C57</f>
        <v>1976028881</v>
      </c>
      <c r="D19" s="152"/>
      <c r="E19" s="151">
        <f>C19/(C19+C18)</f>
        <v>0.43919278908985115</v>
      </c>
    </row>
    <row r="21" spans="2:6" x14ac:dyDescent="0.25">
      <c r="B21" s="143" t="s">
        <v>213</v>
      </c>
      <c r="C21" s="153"/>
      <c r="D21" s="135"/>
      <c r="E21" s="154">
        <f>E18*C13+E19*C8</f>
        <v>0.19566200605383333</v>
      </c>
    </row>
    <row r="22" spans="2:6" x14ac:dyDescent="0.25">
      <c r="B22" s="71"/>
      <c r="C22" s="99"/>
    </row>
    <row r="23" spans="2:6" x14ac:dyDescent="0.25">
      <c r="B23" s="39" t="s">
        <v>214</v>
      </c>
      <c r="C23" s="40"/>
      <c r="D23" s="40"/>
      <c r="E23" s="40"/>
      <c r="F23" s="40"/>
    </row>
    <row r="24" spans="2:6" x14ac:dyDescent="0.25">
      <c r="D24" s="266" t="s">
        <v>215</v>
      </c>
      <c r="E24" s="267"/>
      <c r="F24" s="266"/>
    </row>
    <row r="25" spans="2:6" x14ac:dyDescent="0.25">
      <c r="C25" s="268">
        <f>E21</f>
        <v>0.19566200605383333</v>
      </c>
      <c r="D25" s="269">
        <f>E25-0.1</f>
        <v>0.59690806522847295</v>
      </c>
      <c r="E25" s="270">
        <f>C11</f>
        <v>0.69690806522847293</v>
      </c>
      <c r="F25" s="271">
        <f>E25+0.1</f>
        <v>0.79690806522847291</v>
      </c>
    </row>
    <row r="26" spans="2:6" x14ac:dyDescent="0.25">
      <c r="C26" s="272">
        <f>C27-0.005</f>
        <v>3.2299999999999995E-2</v>
      </c>
      <c r="D26" s="273">
        <f t="dataTable" ref="D26:F30" dt2D="1" dtr="1" r1="C11" r2="C12" ca="1"/>
        <v>0.18994228807937785</v>
      </c>
      <c r="E26" s="274">
        <v>0.18994228807937785</v>
      </c>
      <c r="F26" s="274">
        <v>0.19175369537061765</v>
      </c>
    </row>
    <row r="27" spans="2:6" x14ac:dyDescent="0.25">
      <c r="B27" s="275" t="s">
        <v>216</v>
      </c>
      <c r="C27" s="272">
        <f>C28-0.005</f>
        <v>3.7299999999999993E-2</v>
      </c>
      <c r="D27" s="274">
        <v>0.1882685363432251</v>
      </c>
      <c r="E27" s="274">
        <v>0.1882685363432251</v>
      </c>
      <c r="F27" s="274">
        <v>0.18979954002900978</v>
      </c>
    </row>
    <row r="28" spans="2:6" x14ac:dyDescent="0.25">
      <c r="B28" s="275" t="s">
        <v>217</v>
      </c>
      <c r="C28" s="276">
        <f>C12</f>
        <v>4.229999999999999E-2</v>
      </c>
      <c r="D28" s="274">
        <v>0.1882685363432251</v>
      </c>
      <c r="E28" s="274">
        <v>0.1882685363432251</v>
      </c>
      <c r="F28" s="274">
        <v>0.18979954002900978</v>
      </c>
    </row>
    <row r="29" spans="2:6" x14ac:dyDescent="0.25">
      <c r="B29" s="275" t="s">
        <v>218</v>
      </c>
      <c r="C29" s="272">
        <f>C28+0.005</f>
        <v>4.7299999999999988E-2</v>
      </c>
      <c r="D29" s="274">
        <v>0.18994228807937785</v>
      </c>
      <c r="E29" s="274">
        <v>0.18994228807937785</v>
      </c>
      <c r="F29" s="274">
        <v>0.19175369537061765</v>
      </c>
    </row>
    <row r="30" spans="2:6" x14ac:dyDescent="0.25">
      <c r="C30" s="272">
        <f>C29+0.005</f>
        <v>5.2299999999999985E-2</v>
      </c>
      <c r="D30" s="274">
        <v>0.19328979155168338</v>
      </c>
      <c r="E30" s="274">
        <v>0.19328979155168338</v>
      </c>
      <c r="F30" s="274">
        <v>0.19566200605383333</v>
      </c>
    </row>
    <row r="31" spans="2:6" x14ac:dyDescent="0.25">
      <c r="C31" s="277"/>
      <c r="D31" s="274"/>
      <c r="E31" s="274"/>
      <c r="F31" s="274"/>
    </row>
    <row r="32" spans="2:6" x14ac:dyDescent="0.25">
      <c r="B32" t="s">
        <v>219</v>
      </c>
      <c r="C32" s="278" t="s">
        <v>352</v>
      </c>
    </row>
    <row r="34" spans="2:9" x14ac:dyDescent="0.25">
      <c r="B34" s="279" t="s">
        <v>220</v>
      </c>
      <c r="C34" s="287">
        <v>-0.24</v>
      </c>
    </row>
    <row r="35" spans="2:9" x14ac:dyDescent="0.25">
      <c r="B35" s="279" t="s">
        <v>221</v>
      </c>
      <c r="C35" s="287">
        <f>C46</f>
        <v>0.69690806522847293</v>
      </c>
    </row>
    <row r="37" spans="2:9" x14ac:dyDescent="0.25">
      <c r="B37" s="39" t="s">
        <v>221</v>
      </c>
      <c r="C37" s="39"/>
      <c r="D37" s="40"/>
      <c r="E37" s="40"/>
      <c r="F37" s="40"/>
      <c r="G37" s="40"/>
      <c r="H37" s="40"/>
      <c r="I37" s="40"/>
    </row>
    <row r="38" spans="2:9" x14ac:dyDescent="0.25">
      <c r="H38" s="281"/>
    </row>
    <row r="39" spans="2:9" ht="15.75" customHeight="1" thickBot="1" x14ac:dyDescent="0.3">
      <c r="C39" s="282" t="s">
        <v>222</v>
      </c>
      <c r="D39" s="282" t="s">
        <v>223</v>
      </c>
      <c r="E39" s="282" t="s">
        <v>224</v>
      </c>
      <c r="F39" s="282" t="s">
        <v>225</v>
      </c>
      <c r="G39" s="283" t="s">
        <v>226</v>
      </c>
      <c r="H39" s="282" t="s">
        <v>24</v>
      </c>
      <c r="I39" s="282" t="s">
        <v>227</v>
      </c>
    </row>
    <row r="40" spans="2:9" x14ac:dyDescent="0.25">
      <c r="B40" s="333" t="s">
        <v>351</v>
      </c>
      <c r="C40" s="288">
        <v>0.53</v>
      </c>
      <c r="D40" s="287">
        <v>1.33</v>
      </c>
      <c r="E40" s="287">
        <v>1078100000</v>
      </c>
      <c r="F40" s="284">
        <f>D40*E40</f>
        <v>1433873000</v>
      </c>
      <c r="G40" s="284">
        <v>-100000000</v>
      </c>
      <c r="H40" s="289">
        <v>0.22500000000000001</v>
      </c>
      <c r="I40" s="163">
        <f>C40/(1+(1-H40)*(G40/F40))</f>
        <v>0.56028296788567744</v>
      </c>
    </row>
    <row r="41" spans="2:9" x14ac:dyDescent="0.25">
      <c r="B41" s="333" t="s">
        <v>350</v>
      </c>
      <c r="C41" s="288">
        <v>0.41</v>
      </c>
      <c r="D41" s="287">
        <v>32.54</v>
      </c>
      <c r="E41" s="287">
        <v>53342513</v>
      </c>
      <c r="F41" s="284">
        <f t="shared" ref="F41" si="0">D41*E41</f>
        <v>1735765373.02</v>
      </c>
      <c r="G41" s="284">
        <v>241000000</v>
      </c>
      <c r="H41" s="289">
        <v>0.22500000000000001</v>
      </c>
      <c r="I41" s="163">
        <f t="shared" ref="I41:I43" si="1">C41/(1+(1-H41)*(G41/F41))</f>
        <v>0.37016845675926757</v>
      </c>
    </row>
    <row r="42" spans="2:9" x14ac:dyDescent="0.25">
      <c r="B42" s="333" t="s">
        <v>349</v>
      </c>
      <c r="C42" s="288">
        <v>0.4</v>
      </c>
      <c r="D42" s="287">
        <v>55.3</v>
      </c>
      <c r="E42" s="287">
        <v>378739700</v>
      </c>
      <c r="F42" s="284">
        <f>D42*E42</f>
        <v>20944305410</v>
      </c>
      <c r="G42" s="284">
        <v>-1200000000</v>
      </c>
      <c r="H42" s="289">
        <v>0.22500000000000001</v>
      </c>
      <c r="I42" s="163">
        <f t="shared" si="1"/>
        <v>0.41858670547787952</v>
      </c>
    </row>
    <row r="43" spans="2:9" x14ac:dyDescent="0.25">
      <c r="B43" s="51" t="s">
        <v>277</v>
      </c>
      <c r="C43" s="288">
        <v>-0.24</v>
      </c>
      <c r="D43" s="287">
        <v>31.54</v>
      </c>
      <c r="E43" s="287">
        <v>80000000</v>
      </c>
      <c r="F43" s="284">
        <f>E43*D43</f>
        <v>2523200000</v>
      </c>
      <c r="G43" s="70">
        <f>DCF!C65</f>
        <v>1789970478</v>
      </c>
      <c r="H43" s="289">
        <v>0.22500000000000001</v>
      </c>
      <c r="I43" s="163">
        <f t="shared" si="1"/>
        <v>-0.15485980977195993</v>
      </c>
    </row>
    <row r="44" spans="2:9" x14ac:dyDescent="0.25">
      <c r="C44" s="280"/>
      <c r="F44" s="285"/>
      <c r="G44" s="285"/>
      <c r="H44" s="285"/>
      <c r="I44" s="286"/>
    </row>
    <row r="45" spans="2:9" x14ac:dyDescent="0.25">
      <c r="B45" t="s">
        <v>228</v>
      </c>
      <c r="C45" s="163">
        <f>AVERAGE(I40:I42)</f>
        <v>0.44967937670760816</v>
      </c>
    </row>
    <row r="46" spans="2:9" x14ac:dyDescent="0.25">
      <c r="B46" s="221" t="str">
        <f>FSM!Company_Name&amp;" beta"</f>
        <v>Lecico Egypt beta</v>
      </c>
      <c r="C46" s="290">
        <f>C45*(1+(1-H43)*(G43/F43))</f>
        <v>0.69690806522847293</v>
      </c>
    </row>
  </sheetData>
  <conditionalFormatting sqref="B22:C24">
    <cfRule type="expression" dxfId="0" priority="1">
      <formula>#REF!="Industry"</formula>
    </cfRule>
  </conditionalFormatting>
  <dataValidations count="1">
    <dataValidation type="list" allowBlank="1" showInputMessage="1" showErrorMessage="1" sqref="C32" xr:uid="{00000000-0002-0000-0200-000000000000}">
      <formula1>"Industry, Observed"</formula1>
    </dataValidation>
  </dataValidations>
  <pageMargins left="0.7" right="0.7" top="0.75" bottom="0.75" header="0.3" footer="0.3"/>
  <pageSetup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5CE90-F6E2-454D-A2F3-2AF81EFF437C}">
  <dimension ref="B1:H73"/>
  <sheetViews>
    <sheetView showGridLines="0" topLeftCell="A32" zoomScaleNormal="100" workbookViewId="0">
      <selection activeCell="D45" sqref="D45"/>
    </sheetView>
  </sheetViews>
  <sheetFormatPr defaultRowHeight="15" x14ac:dyDescent="0.25"/>
  <cols>
    <col min="1" max="1" width="2" style="6" customWidth="1"/>
    <col min="2" max="2" width="38" style="6" customWidth="1"/>
    <col min="3" max="6" width="16" style="6" customWidth="1"/>
    <col min="7" max="7" width="2" style="6" customWidth="1"/>
    <col min="8" max="8" width="46" style="6" customWidth="1"/>
    <col min="9" max="16384" width="9.140625" style="6"/>
  </cols>
  <sheetData>
    <row r="1" spans="2:8" ht="15.75" thickBot="1" x14ac:dyDescent="0.3"/>
    <row r="2" spans="2:8" s="313" customFormat="1" ht="15.75" customHeight="1" thickBot="1" x14ac:dyDescent="0.3">
      <c r="B2" s="311" t="s">
        <v>304</v>
      </c>
      <c r="C2" s="312"/>
    </row>
    <row r="3" spans="2:8" x14ac:dyDescent="0.25">
      <c r="B3" s="314"/>
    </row>
    <row r="4" spans="2:8" x14ac:dyDescent="0.25">
      <c r="B4" s="45" t="s">
        <v>305</v>
      </c>
      <c r="C4" s="315">
        <v>46213</v>
      </c>
      <c r="H4" s="314"/>
    </row>
    <row r="6" spans="2:8" x14ac:dyDescent="0.25">
      <c r="B6" s="316" t="s">
        <v>306</v>
      </c>
      <c r="C6" s="317"/>
      <c r="D6" s="317"/>
      <c r="E6" s="317"/>
      <c r="F6" s="317"/>
    </row>
    <row r="7" spans="2:8" x14ac:dyDescent="0.25">
      <c r="B7" s="35" t="s">
        <v>102</v>
      </c>
      <c r="C7" s="318" t="s">
        <v>275</v>
      </c>
      <c r="D7" s="318" t="s">
        <v>355</v>
      </c>
      <c r="E7" s="318" t="s">
        <v>356</v>
      </c>
      <c r="F7" s="318" t="s">
        <v>358</v>
      </c>
    </row>
    <row r="8" spans="2:8" x14ac:dyDescent="0.25">
      <c r="B8" s="35" t="s">
        <v>307</v>
      </c>
      <c r="C8" s="319" t="s">
        <v>353</v>
      </c>
      <c r="D8" s="319" t="s">
        <v>354</v>
      </c>
      <c r="E8" s="319" t="s">
        <v>357</v>
      </c>
      <c r="F8" s="319" t="s">
        <v>359</v>
      </c>
    </row>
    <row r="9" spans="2:8" x14ac:dyDescent="0.25">
      <c r="B9" s="35" t="s">
        <v>308</v>
      </c>
      <c r="C9" s="318" t="s">
        <v>309</v>
      </c>
      <c r="D9" s="318" t="s">
        <v>360</v>
      </c>
      <c r="E9" s="318" t="s">
        <v>309</v>
      </c>
      <c r="F9" s="318" t="s">
        <v>309</v>
      </c>
    </row>
    <row r="10" spans="2:8" x14ac:dyDescent="0.25">
      <c r="B10" s="35" t="s">
        <v>310</v>
      </c>
      <c r="C10" s="315">
        <v>46387</v>
      </c>
      <c r="D10" s="315">
        <v>46387</v>
      </c>
      <c r="E10" s="315">
        <v>46203</v>
      </c>
      <c r="F10" s="315">
        <v>46203</v>
      </c>
    </row>
    <row r="11" spans="2:8" x14ac:dyDescent="0.25">
      <c r="B11" s="35" t="s">
        <v>311</v>
      </c>
      <c r="C11" s="320">
        <f>FSM!D7</f>
        <v>31.54</v>
      </c>
      <c r="D11" s="321">
        <v>1.38</v>
      </c>
      <c r="E11" s="321">
        <v>1.27</v>
      </c>
      <c r="F11" s="321">
        <v>32.54</v>
      </c>
      <c r="H11" s="314"/>
    </row>
    <row r="12" spans="2:8" x14ac:dyDescent="0.25">
      <c r="B12" s="314" t="s">
        <v>312</v>
      </c>
      <c r="C12" s="322">
        <v>46213</v>
      </c>
      <c r="D12" s="322">
        <v>46213</v>
      </c>
      <c r="E12" s="322">
        <v>46213</v>
      </c>
      <c r="F12" s="322">
        <v>46213</v>
      </c>
    </row>
    <row r="14" spans="2:8" x14ac:dyDescent="0.25">
      <c r="B14" s="316" t="s">
        <v>313</v>
      </c>
      <c r="C14" s="317"/>
      <c r="D14" s="317"/>
      <c r="E14" s="317"/>
      <c r="F14" s="317"/>
    </row>
    <row r="15" spans="2:8" x14ac:dyDescent="0.25">
      <c r="B15" s="35" t="s">
        <v>314</v>
      </c>
      <c r="C15" s="323">
        <f>DCF!I61</f>
        <v>80000000</v>
      </c>
      <c r="D15" s="324">
        <v>993700000</v>
      </c>
      <c r="E15" s="324">
        <v>1078100000</v>
      </c>
      <c r="F15" s="324">
        <v>53342513</v>
      </c>
    </row>
    <row r="16" spans="2:8" x14ac:dyDescent="0.25">
      <c r="B16" s="35" t="s">
        <v>315</v>
      </c>
      <c r="C16" s="324"/>
      <c r="D16" s="324"/>
      <c r="E16" s="324"/>
      <c r="F16" s="324"/>
      <c r="H16" s="314"/>
    </row>
    <row r="17" spans="2:6" x14ac:dyDescent="0.25">
      <c r="B17" s="45" t="s">
        <v>316</v>
      </c>
      <c r="C17" s="325">
        <f t="shared" ref="C17" si="0">SUM(C15:C16)</f>
        <v>80000000</v>
      </c>
      <c r="D17" s="325">
        <f>SUM(D15:D16)</f>
        <v>993700000</v>
      </c>
      <c r="E17" s="325">
        <f t="shared" ref="E17:F17" si="1">SUM(E15:E16)</f>
        <v>1078100000</v>
      </c>
      <c r="F17" s="325">
        <f t="shared" si="1"/>
        <v>53342513</v>
      </c>
    </row>
    <row r="19" spans="2:6" x14ac:dyDescent="0.25">
      <c r="B19" s="316" t="s">
        <v>317</v>
      </c>
      <c r="C19" s="317"/>
      <c r="D19" s="317"/>
      <c r="E19" s="317"/>
      <c r="F19" s="317"/>
    </row>
    <row r="20" spans="2:6" x14ac:dyDescent="0.25">
      <c r="B20" s="35" t="s">
        <v>318</v>
      </c>
      <c r="C20" s="323">
        <f>DCF!C57</f>
        <v>1976028881</v>
      </c>
      <c r="D20" s="324">
        <v>1707210000</v>
      </c>
      <c r="E20" s="324">
        <v>1146000000</v>
      </c>
      <c r="F20" s="324">
        <v>315000000</v>
      </c>
    </row>
    <row r="21" spans="2:6" x14ac:dyDescent="0.25">
      <c r="B21" s="35" t="s">
        <v>319</v>
      </c>
      <c r="C21" s="324">
        <f>DCF!C60</f>
        <v>127973731</v>
      </c>
      <c r="D21" s="324">
        <v>15100000</v>
      </c>
      <c r="E21" s="324">
        <v>1100000</v>
      </c>
      <c r="F21" s="324"/>
    </row>
    <row r="22" spans="2:6" x14ac:dyDescent="0.25">
      <c r="B22" s="35" t="s">
        <v>320</v>
      </c>
      <c r="C22" s="323">
        <f>SUM(DCF!C62:C63)</f>
        <v>314032134</v>
      </c>
      <c r="D22" s="324">
        <v>217210000</v>
      </c>
      <c r="E22" s="324">
        <v>44287000</v>
      </c>
      <c r="F22" s="324">
        <v>74000000</v>
      </c>
    </row>
    <row r="23" spans="2:6" x14ac:dyDescent="0.25">
      <c r="B23" s="45" t="s">
        <v>321</v>
      </c>
      <c r="C23" s="325">
        <f>SUM(C20:C21)-SUM(C22)</f>
        <v>1789970478</v>
      </c>
      <c r="D23" s="325">
        <f t="shared" ref="D23:F23" si="2">SUM(D20:D21)-SUM(D22)</f>
        <v>1505100000</v>
      </c>
      <c r="E23" s="325">
        <f t="shared" si="2"/>
        <v>1102813000</v>
      </c>
      <c r="F23" s="325">
        <f t="shared" si="2"/>
        <v>241000000</v>
      </c>
    </row>
    <row r="25" spans="2:6" x14ac:dyDescent="0.25">
      <c r="B25" s="316" t="s">
        <v>322</v>
      </c>
      <c r="C25" s="317"/>
      <c r="D25" s="317"/>
      <c r="E25" s="317"/>
      <c r="F25" s="317"/>
    </row>
    <row r="26" spans="2:6" ht="15.75" thickBot="1" x14ac:dyDescent="0.3">
      <c r="B26" s="45" t="s">
        <v>323</v>
      </c>
      <c r="C26" s="325">
        <f>C17*C11</f>
        <v>2523200000</v>
      </c>
      <c r="D26" s="325">
        <f t="shared" ref="D26:F26" si="3">D17*D11</f>
        <v>1371306000</v>
      </c>
      <c r="E26" s="325">
        <f t="shared" si="3"/>
        <v>1369187000</v>
      </c>
      <c r="F26" s="325">
        <f t="shared" si="3"/>
        <v>1735765373.02</v>
      </c>
    </row>
    <row r="27" spans="2:6" ht="15.75" thickTop="1" x14ac:dyDescent="0.25">
      <c r="B27" s="45" t="s">
        <v>324</v>
      </c>
      <c r="C27" s="326">
        <f>C26+C23</f>
        <v>4313170478</v>
      </c>
      <c r="D27" s="326">
        <f t="shared" ref="D27:F27" si="4">D26+D23</f>
        <v>2876406000</v>
      </c>
      <c r="E27" s="326">
        <f t="shared" si="4"/>
        <v>2472000000</v>
      </c>
      <c r="F27" s="326">
        <f t="shared" si="4"/>
        <v>1976765373.02</v>
      </c>
    </row>
    <row r="29" spans="2:6" x14ac:dyDescent="0.25">
      <c r="B29" s="316" t="s">
        <v>362</v>
      </c>
      <c r="C29" s="317"/>
      <c r="D29" s="317"/>
      <c r="E29" s="317"/>
      <c r="F29" s="317"/>
    </row>
    <row r="30" spans="2:6" x14ac:dyDescent="0.25">
      <c r="B30" s="35" t="s">
        <v>18</v>
      </c>
      <c r="C30" s="323">
        <v>7803673428</v>
      </c>
      <c r="D30" s="324">
        <v>3284600000</v>
      </c>
      <c r="E30" s="324">
        <v>2286330000</v>
      </c>
      <c r="F30" s="324">
        <v>1900000000</v>
      </c>
    </row>
    <row r="31" spans="2:6" x14ac:dyDescent="0.25">
      <c r="B31" s="35" t="s">
        <v>20</v>
      </c>
      <c r="C31" s="323">
        <v>980780105</v>
      </c>
      <c r="D31" s="324">
        <v>623600000</v>
      </c>
      <c r="E31" s="324">
        <v>191800000</v>
      </c>
      <c r="F31" s="324">
        <v>220100000</v>
      </c>
    </row>
    <row r="32" spans="2:6" x14ac:dyDescent="0.25">
      <c r="B32" s="35" t="s">
        <v>22</v>
      </c>
      <c r="C32" s="323">
        <v>742568366</v>
      </c>
      <c r="D32" s="324">
        <v>331800000</v>
      </c>
      <c r="E32" s="324">
        <v>117857000</v>
      </c>
      <c r="F32" s="324">
        <v>132000000</v>
      </c>
    </row>
    <row r="33" spans="2:6" x14ac:dyDescent="0.25">
      <c r="B33" s="35" t="s">
        <v>134</v>
      </c>
      <c r="C33" s="323">
        <v>259297144</v>
      </c>
      <c r="D33" s="324">
        <v>248500000</v>
      </c>
      <c r="E33" s="324">
        <v>37567000</v>
      </c>
      <c r="F33" s="324">
        <v>-89000000</v>
      </c>
    </row>
    <row r="34" spans="2:6" x14ac:dyDescent="0.25">
      <c r="B34" s="314" t="s">
        <v>325</v>
      </c>
      <c r="C34" s="327">
        <f>C31/C30</f>
        <v>0.12568184894576806</v>
      </c>
      <c r="D34" s="327">
        <f t="shared" ref="D34:F34" si="5">D31/D30</f>
        <v>0.18985569019058637</v>
      </c>
      <c r="E34" s="327">
        <f t="shared" si="5"/>
        <v>8.3889902157606291E-2</v>
      </c>
      <c r="F34" s="327">
        <f t="shared" si="5"/>
        <v>0.1158421052631579</v>
      </c>
    </row>
    <row r="36" spans="2:6" x14ac:dyDescent="0.25">
      <c r="B36" s="316" t="s">
        <v>326</v>
      </c>
      <c r="C36" s="317"/>
      <c r="D36" s="317"/>
      <c r="E36" s="317"/>
      <c r="F36" s="317"/>
    </row>
    <row r="37" spans="2:6" x14ac:dyDescent="0.25">
      <c r="B37" s="35" t="s">
        <v>327</v>
      </c>
      <c r="C37" s="328">
        <f>C$27/C30</f>
        <v>0.55271027392357452</v>
      </c>
      <c r="D37" s="328">
        <f t="shared" ref="D37:F37" si="6">D$27/D30</f>
        <v>0.87572489800888997</v>
      </c>
      <c r="E37" s="328">
        <f t="shared" si="6"/>
        <v>1.0812087493931322</v>
      </c>
      <c r="F37" s="328">
        <f t="shared" si="6"/>
        <v>1.0404028279052631</v>
      </c>
    </row>
    <row r="38" spans="2:6" x14ac:dyDescent="0.25">
      <c r="B38" s="45" t="s">
        <v>328</v>
      </c>
      <c r="C38" s="329">
        <f>C$27/C31</f>
        <v>4.3976936889436598</v>
      </c>
      <c r="D38" s="329">
        <f t="shared" ref="D38:F38" si="7">D$27/D31</f>
        <v>4.6125817831943552</v>
      </c>
      <c r="E38" s="329">
        <f t="shared" si="7"/>
        <v>12.888425443169968</v>
      </c>
      <c r="F38" s="329">
        <f t="shared" si="7"/>
        <v>8.981214779736483</v>
      </c>
    </row>
    <row r="39" spans="2:6" x14ac:dyDescent="0.25">
      <c r="B39" s="35" t="s">
        <v>329</v>
      </c>
      <c r="C39" s="328">
        <f>C$27/C32</f>
        <v>5.8084489933685113</v>
      </c>
      <c r="D39" s="328">
        <f t="shared" ref="D39:F39" si="8">D$27/D32</f>
        <v>8.6690958408679926</v>
      </c>
      <c r="E39" s="328">
        <f t="shared" si="8"/>
        <v>20.97457087826773</v>
      </c>
      <c r="F39" s="328">
        <f t="shared" si="8"/>
        <v>14.975495250151514</v>
      </c>
    </row>
    <row r="40" spans="2:6" x14ac:dyDescent="0.25">
      <c r="B40" s="45" t="s">
        <v>330</v>
      </c>
      <c r="C40" s="329">
        <f>C$26/C33</f>
        <v>9.7309209082534291</v>
      </c>
      <c r="D40" s="329">
        <f t="shared" ref="D40:F40" si="9">D$26/D33</f>
        <v>5.5183340040241449</v>
      </c>
      <c r="E40" s="329">
        <f t="shared" si="9"/>
        <v>36.446535523198548</v>
      </c>
      <c r="F40" s="329">
        <f t="shared" si="9"/>
        <v>-19.502981719325842</v>
      </c>
    </row>
    <row r="42" spans="2:6" x14ac:dyDescent="0.25">
      <c r="B42" s="316" t="s">
        <v>361</v>
      </c>
      <c r="C42" s="317"/>
      <c r="D42" s="317"/>
      <c r="E42" s="317"/>
      <c r="F42" s="317"/>
    </row>
    <row r="43" spans="2:6" x14ac:dyDescent="0.25">
      <c r="C43" s="45" t="s">
        <v>331</v>
      </c>
      <c r="D43" s="45" t="s">
        <v>332</v>
      </c>
      <c r="E43" s="45" t="s">
        <v>333</v>
      </c>
      <c r="F43" s="45" t="s">
        <v>334</v>
      </c>
    </row>
    <row r="44" spans="2:6" x14ac:dyDescent="0.25">
      <c r="B44" s="35" t="s">
        <v>335</v>
      </c>
      <c r="C44" s="328">
        <f>AVERAGE(D37:F37)</f>
        <v>0.99911215843576162</v>
      </c>
      <c r="D44" s="328">
        <f>AVERAGE(D38:F38)</f>
        <v>8.8274073353669351</v>
      </c>
      <c r="E44" s="328">
        <f>AVERAGE(D39:F39)</f>
        <v>14.873053989762411</v>
      </c>
      <c r="F44" s="328">
        <f>AVERAGE(D40:E40)</f>
        <v>20.982434763611348</v>
      </c>
    </row>
    <row r="45" spans="2:6" x14ac:dyDescent="0.25">
      <c r="B45" s="45" t="s">
        <v>336</v>
      </c>
      <c r="C45" s="329">
        <f>MEDIAN(D37:F37)</f>
        <v>1.0404028279052631</v>
      </c>
      <c r="D45" s="329">
        <f>MEDIAN(D38:F38)</f>
        <v>8.981214779736483</v>
      </c>
      <c r="E45" s="329">
        <f>MEDIAN(D39:F39)</f>
        <v>14.975495250151514</v>
      </c>
      <c r="F45" s="329">
        <f>MEDIAN(D40:E40)</f>
        <v>20.982434763611348</v>
      </c>
    </row>
    <row r="46" spans="2:6" x14ac:dyDescent="0.25">
      <c r="B46" s="35" t="s">
        <v>98</v>
      </c>
      <c r="C46" s="328">
        <f>MAX(D37:F37)</f>
        <v>1.0812087493931322</v>
      </c>
      <c r="D46" s="328">
        <f>MAX(D38:F38)</f>
        <v>12.888425443169968</v>
      </c>
      <c r="E46" s="328">
        <f>MAX(D39:F39)</f>
        <v>20.97457087826773</v>
      </c>
      <c r="F46" s="328">
        <f>MAX(D40:F40)</f>
        <v>36.446535523198548</v>
      </c>
    </row>
    <row r="47" spans="2:6" x14ac:dyDescent="0.25">
      <c r="B47" s="35" t="s">
        <v>96</v>
      </c>
      <c r="C47" s="328">
        <f>MIN(D37:F37)</f>
        <v>0.87572489800888997</v>
      </c>
      <c r="D47" s="328">
        <f>MIN(D38:F38)</f>
        <v>4.6125817831943552</v>
      </c>
      <c r="E47" s="328">
        <f>MIN(D39:F39)</f>
        <v>8.6690958408679926</v>
      </c>
      <c r="F47" s="328">
        <f>MIN(D40:F40)</f>
        <v>-19.502981719325842</v>
      </c>
    </row>
    <row r="49" spans="2:6" x14ac:dyDescent="0.25">
      <c r="B49" s="316" t="s">
        <v>337</v>
      </c>
      <c r="C49" s="317"/>
      <c r="D49" s="317"/>
      <c r="E49" s="317"/>
      <c r="F49" s="317"/>
    </row>
    <row r="50" spans="2:6" x14ac:dyDescent="0.25">
      <c r="B50" s="45" t="s">
        <v>338</v>
      </c>
    </row>
    <row r="51" spans="2:6" x14ac:dyDescent="0.25">
      <c r="B51" s="35" t="s">
        <v>339</v>
      </c>
      <c r="C51" s="328">
        <f>D45</f>
        <v>8.981214779736483</v>
      </c>
    </row>
    <row r="52" spans="2:6" x14ac:dyDescent="0.25">
      <c r="B52" s="35" t="s">
        <v>340</v>
      </c>
      <c r="C52" s="330">
        <f>C31</f>
        <v>980780105</v>
      </c>
    </row>
    <row r="53" spans="2:6" x14ac:dyDescent="0.25">
      <c r="B53" s="35" t="s">
        <v>341</v>
      </c>
      <c r="C53" s="330">
        <f>C51*C52</f>
        <v>8808596774.6975002</v>
      </c>
    </row>
    <row r="54" spans="2:6" x14ac:dyDescent="0.25">
      <c r="B54" s="35" t="s">
        <v>342</v>
      </c>
      <c r="C54" s="330">
        <f>C23</f>
        <v>1789970478</v>
      </c>
    </row>
    <row r="55" spans="2:6" x14ac:dyDescent="0.25">
      <c r="B55" s="35" t="s">
        <v>343</v>
      </c>
      <c r="C55" s="330">
        <f>C53-C54</f>
        <v>7018626296.6975002</v>
      </c>
    </row>
    <row r="56" spans="2:6" ht="15.75" thickBot="1" x14ac:dyDescent="0.3">
      <c r="B56" s="35" t="s">
        <v>316</v>
      </c>
      <c r="C56" s="330">
        <f>$C$17</f>
        <v>80000000</v>
      </c>
    </row>
    <row r="57" spans="2:6" ht="15.75" thickTop="1" x14ac:dyDescent="0.25">
      <c r="B57" s="45" t="s">
        <v>344</v>
      </c>
      <c r="C57" s="331">
        <f>C55/C56</f>
        <v>87.732828708718756</v>
      </c>
    </row>
    <row r="59" spans="2:6" x14ac:dyDescent="0.25">
      <c r="B59" s="45" t="s">
        <v>345</v>
      </c>
    </row>
    <row r="60" spans="2:6" x14ac:dyDescent="0.25">
      <c r="B60" s="35" t="s">
        <v>346</v>
      </c>
      <c r="C60" s="328">
        <f>F45</f>
        <v>20.982434763611348</v>
      </c>
    </row>
    <row r="61" spans="2:6" x14ac:dyDescent="0.25">
      <c r="B61" s="35" t="s">
        <v>347</v>
      </c>
      <c r="C61" s="330">
        <f>C33</f>
        <v>259297144</v>
      </c>
    </row>
    <row r="62" spans="2:6" x14ac:dyDescent="0.25">
      <c r="B62" s="35" t="s">
        <v>343</v>
      </c>
      <c r="C62" s="330">
        <f>C60*C61</f>
        <v>5440685408.370738</v>
      </c>
    </row>
    <row r="63" spans="2:6" ht="15.75" thickBot="1" x14ac:dyDescent="0.3">
      <c r="B63" s="35" t="s">
        <v>316</v>
      </c>
      <c r="C63" s="330">
        <f>$C$17</f>
        <v>80000000</v>
      </c>
    </row>
    <row r="64" spans="2:6" ht="15.75" thickTop="1" x14ac:dyDescent="0.25">
      <c r="B64" s="45" t="s">
        <v>344</v>
      </c>
      <c r="C64" s="331">
        <f>C62/C63</f>
        <v>68.008567604634223</v>
      </c>
    </row>
    <row r="66" spans="2:3" x14ac:dyDescent="0.25">
      <c r="B66" s="45" t="s">
        <v>348</v>
      </c>
    </row>
    <row r="67" spans="2:3" x14ac:dyDescent="0.25">
      <c r="B67" s="35" t="s">
        <v>332</v>
      </c>
      <c r="C67" s="328">
        <f>F38</f>
        <v>8.981214779736483</v>
      </c>
    </row>
    <row r="68" spans="2:3" x14ac:dyDescent="0.25">
      <c r="B68" s="35" t="s">
        <v>340</v>
      </c>
      <c r="C68" s="19">
        <f>C31</f>
        <v>980780105</v>
      </c>
    </row>
    <row r="69" spans="2:3" x14ac:dyDescent="0.25">
      <c r="B69" s="35" t="s">
        <v>341</v>
      </c>
      <c r="C69" s="19">
        <f>C67*C68</f>
        <v>8808596774.6975002</v>
      </c>
    </row>
    <row r="70" spans="2:3" x14ac:dyDescent="0.25">
      <c r="B70" s="35" t="s">
        <v>342</v>
      </c>
      <c r="C70" s="19">
        <f>C23</f>
        <v>1789970478</v>
      </c>
    </row>
    <row r="71" spans="2:3" x14ac:dyDescent="0.25">
      <c r="B71" s="35" t="s">
        <v>343</v>
      </c>
      <c r="C71" s="19">
        <f>C69-C70</f>
        <v>7018626296.6975002</v>
      </c>
    </row>
    <row r="72" spans="2:3" ht="15.75" thickBot="1" x14ac:dyDescent="0.3">
      <c r="B72" s="35" t="s">
        <v>316</v>
      </c>
      <c r="C72" s="330">
        <f>C63</f>
        <v>80000000</v>
      </c>
    </row>
    <row r="73" spans="2:3" ht="15.75" thickTop="1" x14ac:dyDescent="0.25">
      <c r="B73" s="45" t="s">
        <v>344</v>
      </c>
      <c r="C73" s="331">
        <f>C71/C72</f>
        <v>87.732828708718756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FSM</vt:lpstr>
      <vt:lpstr>DCF</vt:lpstr>
      <vt:lpstr>WACC</vt:lpstr>
      <vt:lpstr>Trading Comps</vt:lpstr>
      <vt:lpstr>FSM!Company_Name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WAEL</dc:creator>
  <cp:lastModifiedBy>Ahmed Wael</cp:lastModifiedBy>
  <cp:revision>0</cp:revision>
  <dcterms:created xsi:type="dcterms:W3CDTF">2015-06-05T18:17:20Z</dcterms:created>
  <dcterms:modified xsi:type="dcterms:W3CDTF">2026-07-12T03:04:22Z</dcterms:modified>
  <dc:language>en-US</dc:language>
</cp:coreProperties>
</file>