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Valuations\HALN - CA\"/>
    </mc:Choice>
  </mc:AlternateContent>
  <xr:revisionPtr revIDLastSave="0" documentId="13_ncr:1_{1B6EAA8F-B806-4DB1-8850-971A56C1D749}" xr6:coauthVersionLast="47" xr6:coauthVersionMax="47" xr10:uidLastSave="{00000000-0000-0000-0000-000000000000}"/>
  <bookViews>
    <workbookView xWindow="-120" yWindow="-120" windowWidth="29040" windowHeight="15840" tabRatio="646" xr2:uid="{00000000-000D-0000-FFFF-FFFF00000000}"/>
  </bookViews>
  <sheets>
    <sheet name="FSM" sheetId="1" r:id="rId1"/>
    <sheet name="Residual Income" sheetId="8" r:id="rId2"/>
    <sheet name="Cost of equity (Ke​)" sheetId="4" r:id="rId3"/>
    <sheet name="Trading Comps" sheetId="5" r:id="rId4"/>
  </sheets>
  <definedNames>
    <definedName name="CIQWBGuid" localSheetId="2" hidden="1">"DCF_complete.xlsx"</definedName>
    <definedName name="CIQWBGuid" localSheetId="1" hidden="1">"DCF_complete.xlsx"</definedName>
    <definedName name="CIQWBGuid" hidden="1">"a611639b-bab1-425e-aaa5-008c326fdfdb"</definedName>
    <definedName name="Company_Name" localSheetId="0">FSM!$D$5</definedName>
    <definedName name="Company_Name">FSM!$D$5</definedName>
    <definedName name="Hist_Yr" localSheetId="0">FSM!#REF!</definedName>
    <definedName name="Hist_Yr">FSM!$D$9</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localSheetId="2" hidden="1">43549.6880671296</definedName>
    <definedName name="IQ_NAMES_REVISION_DATE_" localSheetId="1" hidden="1">43549.6880671296</definedName>
    <definedName name="IQ_NAMES_REVISION_DATE_" hidden="1">43588.5561574074</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10" i="1" l="1"/>
  <c r="F266" i="1"/>
  <c r="F351" i="1"/>
  <c r="G346" i="1" s="1"/>
  <c r="G25" i="5"/>
  <c r="G16" i="5"/>
  <c r="C61" i="8"/>
  <c r="C62" i="8" s="1"/>
  <c r="C59" i="8"/>
  <c r="C58" i="8"/>
  <c r="G57" i="8"/>
  <c r="H57" i="8" s="1"/>
  <c r="E57" i="8"/>
  <c r="D57" i="8"/>
  <c r="I53" i="8"/>
  <c r="C48" i="8" s="1"/>
  <c r="B42" i="8"/>
  <c r="D12" i="8"/>
  <c r="E12" i="8" s="1"/>
  <c r="C12" i="8"/>
  <c r="D6" i="8"/>
  <c r="H5" i="8"/>
  <c r="D5" i="8"/>
  <c r="D8" i="8" s="1"/>
  <c r="C32" i="8" s="1"/>
  <c r="H4" i="8"/>
  <c r="F33" i="5"/>
  <c r="E33" i="5"/>
  <c r="D33" i="5"/>
  <c r="C33" i="5"/>
  <c r="F27" i="5"/>
  <c r="E27" i="5"/>
  <c r="D27" i="5"/>
  <c r="C27" i="5"/>
  <c r="F17" i="5"/>
  <c r="F20" i="5" s="1"/>
  <c r="E17" i="5"/>
  <c r="E20" i="5" s="1"/>
  <c r="D17" i="5"/>
  <c r="D20" i="5" s="1"/>
  <c r="C17" i="5"/>
  <c r="C20" i="5" s="1"/>
  <c r="G15" i="5"/>
  <c r="F12" i="5"/>
  <c r="E12" i="5"/>
  <c r="D12" i="5"/>
  <c r="C12" i="5"/>
  <c r="C24" i="4"/>
  <c r="C18" i="4"/>
  <c r="C19" i="4" s="1"/>
  <c r="C16" i="4"/>
  <c r="C15" i="4"/>
  <c r="F14" i="4"/>
  <c r="D14" i="4"/>
  <c r="C7" i="4"/>
  <c r="C10" i="4" s="1"/>
  <c r="G395" i="1"/>
  <c r="F395" i="1"/>
  <c r="E395" i="1"/>
  <c r="F394" i="1"/>
  <c r="E394" i="1"/>
  <c r="H393" i="1"/>
  <c r="I393" i="1" s="1"/>
  <c r="J393" i="1" s="1"/>
  <c r="K393" i="1" s="1"/>
  <c r="G392" i="1"/>
  <c r="G394" i="1" s="1"/>
  <c r="G107" i="1" s="1"/>
  <c r="H391" i="1"/>
  <c r="F384" i="1"/>
  <c r="G384" i="1" s="1"/>
  <c r="E384" i="1"/>
  <c r="F381" i="1"/>
  <c r="G380" i="1"/>
  <c r="G379" i="1"/>
  <c r="H379" i="1" s="1"/>
  <c r="I379" i="1" s="1"/>
  <c r="J379" i="1" s="1"/>
  <c r="K379" i="1" s="1"/>
  <c r="F373" i="1"/>
  <c r="E373" i="1"/>
  <c r="F372" i="1"/>
  <c r="G372" i="1" s="1"/>
  <c r="E372" i="1"/>
  <c r="F367" i="1"/>
  <c r="E367" i="1"/>
  <c r="F366" i="1"/>
  <c r="G366" i="1" s="1"/>
  <c r="E366" i="1"/>
  <c r="G358" i="1"/>
  <c r="H358" i="1" s="1"/>
  <c r="I358" i="1" s="1"/>
  <c r="J358" i="1" s="1"/>
  <c r="K358" i="1" s="1"/>
  <c r="F358" i="1"/>
  <c r="E358" i="1"/>
  <c r="F352" i="1"/>
  <c r="G352" i="1" s="1"/>
  <c r="H352" i="1" s="1"/>
  <c r="I352" i="1" s="1"/>
  <c r="J352" i="1" s="1"/>
  <c r="K352" i="1" s="1"/>
  <c r="E351" i="1"/>
  <c r="F346" i="1" s="1"/>
  <c r="D351" i="1"/>
  <c r="E346" i="1" s="1"/>
  <c r="F348" i="1"/>
  <c r="E348" i="1"/>
  <c r="F347" i="1"/>
  <c r="E347" i="1"/>
  <c r="G338" i="1"/>
  <c r="H338" i="1" s="1"/>
  <c r="F335" i="1"/>
  <c r="H329" i="1"/>
  <c r="I329" i="1" s="1"/>
  <c r="J329" i="1" s="1"/>
  <c r="K329" i="1" s="1"/>
  <c r="G328" i="1"/>
  <c r="G323" i="1"/>
  <c r="G320" i="1"/>
  <c r="F320" i="1"/>
  <c r="E320" i="1"/>
  <c r="D318" i="1"/>
  <c r="D319" i="1" s="1"/>
  <c r="F316" i="1"/>
  <c r="E316" i="1"/>
  <c r="F317" i="1" s="1"/>
  <c r="F306" i="1" s="1"/>
  <c r="D316" i="1"/>
  <c r="E317" i="1" s="1"/>
  <c r="E306" i="1" s="1"/>
  <c r="F315" i="1"/>
  <c r="G313" i="1"/>
  <c r="F311" i="1"/>
  <c r="G309" i="1"/>
  <c r="G311" i="1" s="1"/>
  <c r="P308" i="1"/>
  <c r="P307" i="1"/>
  <c r="P306" i="1"/>
  <c r="P305" i="1"/>
  <c r="P304" i="1"/>
  <c r="I304" i="1"/>
  <c r="J304" i="1" s="1"/>
  <c r="K304" i="1" s="1"/>
  <c r="G304" i="1"/>
  <c r="P303" i="1"/>
  <c r="F304" i="1" s="1"/>
  <c r="I303" i="1"/>
  <c r="G303" i="1"/>
  <c r="F303" i="1"/>
  <c r="P301" i="1"/>
  <c r="P300" i="1"/>
  <c r="P299" i="1"/>
  <c r="H294" i="1"/>
  <c r="I294" i="1" s="1"/>
  <c r="F292" i="1"/>
  <c r="E292" i="1"/>
  <c r="D292" i="1"/>
  <c r="F290" i="1"/>
  <c r="G289" i="1"/>
  <c r="F289" i="1"/>
  <c r="E289" i="1"/>
  <c r="F280" i="1"/>
  <c r="E280" i="1"/>
  <c r="F283" i="1" s="1"/>
  <c r="G283" i="1" s="1"/>
  <c r="D280" i="1"/>
  <c r="E283" i="1" s="1"/>
  <c r="G277" i="1"/>
  <c r="F277" i="1"/>
  <c r="E277" i="1"/>
  <c r="F267" i="1"/>
  <c r="G267" i="1" s="1"/>
  <c r="H267" i="1" s="1"/>
  <c r="I267" i="1" s="1"/>
  <c r="J267" i="1" s="1"/>
  <c r="K267" i="1" s="1"/>
  <c r="E266" i="1"/>
  <c r="D266" i="1"/>
  <c r="F263" i="1"/>
  <c r="G262" i="1"/>
  <c r="F262" i="1"/>
  <c r="E262" i="1"/>
  <c r="H256" i="1"/>
  <c r="I256" i="1" s="1"/>
  <c r="F253" i="1"/>
  <c r="E253" i="1"/>
  <c r="D253" i="1"/>
  <c r="F251" i="1"/>
  <c r="E251" i="1"/>
  <c r="D251" i="1"/>
  <c r="G250" i="1"/>
  <c r="F250" i="1"/>
  <c r="E250" i="1"/>
  <c r="F247" i="1"/>
  <c r="E247" i="1"/>
  <c r="D247" i="1"/>
  <c r="G244" i="1"/>
  <c r="F244" i="1"/>
  <c r="E244" i="1"/>
  <c r="F236" i="1"/>
  <c r="E236" i="1"/>
  <c r="D236" i="1"/>
  <c r="F235" i="1"/>
  <c r="E235" i="1"/>
  <c r="D235" i="1"/>
  <c r="F231" i="1"/>
  <c r="E231" i="1"/>
  <c r="F232" i="1" s="1"/>
  <c r="D231" i="1"/>
  <c r="E232" i="1" s="1"/>
  <c r="F214" i="1"/>
  <c r="G214" i="1" s="1"/>
  <c r="E214" i="1"/>
  <c r="D214" i="1"/>
  <c r="F213" i="1"/>
  <c r="E213" i="1"/>
  <c r="D213" i="1"/>
  <c r="F209" i="1"/>
  <c r="F222" i="1" s="1"/>
  <c r="G222" i="1" s="1"/>
  <c r="E209" i="1"/>
  <c r="E222" i="1" s="1"/>
  <c r="D209" i="1"/>
  <c r="D222" i="1" s="1"/>
  <c r="F208" i="1"/>
  <c r="E208" i="1"/>
  <c r="D208" i="1"/>
  <c r="F207" i="1"/>
  <c r="E207" i="1"/>
  <c r="E210" i="1" s="1"/>
  <c r="D207" i="1"/>
  <c r="D210" i="1" s="1"/>
  <c r="F200" i="1"/>
  <c r="G200" i="1" s="1"/>
  <c r="H200" i="1" s="1"/>
  <c r="I200" i="1" s="1"/>
  <c r="J200" i="1" s="1"/>
  <c r="K200" i="1" s="1"/>
  <c r="E200" i="1"/>
  <c r="D200" i="1"/>
  <c r="F199" i="1"/>
  <c r="E199" i="1"/>
  <c r="D199" i="1"/>
  <c r="F195" i="1"/>
  <c r="E195" i="1"/>
  <c r="D195" i="1"/>
  <c r="F187" i="1"/>
  <c r="E187" i="1"/>
  <c r="C187" i="1"/>
  <c r="F186" i="1"/>
  <c r="E186" i="1"/>
  <c r="C186" i="1"/>
  <c r="F185" i="1"/>
  <c r="E185" i="1"/>
  <c r="C185" i="1"/>
  <c r="F184" i="1"/>
  <c r="E184" i="1"/>
  <c r="C184" i="1"/>
  <c r="F183" i="1"/>
  <c r="E183" i="1"/>
  <c r="C183" i="1"/>
  <c r="F182" i="1"/>
  <c r="E182" i="1"/>
  <c r="C182" i="1"/>
  <c r="F178" i="1"/>
  <c r="E178" i="1"/>
  <c r="D178" i="1"/>
  <c r="G177" i="1"/>
  <c r="H177" i="1" s="1"/>
  <c r="I177" i="1" s="1"/>
  <c r="J177" i="1" s="1"/>
  <c r="K177" i="1" s="1"/>
  <c r="G175" i="1"/>
  <c r="H175" i="1" s="1"/>
  <c r="I175" i="1" s="1"/>
  <c r="J175" i="1" s="1"/>
  <c r="K175" i="1" s="1"/>
  <c r="G174" i="1"/>
  <c r="H174" i="1" s="1"/>
  <c r="I174" i="1" s="1"/>
  <c r="J174" i="1" s="1"/>
  <c r="K174" i="1" s="1"/>
  <c r="G173" i="1"/>
  <c r="F164" i="1"/>
  <c r="E164" i="1"/>
  <c r="D164" i="1"/>
  <c r="F157" i="1"/>
  <c r="E157" i="1"/>
  <c r="D157" i="1"/>
  <c r="F155" i="1"/>
  <c r="E155" i="1"/>
  <c r="G154" i="1"/>
  <c r="F154" i="1"/>
  <c r="F160" i="1" s="1"/>
  <c r="G160" i="1" s="1"/>
  <c r="H160" i="1" s="1"/>
  <c r="I160" i="1" s="1"/>
  <c r="J160" i="1" s="1"/>
  <c r="K160" i="1" s="1"/>
  <c r="E154" i="1"/>
  <c r="E160" i="1" s="1"/>
  <c r="G145" i="1"/>
  <c r="F110" i="1"/>
  <c r="E110" i="1"/>
  <c r="E112" i="1" s="1"/>
  <c r="D110" i="1"/>
  <c r="D112" i="1" s="1"/>
  <c r="G106" i="1"/>
  <c r="H106" i="1" s="1"/>
  <c r="I106" i="1" s="1"/>
  <c r="J106" i="1" s="1"/>
  <c r="K106" i="1" s="1"/>
  <c r="G105" i="1"/>
  <c r="F100" i="1"/>
  <c r="E100" i="1"/>
  <c r="D100" i="1"/>
  <c r="G98" i="1"/>
  <c r="G97" i="1"/>
  <c r="H97" i="1" s="1"/>
  <c r="I97" i="1" s="1"/>
  <c r="J97" i="1" s="1"/>
  <c r="K97" i="1" s="1"/>
  <c r="F92" i="1"/>
  <c r="F102" i="1" s="1"/>
  <c r="E92" i="1"/>
  <c r="E102" i="1" s="1"/>
  <c r="E114" i="1" s="1"/>
  <c r="D92" i="1"/>
  <c r="D102" i="1" s="1"/>
  <c r="D114" i="1" s="1"/>
  <c r="G91" i="1"/>
  <c r="H91" i="1" s="1"/>
  <c r="I91" i="1" s="1"/>
  <c r="J91" i="1" s="1"/>
  <c r="K91" i="1" s="1"/>
  <c r="J86" i="1"/>
  <c r="I86" i="1"/>
  <c r="G86" i="1"/>
  <c r="F78" i="1"/>
  <c r="E78" i="1"/>
  <c r="D78" i="1"/>
  <c r="G77" i="1"/>
  <c r="H77" i="1" s="1"/>
  <c r="I77" i="1" s="1"/>
  <c r="J77" i="1" s="1"/>
  <c r="K77" i="1" s="1"/>
  <c r="G76" i="1"/>
  <c r="H76" i="1" s="1"/>
  <c r="I76" i="1" s="1"/>
  <c r="J76" i="1" s="1"/>
  <c r="K76" i="1" s="1"/>
  <c r="G75" i="1"/>
  <c r="H75" i="1" s="1"/>
  <c r="I75" i="1" s="1"/>
  <c r="J75" i="1" s="1"/>
  <c r="K75" i="1" s="1"/>
  <c r="G72" i="1"/>
  <c r="H72" i="1" s="1"/>
  <c r="I72" i="1" s="1"/>
  <c r="J72" i="1" s="1"/>
  <c r="K72" i="1" s="1"/>
  <c r="F67" i="1"/>
  <c r="F80" i="1" s="1"/>
  <c r="E67" i="1"/>
  <c r="E80" i="1" s="1"/>
  <c r="E116" i="1" s="1"/>
  <c r="D67" i="1"/>
  <c r="D80" i="1" s="1"/>
  <c r="D116" i="1" s="1"/>
  <c r="G64" i="1"/>
  <c r="H64" i="1" s="1"/>
  <c r="I64" i="1" s="1"/>
  <c r="J64" i="1" s="1"/>
  <c r="K64" i="1" s="1"/>
  <c r="F53" i="1"/>
  <c r="G53" i="1" s="1"/>
  <c r="E53" i="1"/>
  <c r="C53" i="1"/>
  <c r="C52" i="1"/>
  <c r="C51" i="1"/>
  <c r="F49" i="1"/>
  <c r="E49" i="1"/>
  <c r="D49" i="1"/>
  <c r="H40" i="1"/>
  <c r="I40" i="1" s="1"/>
  <c r="G30" i="1"/>
  <c r="H30" i="1" s="1"/>
  <c r="I30" i="1" s="1"/>
  <c r="J30" i="1" s="1"/>
  <c r="K30" i="1" s="1"/>
  <c r="F29" i="1"/>
  <c r="E29" i="1"/>
  <c r="D29" i="1"/>
  <c r="F23" i="1"/>
  <c r="E23" i="1"/>
  <c r="D23" i="1"/>
  <c r="F21" i="1"/>
  <c r="E21" i="1"/>
  <c r="D21" i="1"/>
  <c r="F18" i="1"/>
  <c r="E18" i="1"/>
  <c r="D18" i="1"/>
  <c r="F14" i="1"/>
  <c r="E14" i="1"/>
  <c r="F13" i="1"/>
  <c r="C2" i="1"/>
  <c r="D180" i="1" l="1"/>
  <c r="F294" i="1"/>
  <c r="F269" i="1"/>
  <c r="G269" i="1" s="1"/>
  <c r="H269" i="1" s="1"/>
  <c r="E180" i="1"/>
  <c r="F159" i="1"/>
  <c r="G159" i="1" s="1"/>
  <c r="F237" i="1"/>
  <c r="E237" i="1"/>
  <c r="D237" i="1"/>
  <c r="F180" i="1"/>
  <c r="E159" i="1"/>
  <c r="F286" i="1"/>
  <c r="F259" i="1"/>
  <c r="F240" i="1"/>
  <c r="F274" i="1"/>
  <c r="F169" i="1"/>
  <c r="E13" i="1"/>
  <c r="F355" i="1"/>
  <c r="G355" i="1" s="1"/>
  <c r="E355" i="1"/>
  <c r="F233" i="1"/>
  <c r="E233" i="1"/>
  <c r="F223" i="1"/>
  <c r="E223" i="1"/>
  <c r="D223" i="1"/>
  <c r="F197" i="1"/>
  <c r="E197" i="1"/>
  <c r="D197" i="1"/>
  <c r="F52" i="1"/>
  <c r="F350" i="1"/>
  <c r="E52" i="1"/>
  <c r="G52" i="1" s="1"/>
  <c r="E350" i="1"/>
  <c r="E14" i="8"/>
  <c r="D14" i="8"/>
  <c r="F298" i="1"/>
  <c r="F388" i="1"/>
  <c r="F43" i="1"/>
  <c r="G13" i="1"/>
  <c r="F362" i="1"/>
  <c r="F203" i="1"/>
  <c r="F190" i="1"/>
  <c r="F343" i="1"/>
  <c r="F151" i="1"/>
  <c r="F56" i="1"/>
  <c r="F227" i="1"/>
  <c r="E298" i="1"/>
  <c r="E388" i="1"/>
  <c r="E362" i="1"/>
  <c r="E343" i="1"/>
  <c r="E227" i="1"/>
  <c r="E151" i="1"/>
  <c r="E203" i="1"/>
  <c r="E56" i="1"/>
  <c r="E190" i="1"/>
  <c r="E43" i="1"/>
  <c r="F12" i="8"/>
  <c r="E31" i="8"/>
  <c r="D31" i="8"/>
  <c r="B29" i="8"/>
  <c r="B41" i="8"/>
  <c r="I21" i="8"/>
  <c r="G21" i="8"/>
  <c r="H21" i="8"/>
  <c r="F21" i="8"/>
  <c r="E21" i="8"/>
  <c r="F41" i="5"/>
  <c r="F40" i="5"/>
  <c r="F39" i="5"/>
  <c r="F38" i="5"/>
  <c r="F30" i="5"/>
  <c r="F31" i="5"/>
  <c r="F32" i="5"/>
  <c r="E30" i="5"/>
  <c r="C66" i="5" s="1"/>
  <c r="E31" i="5"/>
  <c r="E32" i="5"/>
  <c r="D30" i="5"/>
  <c r="D31" i="5"/>
  <c r="D32" i="5"/>
  <c r="C30" i="5"/>
  <c r="C39" i="5" s="1"/>
  <c r="C45" i="5" s="1"/>
  <c r="C31" i="5"/>
  <c r="C32" i="5"/>
  <c r="C48" i="5"/>
  <c r="C55" i="5" s="1"/>
  <c r="C62" i="5" s="1"/>
  <c r="C69" i="5" s="1"/>
  <c r="G17" i="5"/>
  <c r="G20" i="5" s="1"/>
  <c r="C14" i="4"/>
  <c r="H392" i="1"/>
  <c r="H98" i="1" s="1"/>
  <c r="H394" i="1"/>
  <c r="H107" i="1" s="1"/>
  <c r="I391" i="1"/>
  <c r="H384" i="1"/>
  <c r="G26" i="5"/>
  <c r="H380" i="1"/>
  <c r="F375" i="1"/>
  <c r="F374" i="1"/>
  <c r="G374" i="1" s="1"/>
  <c r="E374" i="1"/>
  <c r="E375" i="1"/>
  <c r="H372" i="1"/>
  <c r="F368" i="1"/>
  <c r="G368" i="1" s="1"/>
  <c r="F369" i="1"/>
  <c r="E368" i="1"/>
  <c r="E369" i="1"/>
  <c r="H366" i="1"/>
  <c r="F359" i="1"/>
  <c r="F360" i="1" s="1"/>
  <c r="G360" i="1" s="1"/>
  <c r="E352" i="1"/>
  <c r="D352" i="1"/>
  <c r="E359" i="1"/>
  <c r="F357" i="1"/>
  <c r="F356" i="1"/>
  <c r="G356" i="1" s="1"/>
  <c r="G347" i="1"/>
  <c r="F354" i="1"/>
  <c r="E356" i="1"/>
  <c r="E357" i="1"/>
  <c r="I338" i="1"/>
  <c r="G330" i="1"/>
  <c r="H328" i="1"/>
  <c r="F318" i="1"/>
  <c r="F319" i="1" s="1"/>
  <c r="F305" i="1"/>
  <c r="G305" i="1" s="1"/>
  <c r="H305" i="1" s="1"/>
  <c r="E318" i="1"/>
  <c r="E319" i="1" s="1"/>
  <c r="G332" i="1"/>
  <c r="G96" i="1"/>
  <c r="H309" i="1"/>
  <c r="H311" i="1" s="1"/>
  <c r="J303" i="1"/>
  <c r="G306" i="1"/>
  <c r="E303" i="1"/>
  <c r="E305" i="1" s="1"/>
  <c r="E304" i="1"/>
  <c r="J294" i="1"/>
  <c r="H283" i="1"/>
  <c r="G279" i="1"/>
  <c r="F270" i="1"/>
  <c r="G270" i="1" s="1"/>
  <c r="E267" i="1"/>
  <c r="F271" i="1"/>
  <c r="G271" i="1" s="1"/>
  <c r="E271" i="1"/>
  <c r="E270" i="1"/>
  <c r="D267" i="1"/>
  <c r="J256" i="1"/>
  <c r="H214" i="1"/>
  <c r="G89" i="1"/>
  <c r="F215" i="1"/>
  <c r="F224" i="1"/>
  <c r="E215" i="1"/>
  <c r="E217" i="1" s="1"/>
  <c r="E224" i="1"/>
  <c r="D224" i="1"/>
  <c r="D215" i="1"/>
  <c r="D217" i="1" s="1"/>
  <c r="H222" i="1"/>
  <c r="G207" i="1"/>
  <c r="F210" i="1"/>
  <c r="F217" i="1" s="1"/>
  <c r="F219" i="1" s="1"/>
  <c r="E218" i="1"/>
  <c r="D218" i="1"/>
  <c r="E219" i="1"/>
  <c r="H173" i="1"/>
  <c r="G194" i="1"/>
  <c r="G20" i="1" s="1"/>
  <c r="G209" i="1" s="1"/>
  <c r="G63" i="1" s="1"/>
  <c r="F165" i="1"/>
  <c r="F166" i="1"/>
  <c r="E165" i="1"/>
  <c r="E166" i="1"/>
  <c r="D165" i="1"/>
  <c r="D166" i="1"/>
  <c r="H159" i="1"/>
  <c r="G156" i="1"/>
  <c r="G24" i="5"/>
  <c r="G27" i="5" s="1"/>
  <c r="F112" i="1"/>
  <c r="F114" i="1" s="1"/>
  <c r="F116" i="1" s="1"/>
  <c r="H105" i="1"/>
  <c r="G48" i="1"/>
  <c r="H53" i="1"/>
  <c r="J40" i="1"/>
  <c r="F51" i="1"/>
  <c r="G51" i="1" s="1"/>
  <c r="F39" i="1"/>
  <c r="F22" i="1"/>
  <c r="F24" i="1" s="1"/>
  <c r="F26" i="1" s="1"/>
  <c r="F31" i="1" s="1"/>
  <c r="F295" i="1"/>
  <c r="F282" i="1"/>
  <c r="G282" i="1" s="1"/>
  <c r="H282" i="1" s="1"/>
  <c r="I282" i="1" s="1"/>
  <c r="J282" i="1" s="1"/>
  <c r="K282" i="1" s="1"/>
  <c r="E269" i="1"/>
  <c r="E295" i="1"/>
  <c r="E39" i="1"/>
  <c r="E282" i="1"/>
  <c r="E51" i="1"/>
  <c r="E294" i="1"/>
  <c r="E22" i="1"/>
  <c r="E24" i="1" s="1"/>
  <c r="E26" i="1" s="1"/>
  <c r="E31" i="1" s="1"/>
  <c r="D51" i="1"/>
  <c r="D269" i="1"/>
  <c r="D282" i="1"/>
  <c r="D22" i="1"/>
  <c r="D24" i="1" s="1"/>
  <c r="D26" i="1" s="1"/>
  <c r="D31" i="1" s="1"/>
  <c r="D159" i="1"/>
  <c r="F363" i="1"/>
  <c r="F344" i="1"/>
  <c r="F57" i="1"/>
  <c r="F389" i="1"/>
  <c r="F204" i="1"/>
  <c r="F191" i="1"/>
  <c r="F228" i="1"/>
  <c r="F170" i="1"/>
  <c r="F241" i="1"/>
  <c r="F275" i="1"/>
  <c r="F287" i="1"/>
  <c r="F44" i="1"/>
  <c r="F299" i="1"/>
  <c r="F260" i="1"/>
  <c r="F152" i="1"/>
  <c r="G14" i="1"/>
  <c r="E363" i="1"/>
  <c r="E287" i="1"/>
  <c r="E299" i="1"/>
  <c r="E344" i="1"/>
  <c r="E228" i="1"/>
  <c r="E204" i="1"/>
  <c r="E191" i="1"/>
  <c r="E170" i="1"/>
  <c r="E241" i="1"/>
  <c r="E152" i="1"/>
  <c r="E57" i="1"/>
  <c r="D14" i="1"/>
  <c r="E389" i="1"/>
  <c r="E44" i="1"/>
  <c r="E260" i="1"/>
  <c r="E275" i="1"/>
  <c r="G169" i="1"/>
  <c r="G190" i="1"/>
  <c r="G203" i="1"/>
  <c r="G227" i="1"/>
  <c r="G343" i="1"/>
  <c r="G298" i="1"/>
  <c r="G388" i="1"/>
  <c r="G274" i="1"/>
  <c r="G259" i="1"/>
  <c r="G119" i="1"/>
  <c r="G151" i="1"/>
  <c r="G240" i="1"/>
  <c r="G362" i="1"/>
  <c r="G43" i="1"/>
  <c r="G56" i="1"/>
  <c r="G286" i="1"/>
  <c r="H13" i="1"/>
  <c r="E240" i="1" l="1"/>
  <c r="E259" i="1"/>
  <c r="E286" i="1"/>
  <c r="E169" i="1"/>
  <c r="E274" i="1"/>
  <c r="D13" i="1"/>
  <c r="G348" i="1"/>
  <c r="H355" i="1"/>
  <c r="I355" i="1" s="1"/>
  <c r="G233" i="1"/>
  <c r="H233" i="1"/>
  <c r="I233" i="1"/>
  <c r="J233" i="1"/>
  <c r="K233" i="1"/>
  <c r="H52" i="1"/>
  <c r="I52" i="1" s="1"/>
  <c r="G47" i="1"/>
  <c r="G350" i="1" s="1"/>
  <c r="E360" i="1"/>
  <c r="F31" i="8"/>
  <c r="G12" i="8"/>
  <c r="E25" i="8"/>
  <c r="D38" i="5"/>
  <c r="D39" i="5"/>
  <c r="C52" i="5" s="1"/>
  <c r="D40" i="5"/>
  <c r="D41" i="5"/>
  <c r="E38" i="5"/>
  <c r="E39" i="5"/>
  <c r="C59" i="5" s="1"/>
  <c r="E40" i="5"/>
  <c r="E41" i="5"/>
  <c r="C38" i="5"/>
  <c r="C40" i="5"/>
  <c r="C41" i="5"/>
  <c r="G31" i="5"/>
  <c r="J391" i="1"/>
  <c r="I392" i="1"/>
  <c r="I384" i="1"/>
  <c r="I380" i="1"/>
  <c r="H374" i="1"/>
  <c r="I372" i="1"/>
  <c r="H368" i="1"/>
  <c r="I366" i="1"/>
  <c r="G349" i="1"/>
  <c r="H356" i="1"/>
  <c r="H347" i="1"/>
  <c r="J338" i="1"/>
  <c r="I328" i="1"/>
  <c r="H306" i="1"/>
  <c r="I305" i="1"/>
  <c r="I309" i="1"/>
  <c r="I310" i="1"/>
  <c r="H86" i="1" s="1"/>
  <c r="H96" i="1" s="1"/>
  <c r="K303" i="1"/>
  <c r="K294" i="1"/>
  <c r="I283" i="1"/>
  <c r="H270" i="1"/>
  <c r="G264" i="1"/>
  <c r="H271" i="1"/>
  <c r="G265" i="1"/>
  <c r="G140" i="1" s="1"/>
  <c r="I269" i="1"/>
  <c r="K256" i="1"/>
  <c r="I214" i="1"/>
  <c r="H89" i="1"/>
  <c r="I222" i="1"/>
  <c r="H207" i="1"/>
  <c r="G61" i="1"/>
  <c r="F218" i="1"/>
  <c r="I173" i="1"/>
  <c r="H194" i="1"/>
  <c r="H20" i="1" s="1"/>
  <c r="H209" i="1" s="1"/>
  <c r="H63" i="1" s="1"/>
  <c r="I159" i="1"/>
  <c r="C53" i="5"/>
  <c r="I105" i="1"/>
  <c r="I53" i="1"/>
  <c r="K40" i="1"/>
  <c r="H51" i="1"/>
  <c r="F40" i="1"/>
  <c r="F34" i="1"/>
  <c r="E34" i="1"/>
  <c r="E40" i="1"/>
  <c r="D34" i="1"/>
  <c r="D40" i="1"/>
  <c r="H14" i="1"/>
  <c r="G57" i="1"/>
  <c r="G299" i="1"/>
  <c r="G363" i="1"/>
  <c r="G389" i="1"/>
  <c r="G152" i="1"/>
  <c r="G170" i="1"/>
  <c r="G191" i="1"/>
  <c r="G204" i="1"/>
  <c r="G228" i="1"/>
  <c r="G241" i="1"/>
  <c r="G260" i="1"/>
  <c r="G275" i="1"/>
  <c r="G287" i="1"/>
  <c r="G44" i="1"/>
  <c r="G120" i="1"/>
  <c r="G344" i="1"/>
  <c r="D152" i="1"/>
  <c r="D170" i="1"/>
  <c r="D191" i="1"/>
  <c r="D204" i="1"/>
  <c r="D228" i="1"/>
  <c r="D241" i="1"/>
  <c r="D260" i="1"/>
  <c r="D275" i="1"/>
  <c r="D287" i="1"/>
  <c r="D299" i="1"/>
  <c r="D44" i="1"/>
  <c r="D363" i="1"/>
  <c r="D57" i="1"/>
  <c r="D344" i="1"/>
  <c r="D389" i="1"/>
  <c r="I13" i="1"/>
  <c r="H56" i="1"/>
  <c r="H343" i="1"/>
  <c r="H43" i="1"/>
  <c r="H119" i="1"/>
  <c r="H151" i="1"/>
  <c r="H169" i="1"/>
  <c r="H190" i="1"/>
  <c r="H203" i="1"/>
  <c r="H227" i="1"/>
  <c r="H240" i="1"/>
  <c r="H259" i="1"/>
  <c r="H274" i="1"/>
  <c r="H286" i="1"/>
  <c r="H298" i="1"/>
  <c r="H362" i="1"/>
  <c r="H388" i="1"/>
  <c r="H360" i="1"/>
  <c r="G359" i="1"/>
  <c r="D362" i="1" l="1"/>
  <c r="D227" i="1"/>
  <c r="D56" i="1"/>
  <c r="D151" i="1"/>
  <c r="D190" i="1"/>
  <c r="D343" i="1"/>
  <c r="D388" i="1"/>
  <c r="D43" i="1"/>
  <c r="D203" i="1"/>
  <c r="D298" i="1"/>
  <c r="D169" i="1"/>
  <c r="D274" i="1"/>
  <c r="D240" i="1"/>
  <c r="D259" i="1"/>
  <c r="D286" i="1"/>
  <c r="G351" i="1"/>
  <c r="G172" i="1" s="1"/>
  <c r="G16" i="1" s="1"/>
  <c r="I98" i="1"/>
  <c r="I394" i="1"/>
  <c r="I107" i="1" s="1"/>
  <c r="I347" i="1"/>
  <c r="J347" i="1" s="1"/>
  <c r="K347" i="1" s="1"/>
  <c r="H48" i="1"/>
  <c r="G31" i="8"/>
  <c r="H12" i="8"/>
  <c r="K391" i="1"/>
  <c r="J392" i="1"/>
  <c r="J98" i="1" s="1"/>
  <c r="J394" i="1"/>
  <c r="J107" i="1" s="1"/>
  <c r="J384" i="1"/>
  <c r="J380" i="1"/>
  <c r="I374" i="1"/>
  <c r="J372" i="1"/>
  <c r="I368" i="1"/>
  <c r="J366" i="1"/>
  <c r="J355" i="1"/>
  <c r="G365" i="1"/>
  <c r="G371" i="1"/>
  <c r="G176" i="1"/>
  <c r="H349" i="1"/>
  <c r="I356" i="1"/>
  <c r="H346" i="1"/>
  <c r="G65" i="1"/>
  <c r="G74" i="1"/>
  <c r="K338" i="1"/>
  <c r="J328" i="1"/>
  <c r="I306" i="1"/>
  <c r="J305" i="1"/>
  <c r="J283" i="1"/>
  <c r="I270" i="1"/>
  <c r="G235" i="1"/>
  <c r="I271" i="1"/>
  <c r="J269" i="1"/>
  <c r="J214" i="1"/>
  <c r="I89" i="1"/>
  <c r="J222" i="1"/>
  <c r="I207" i="1"/>
  <c r="H61" i="1"/>
  <c r="J173" i="1"/>
  <c r="I194" i="1"/>
  <c r="I20" i="1" s="1"/>
  <c r="I209" i="1" s="1"/>
  <c r="I63" i="1" s="1"/>
  <c r="J159" i="1"/>
  <c r="J105" i="1"/>
  <c r="J53" i="1"/>
  <c r="I48" i="1"/>
  <c r="J52" i="1"/>
  <c r="I51" i="1"/>
  <c r="F256" i="1"/>
  <c r="F35" i="1"/>
  <c r="D16" i="8" s="1"/>
  <c r="E256" i="1"/>
  <c r="E35" i="1"/>
  <c r="E245" i="1" s="1"/>
  <c r="F255" i="1" s="1"/>
  <c r="D256" i="1"/>
  <c r="D35" i="1"/>
  <c r="D245" i="1" s="1"/>
  <c r="E255" i="1" s="1"/>
  <c r="H44" i="1"/>
  <c r="H344" i="1"/>
  <c r="H363" i="1"/>
  <c r="H57" i="1"/>
  <c r="H120" i="1"/>
  <c r="H152" i="1"/>
  <c r="H170" i="1"/>
  <c r="H191" i="1"/>
  <c r="H204" i="1"/>
  <c r="H228" i="1"/>
  <c r="H241" i="1"/>
  <c r="H260" i="1"/>
  <c r="H275" i="1"/>
  <c r="H287" i="1"/>
  <c r="I14" i="1"/>
  <c r="H299" i="1"/>
  <c r="H389" i="1"/>
  <c r="J13" i="1"/>
  <c r="I362" i="1"/>
  <c r="I388" i="1"/>
  <c r="I151" i="1"/>
  <c r="I169" i="1"/>
  <c r="I190" i="1"/>
  <c r="I203" i="1"/>
  <c r="I227" i="1"/>
  <c r="I240" i="1"/>
  <c r="I259" i="1"/>
  <c r="I274" i="1"/>
  <c r="I286" i="1"/>
  <c r="I298" i="1"/>
  <c r="I43" i="1"/>
  <c r="I56" i="1"/>
  <c r="I119" i="1"/>
  <c r="I343" i="1"/>
  <c r="H359" i="1"/>
  <c r="I360" i="1"/>
  <c r="G357" i="1"/>
  <c r="G182" i="1"/>
  <c r="G178" i="1"/>
  <c r="C54" i="5"/>
  <c r="C56" i="5" s="1"/>
  <c r="I311" i="1"/>
  <c r="C60" i="5"/>
  <c r="C61" i="5" s="1"/>
  <c r="C63" i="5" s="1"/>
  <c r="G32" i="5"/>
  <c r="G255" i="1" l="1"/>
  <c r="H31" i="8"/>
  <c r="I12" i="8"/>
  <c r="K392" i="1"/>
  <c r="K98" i="1" s="1"/>
  <c r="K394" i="1"/>
  <c r="K107" i="1" s="1"/>
  <c r="K384" i="1"/>
  <c r="K380" i="1"/>
  <c r="J374" i="1"/>
  <c r="K372" i="1"/>
  <c r="J368" i="1"/>
  <c r="K366" i="1"/>
  <c r="K355" i="1"/>
  <c r="G186" i="1"/>
  <c r="G17" i="1"/>
  <c r="G18" i="1" s="1"/>
  <c r="H365" i="1"/>
  <c r="H371" i="1"/>
  <c r="H176" i="1"/>
  <c r="I349" i="1"/>
  <c r="J356" i="1"/>
  <c r="H348" i="1"/>
  <c r="H47" i="1"/>
  <c r="H350" i="1" s="1"/>
  <c r="G126" i="1"/>
  <c r="K328" i="1"/>
  <c r="J306" i="1"/>
  <c r="K305" i="1"/>
  <c r="K306" i="1" s="1"/>
  <c r="K283" i="1"/>
  <c r="J270" i="1"/>
  <c r="G28" i="1"/>
  <c r="J271" i="1"/>
  <c r="K269" i="1"/>
  <c r="K214" i="1"/>
  <c r="K89" i="1" s="1"/>
  <c r="J89" i="1"/>
  <c r="K222" i="1"/>
  <c r="J207" i="1"/>
  <c r="I61" i="1"/>
  <c r="K173" i="1"/>
  <c r="K194" i="1" s="1"/>
  <c r="K20" i="1" s="1"/>
  <c r="J194" i="1"/>
  <c r="J20" i="1" s="1"/>
  <c r="J209" i="1" s="1"/>
  <c r="J63" i="1" s="1"/>
  <c r="K159" i="1"/>
  <c r="K105" i="1"/>
  <c r="J48" i="1"/>
  <c r="K53" i="1"/>
  <c r="K48" i="1" s="1"/>
  <c r="K52" i="1"/>
  <c r="J51" i="1"/>
  <c r="F245" i="1"/>
  <c r="G23" i="5"/>
  <c r="H255" i="1"/>
  <c r="G246" i="1"/>
  <c r="G139" i="1" s="1"/>
  <c r="I44" i="1"/>
  <c r="I57" i="1"/>
  <c r="I120" i="1"/>
  <c r="I344" i="1"/>
  <c r="I363" i="1"/>
  <c r="J14" i="1"/>
  <c r="I299" i="1"/>
  <c r="I389" i="1"/>
  <c r="I152" i="1"/>
  <c r="I170" i="1"/>
  <c r="I191" i="1"/>
  <c r="I204" i="1"/>
  <c r="I228" i="1"/>
  <c r="I241" i="1"/>
  <c r="I260" i="1"/>
  <c r="I275" i="1"/>
  <c r="I287" i="1"/>
  <c r="K13" i="1"/>
  <c r="J43" i="1"/>
  <c r="J343" i="1"/>
  <c r="J388" i="1"/>
  <c r="J56" i="1"/>
  <c r="J119" i="1"/>
  <c r="J151" i="1"/>
  <c r="J169" i="1"/>
  <c r="J190" i="1"/>
  <c r="J203" i="1"/>
  <c r="J227" i="1"/>
  <c r="J240" i="1"/>
  <c r="J259" i="1"/>
  <c r="J274" i="1"/>
  <c r="J286" i="1"/>
  <c r="J298" i="1"/>
  <c r="J362" i="1"/>
  <c r="I359" i="1"/>
  <c r="J360" i="1"/>
  <c r="J309" i="1"/>
  <c r="J311" i="1" s="1"/>
  <c r="I96" i="1"/>
  <c r="H351" i="1" l="1"/>
  <c r="G367" i="1"/>
  <c r="G369" i="1" s="1"/>
  <c r="G208" i="1" s="1"/>
  <c r="G46" i="1"/>
  <c r="G155" i="1"/>
  <c r="G263" i="1"/>
  <c r="G266" i="1" s="1"/>
  <c r="G290" i="1"/>
  <c r="G39" i="1"/>
  <c r="G180" i="1"/>
  <c r="I31" i="8"/>
  <c r="B38" i="8"/>
  <c r="K374" i="1"/>
  <c r="K368" i="1"/>
  <c r="H186" i="1"/>
  <c r="H17" i="1"/>
  <c r="I365" i="1"/>
  <c r="I371" i="1"/>
  <c r="I176" i="1"/>
  <c r="J349" i="1"/>
  <c r="K356" i="1"/>
  <c r="K349" i="1" s="1"/>
  <c r="K270" i="1"/>
  <c r="K271" i="1"/>
  <c r="K207" i="1"/>
  <c r="J61" i="1"/>
  <c r="K51" i="1"/>
  <c r="G30" i="5"/>
  <c r="G33" i="5"/>
  <c r="C46" i="5"/>
  <c r="C47" i="5" s="1"/>
  <c r="C49" i="5" s="1"/>
  <c r="C67" i="5"/>
  <c r="C68" i="5" s="1"/>
  <c r="C70" i="5" s="1"/>
  <c r="I255" i="1"/>
  <c r="G326" i="1"/>
  <c r="J120" i="1"/>
  <c r="J344" i="1"/>
  <c r="J363" i="1"/>
  <c r="K14" i="1"/>
  <c r="J44" i="1"/>
  <c r="J57" i="1"/>
  <c r="J152" i="1"/>
  <c r="J170" i="1"/>
  <c r="J191" i="1"/>
  <c r="J204" i="1"/>
  <c r="J228" i="1"/>
  <c r="J241" i="1"/>
  <c r="J260" i="1"/>
  <c r="J275" i="1"/>
  <c r="J287" i="1"/>
  <c r="J299" i="1"/>
  <c r="J389" i="1"/>
  <c r="K119" i="1"/>
  <c r="K362" i="1"/>
  <c r="K43" i="1"/>
  <c r="K151" i="1"/>
  <c r="K169" i="1"/>
  <c r="K190" i="1"/>
  <c r="K203" i="1"/>
  <c r="K227" i="1"/>
  <c r="K240" i="1"/>
  <c r="K259" i="1"/>
  <c r="K274" i="1"/>
  <c r="K286" i="1"/>
  <c r="K298" i="1"/>
  <c r="K56" i="1"/>
  <c r="K343" i="1"/>
  <c r="K388" i="1"/>
  <c r="J359" i="1"/>
  <c r="K360" i="1"/>
  <c r="K359" i="1" s="1"/>
  <c r="K309" i="1"/>
  <c r="K311" i="1" s="1"/>
  <c r="J96" i="1"/>
  <c r="K209" i="1"/>
  <c r="K63" i="1" s="1"/>
  <c r="H172" i="1" l="1"/>
  <c r="H74" i="1"/>
  <c r="H65" i="1"/>
  <c r="H126" i="1" s="1"/>
  <c r="I346" i="1"/>
  <c r="G223" i="1"/>
  <c r="G62" i="1"/>
  <c r="G210" i="1"/>
  <c r="G49" i="1"/>
  <c r="G23" i="1" s="1"/>
  <c r="G385" i="1"/>
  <c r="G373" i="1"/>
  <c r="G375" i="1" s="1"/>
  <c r="G213" i="1" s="1"/>
  <c r="G157" i="1"/>
  <c r="G134" i="1"/>
  <c r="G278" i="1"/>
  <c r="G280" i="1" s="1"/>
  <c r="G378" i="1"/>
  <c r="G135" i="1"/>
  <c r="G291" i="1"/>
  <c r="I186" i="1"/>
  <c r="I17" i="1"/>
  <c r="J365" i="1"/>
  <c r="J371" i="1"/>
  <c r="J176" i="1"/>
  <c r="K365" i="1"/>
  <c r="K371" i="1"/>
  <c r="K176" i="1"/>
  <c r="H16" i="1"/>
  <c r="H18" i="1" s="1"/>
  <c r="K61" i="1"/>
  <c r="J255" i="1"/>
  <c r="K120" i="1"/>
  <c r="K152" i="1"/>
  <c r="K170" i="1"/>
  <c r="K191" i="1"/>
  <c r="K204" i="1"/>
  <c r="K228" i="1"/>
  <c r="K241" i="1"/>
  <c r="K260" i="1"/>
  <c r="K275" i="1"/>
  <c r="K287" i="1"/>
  <c r="K299" i="1"/>
  <c r="K344" i="1"/>
  <c r="K363" i="1"/>
  <c r="K44" i="1"/>
  <c r="K57" i="1"/>
  <c r="K389" i="1"/>
  <c r="K96" i="1"/>
  <c r="H357" i="1" l="1"/>
  <c r="H182" i="1"/>
  <c r="H178" i="1"/>
  <c r="H180" i="1" s="1"/>
  <c r="I47" i="1"/>
  <c r="I350" i="1" s="1"/>
  <c r="I348" i="1"/>
  <c r="I351" i="1"/>
  <c r="G292" i="1"/>
  <c r="G381" i="1"/>
  <c r="G136" i="1"/>
  <c r="G325" i="1" s="1"/>
  <c r="G124" i="1"/>
  <c r="G108" i="1"/>
  <c r="G215" i="1"/>
  <c r="G217" i="1" s="1"/>
  <c r="G224" i="1"/>
  <c r="G88" i="1"/>
  <c r="H154" i="1"/>
  <c r="G70" i="1"/>
  <c r="H279" i="1"/>
  <c r="H277" i="1"/>
  <c r="G71" i="1"/>
  <c r="G99" i="1"/>
  <c r="H265" i="1"/>
  <c r="H140" i="1" s="1"/>
  <c r="H264" i="1"/>
  <c r="H235" i="1" s="1"/>
  <c r="H262" i="1"/>
  <c r="G90" i="1"/>
  <c r="G164" i="1"/>
  <c r="G295" i="1"/>
  <c r="J186" i="1"/>
  <c r="J17" i="1"/>
  <c r="K186" i="1"/>
  <c r="K17" i="1"/>
  <c r="H46" i="1"/>
  <c r="H367" i="1"/>
  <c r="H369" i="1" s="1"/>
  <c r="H208" i="1" s="1"/>
  <c r="H155" i="1"/>
  <c r="H134" i="1" s="1"/>
  <c r="H263" i="1"/>
  <c r="H39" i="1"/>
  <c r="H290" i="1"/>
  <c r="K255" i="1"/>
  <c r="I172" i="1" l="1"/>
  <c r="I65" i="1"/>
  <c r="I74" i="1"/>
  <c r="J346" i="1"/>
  <c r="G73" i="1"/>
  <c r="G78" i="1" s="1"/>
  <c r="H289" i="1"/>
  <c r="G219" i="1"/>
  <c r="G130" i="1" s="1"/>
  <c r="G218" i="1"/>
  <c r="H156" i="1"/>
  <c r="H157" i="1" s="1"/>
  <c r="G166" i="1"/>
  <c r="G25" i="1" s="1"/>
  <c r="G123" i="1" s="1"/>
  <c r="G165" i="1"/>
  <c r="H49" i="1"/>
  <c r="H23" i="1" s="1"/>
  <c r="H385" i="1"/>
  <c r="H373" i="1"/>
  <c r="H375" i="1" s="1"/>
  <c r="H213" i="1" s="1"/>
  <c r="H223" i="1"/>
  <c r="H62" i="1"/>
  <c r="H210" i="1"/>
  <c r="H266" i="1"/>
  <c r="H278" i="1"/>
  <c r="H280" i="1" s="1"/>
  <c r="H378" i="1"/>
  <c r="H291" i="1"/>
  <c r="H381" i="1" s="1"/>
  <c r="H135" i="1"/>
  <c r="H136" i="1" s="1"/>
  <c r="H325" i="1" s="1"/>
  <c r="H28" i="1"/>
  <c r="I126" i="1" l="1"/>
  <c r="I178" i="1"/>
  <c r="I182" i="1"/>
  <c r="I16" i="1"/>
  <c r="I18" i="1" s="1"/>
  <c r="I357" i="1"/>
  <c r="J47" i="1"/>
  <c r="J350" i="1" s="1"/>
  <c r="J351" i="1" s="1"/>
  <c r="J348" i="1"/>
  <c r="I154" i="1"/>
  <c r="I156" i="1" s="1"/>
  <c r="H70" i="1"/>
  <c r="H292" i="1"/>
  <c r="H124" i="1"/>
  <c r="H108" i="1"/>
  <c r="H215" i="1"/>
  <c r="H217" i="1" s="1"/>
  <c r="H218" i="1" s="1"/>
  <c r="H224" i="1"/>
  <c r="H88" i="1"/>
  <c r="H219" i="1"/>
  <c r="H130" i="1" s="1"/>
  <c r="I262" i="1"/>
  <c r="H99" i="1"/>
  <c r="H90" i="1"/>
  <c r="I264" i="1"/>
  <c r="I265" i="1"/>
  <c r="I140" i="1" s="1"/>
  <c r="I277" i="1"/>
  <c r="H71" i="1"/>
  <c r="I279" i="1"/>
  <c r="H164" i="1"/>
  <c r="H295" i="1"/>
  <c r="I180" i="1" l="1"/>
  <c r="I46" i="1"/>
  <c r="I367" i="1"/>
  <c r="I369" i="1" s="1"/>
  <c r="I208" i="1" s="1"/>
  <c r="I155" i="1"/>
  <c r="I263" i="1"/>
  <c r="I290" i="1"/>
  <c r="I39" i="1"/>
  <c r="J172" i="1"/>
  <c r="J65" i="1"/>
  <c r="J74" i="1"/>
  <c r="K346" i="1"/>
  <c r="H73" i="1"/>
  <c r="I289" i="1"/>
  <c r="I235" i="1"/>
  <c r="H166" i="1"/>
  <c r="H25" i="1" s="1"/>
  <c r="H123" i="1" s="1"/>
  <c r="H165" i="1"/>
  <c r="I49" i="1"/>
  <c r="I23" i="1" s="1"/>
  <c r="I385" i="1"/>
  <c r="I373" i="1"/>
  <c r="I375" i="1" s="1"/>
  <c r="I213" i="1" s="1"/>
  <c r="I223" i="1"/>
  <c r="I62" i="1"/>
  <c r="I210" i="1"/>
  <c r="H78" i="1"/>
  <c r="J126" i="1" l="1"/>
  <c r="I157" i="1"/>
  <c r="I134" i="1"/>
  <c r="J154" i="1"/>
  <c r="I70" i="1"/>
  <c r="I278" i="1"/>
  <c r="I280" i="1" s="1"/>
  <c r="I266" i="1"/>
  <c r="I135" i="1"/>
  <c r="I378" i="1"/>
  <c r="I291" i="1"/>
  <c r="J357" i="1"/>
  <c r="J178" i="1"/>
  <c r="J16" i="1"/>
  <c r="J18" i="1" s="1"/>
  <c r="J182" i="1"/>
  <c r="K47" i="1"/>
  <c r="K350" i="1" s="1"/>
  <c r="K348" i="1"/>
  <c r="K351" i="1"/>
  <c r="K172" i="1" s="1"/>
  <c r="I28" i="1"/>
  <c r="I215" i="1"/>
  <c r="I217" i="1" s="1"/>
  <c r="I219" i="1" s="1"/>
  <c r="I130" i="1" s="1"/>
  <c r="I224" i="1"/>
  <c r="I88" i="1"/>
  <c r="I218" i="1"/>
  <c r="K65" i="1"/>
  <c r="K74" i="1"/>
  <c r="I108" i="1"/>
  <c r="I124" i="1"/>
  <c r="I136" i="1" l="1"/>
  <c r="I325" i="1" s="1"/>
  <c r="J180" i="1"/>
  <c r="J156" i="1"/>
  <c r="I71" i="1"/>
  <c r="J279" i="1"/>
  <c r="J277" i="1"/>
  <c r="J262" i="1"/>
  <c r="I99" i="1"/>
  <c r="I90" i="1"/>
  <c r="J265" i="1"/>
  <c r="J140" i="1" s="1"/>
  <c r="J264" i="1"/>
  <c r="J235" i="1" s="1"/>
  <c r="I295" i="1"/>
  <c r="I381" i="1"/>
  <c r="I164" i="1"/>
  <c r="I292" i="1"/>
  <c r="J46" i="1"/>
  <c r="J367" i="1"/>
  <c r="J369" i="1" s="1"/>
  <c r="J208" i="1" s="1"/>
  <c r="J155" i="1"/>
  <c r="J263" i="1"/>
  <c r="J290" i="1"/>
  <c r="J39" i="1"/>
  <c r="K357" i="1"/>
  <c r="K16" i="1"/>
  <c r="K18" i="1" s="1"/>
  <c r="K182" i="1"/>
  <c r="K178" i="1"/>
  <c r="K126" i="1"/>
  <c r="K180" i="1" l="1"/>
  <c r="I166" i="1"/>
  <c r="I25" i="1" s="1"/>
  <c r="I123" i="1" s="1"/>
  <c r="I165" i="1"/>
  <c r="I73" i="1"/>
  <c r="I78" i="1" s="1"/>
  <c r="J289" i="1"/>
  <c r="J49" i="1"/>
  <c r="J23" i="1" s="1"/>
  <c r="J385" i="1"/>
  <c r="J373" i="1"/>
  <c r="J375" i="1" s="1"/>
  <c r="J213" i="1" s="1"/>
  <c r="J223" i="1"/>
  <c r="J62" i="1"/>
  <c r="J210" i="1"/>
  <c r="J134" i="1"/>
  <c r="J136" i="1" s="1"/>
  <c r="J325" i="1" s="1"/>
  <c r="J157" i="1"/>
  <c r="J278" i="1"/>
  <c r="J280" i="1" s="1"/>
  <c r="J266" i="1"/>
  <c r="J135" i="1"/>
  <c r="J378" i="1"/>
  <c r="J291" i="1"/>
  <c r="J381" i="1" s="1"/>
  <c r="K367" i="1"/>
  <c r="K369" i="1" s="1"/>
  <c r="K208" i="1" s="1"/>
  <c r="K46" i="1"/>
  <c r="K155" i="1"/>
  <c r="K134" i="1" s="1"/>
  <c r="K263" i="1"/>
  <c r="K278" i="1" s="1"/>
  <c r="K290" i="1"/>
  <c r="K39" i="1"/>
  <c r="J28" i="1"/>
  <c r="J124" i="1" l="1"/>
  <c r="J108" i="1"/>
  <c r="J215" i="1"/>
  <c r="J217" i="1" s="1"/>
  <c r="J224" i="1"/>
  <c r="J88" i="1"/>
  <c r="K154" i="1"/>
  <c r="K156" i="1" s="1"/>
  <c r="K157" i="1" s="1"/>
  <c r="K70" i="1" s="1"/>
  <c r="J70" i="1"/>
  <c r="J164" i="1"/>
  <c r="J295" i="1"/>
  <c r="J292" i="1"/>
  <c r="K277" i="1"/>
  <c r="J71" i="1"/>
  <c r="K279" i="1"/>
  <c r="K262" i="1"/>
  <c r="K266" i="1" s="1"/>
  <c r="J99" i="1"/>
  <c r="J90" i="1"/>
  <c r="K264" i="1"/>
  <c r="K235" i="1" s="1"/>
  <c r="K265" i="1"/>
  <c r="K140" i="1" s="1"/>
  <c r="K223" i="1"/>
  <c r="K62" i="1"/>
  <c r="K210" i="1"/>
  <c r="K373" i="1"/>
  <c r="K375" i="1" s="1"/>
  <c r="K213" i="1" s="1"/>
  <c r="K49" i="1"/>
  <c r="K23" i="1" s="1"/>
  <c r="K385" i="1"/>
  <c r="K378" i="1"/>
  <c r="K291" i="1"/>
  <c r="K381" i="1" s="1"/>
  <c r="K135" i="1"/>
  <c r="K136" i="1" s="1"/>
  <c r="K325" i="1" s="1"/>
  <c r="J219" i="1"/>
  <c r="J130" i="1" s="1"/>
  <c r="J218" i="1"/>
  <c r="K280" i="1" l="1"/>
  <c r="K71" i="1" s="1"/>
  <c r="J165" i="1"/>
  <c r="J166" i="1"/>
  <c r="J25" i="1" s="1"/>
  <c r="J123" i="1" s="1"/>
  <c r="K289" i="1"/>
  <c r="J73" i="1"/>
  <c r="J78" i="1" s="1"/>
  <c r="K108" i="1"/>
  <c r="K124" i="1"/>
  <c r="K215" i="1"/>
  <c r="K217" i="1" s="1"/>
  <c r="K224" i="1"/>
  <c r="K88" i="1"/>
  <c r="K164" i="1"/>
  <c r="K292" i="1"/>
  <c r="K73" i="1" s="1"/>
  <c r="K78" i="1" s="1"/>
  <c r="K295" i="1"/>
  <c r="K28" i="1"/>
  <c r="K99" i="1"/>
  <c r="K90" i="1"/>
  <c r="K219" i="1" l="1"/>
  <c r="K130" i="1" s="1"/>
  <c r="K218" i="1"/>
  <c r="K166" i="1"/>
  <c r="K25" i="1" s="1"/>
  <c r="K123" i="1" s="1"/>
  <c r="K165" i="1"/>
  <c r="C38" i="8" l="1"/>
  <c r="C39" i="8" s="1"/>
  <c r="G19" i="1"/>
  <c r="H19" i="1"/>
  <c r="I19" i="1"/>
  <c r="J19" i="1"/>
  <c r="K19" i="1"/>
  <c r="G21" i="1"/>
  <c r="H21" i="1"/>
  <c r="I21" i="1"/>
  <c r="J21" i="1"/>
  <c r="K21" i="1"/>
  <c r="G22" i="1"/>
  <c r="H22" i="1"/>
  <c r="I22" i="1"/>
  <c r="J22" i="1"/>
  <c r="K22" i="1"/>
  <c r="G24" i="1"/>
  <c r="H24" i="1"/>
  <c r="I24" i="1"/>
  <c r="J24" i="1"/>
  <c r="K24" i="1"/>
  <c r="G26" i="1"/>
  <c r="H26" i="1"/>
  <c r="I26" i="1"/>
  <c r="J26" i="1"/>
  <c r="K26" i="1"/>
  <c r="G27" i="1"/>
  <c r="H27" i="1"/>
  <c r="I27" i="1"/>
  <c r="J27" i="1"/>
  <c r="K27" i="1"/>
  <c r="G29" i="1"/>
  <c r="H29" i="1"/>
  <c r="I29" i="1"/>
  <c r="J29" i="1"/>
  <c r="K29" i="1"/>
  <c r="G31" i="1"/>
  <c r="H31" i="1"/>
  <c r="I31" i="1"/>
  <c r="J31" i="1"/>
  <c r="K31" i="1"/>
  <c r="G32" i="1"/>
  <c r="H32" i="1"/>
  <c r="I32" i="1"/>
  <c r="J32" i="1"/>
  <c r="K32" i="1"/>
  <c r="G34" i="1"/>
  <c r="H34" i="1"/>
  <c r="I34" i="1"/>
  <c r="J34" i="1"/>
  <c r="K34" i="1"/>
  <c r="G35" i="1"/>
  <c r="H35" i="1"/>
  <c r="I35" i="1"/>
  <c r="J35" i="1"/>
  <c r="K35" i="1"/>
  <c r="G36" i="1"/>
  <c r="H36" i="1"/>
  <c r="I36" i="1"/>
  <c r="J36" i="1"/>
  <c r="K36" i="1"/>
  <c r="G66" i="1"/>
  <c r="H66" i="1"/>
  <c r="I66" i="1"/>
  <c r="J66" i="1"/>
  <c r="K66" i="1"/>
  <c r="G67" i="1"/>
  <c r="H67" i="1"/>
  <c r="I67" i="1"/>
  <c r="J67" i="1"/>
  <c r="K67" i="1"/>
  <c r="G80" i="1"/>
  <c r="H80" i="1"/>
  <c r="I80" i="1"/>
  <c r="J80" i="1"/>
  <c r="K80" i="1"/>
  <c r="G85" i="1"/>
  <c r="H85" i="1"/>
  <c r="I85" i="1"/>
  <c r="J85" i="1"/>
  <c r="K85" i="1"/>
  <c r="G87" i="1"/>
  <c r="H87" i="1"/>
  <c r="I87" i="1"/>
  <c r="J87" i="1"/>
  <c r="K87" i="1"/>
  <c r="G92" i="1"/>
  <c r="H92" i="1"/>
  <c r="I92" i="1"/>
  <c r="J92" i="1"/>
  <c r="K92" i="1"/>
  <c r="G95" i="1"/>
  <c r="H95" i="1"/>
  <c r="I95" i="1"/>
  <c r="J95" i="1"/>
  <c r="K95" i="1"/>
  <c r="G100" i="1"/>
  <c r="H100" i="1"/>
  <c r="I100" i="1"/>
  <c r="J100" i="1"/>
  <c r="K100" i="1"/>
  <c r="G102" i="1"/>
  <c r="H102" i="1"/>
  <c r="I102" i="1"/>
  <c r="J102" i="1"/>
  <c r="K102" i="1"/>
  <c r="G109" i="1"/>
  <c r="H109" i="1"/>
  <c r="I109" i="1"/>
  <c r="J109" i="1"/>
  <c r="K109" i="1"/>
  <c r="G110" i="1"/>
  <c r="H110" i="1"/>
  <c r="I110" i="1"/>
  <c r="J110" i="1"/>
  <c r="K110" i="1"/>
  <c r="G111" i="1"/>
  <c r="H111" i="1"/>
  <c r="I111" i="1"/>
  <c r="J111" i="1"/>
  <c r="K111" i="1"/>
  <c r="G112" i="1"/>
  <c r="H112" i="1"/>
  <c r="I112" i="1"/>
  <c r="J112" i="1"/>
  <c r="K112" i="1"/>
  <c r="G114" i="1"/>
  <c r="H114" i="1"/>
  <c r="I114" i="1"/>
  <c r="J114" i="1"/>
  <c r="K114" i="1"/>
  <c r="G116" i="1"/>
  <c r="H116" i="1"/>
  <c r="I116" i="1"/>
  <c r="J116" i="1"/>
  <c r="K116" i="1"/>
  <c r="G122" i="1"/>
  <c r="H122" i="1"/>
  <c r="I122" i="1"/>
  <c r="J122" i="1"/>
  <c r="K122" i="1"/>
  <c r="G125" i="1"/>
  <c r="H125" i="1"/>
  <c r="I125" i="1"/>
  <c r="J125" i="1"/>
  <c r="K125" i="1"/>
  <c r="G127" i="1"/>
  <c r="H127" i="1"/>
  <c r="I127" i="1"/>
  <c r="J127" i="1"/>
  <c r="K127" i="1"/>
  <c r="G131" i="1"/>
  <c r="H131" i="1"/>
  <c r="I131" i="1"/>
  <c r="J131" i="1"/>
  <c r="K131" i="1"/>
  <c r="H139" i="1"/>
  <c r="I139" i="1"/>
  <c r="J139" i="1"/>
  <c r="K139" i="1"/>
  <c r="G141" i="1"/>
  <c r="H141" i="1"/>
  <c r="I141" i="1"/>
  <c r="J141" i="1"/>
  <c r="K141" i="1"/>
  <c r="G142" i="1"/>
  <c r="H142" i="1"/>
  <c r="I142" i="1"/>
  <c r="J142" i="1"/>
  <c r="K142" i="1"/>
  <c r="G144" i="1"/>
  <c r="H144" i="1"/>
  <c r="I144" i="1"/>
  <c r="J144" i="1"/>
  <c r="K144" i="1"/>
  <c r="H145" i="1"/>
  <c r="I145" i="1"/>
  <c r="J145" i="1"/>
  <c r="K145" i="1"/>
  <c r="G146" i="1"/>
  <c r="H146" i="1"/>
  <c r="I146" i="1"/>
  <c r="J146" i="1"/>
  <c r="K146" i="1"/>
  <c r="G148" i="1"/>
  <c r="H148" i="1"/>
  <c r="I148" i="1"/>
  <c r="J148" i="1"/>
  <c r="K148" i="1"/>
  <c r="G193" i="1"/>
  <c r="H193" i="1"/>
  <c r="I193" i="1"/>
  <c r="J193" i="1"/>
  <c r="K193" i="1"/>
  <c r="G195" i="1"/>
  <c r="H195" i="1"/>
  <c r="I195" i="1"/>
  <c r="J195" i="1"/>
  <c r="K195" i="1"/>
  <c r="G197" i="1"/>
  <c r="H197" i="1"/>
  <c r="I197" i="1"/>
  <c r="J197" i="1"/>
  <c r="K197" i="1"/>
  <c r="G199" i="1"/>
  <c r="H199" i="1"/>
  <c r="I199" i="1"/>
  <c r="J199" i="1"/>
  <c r="K199" i="1"/>
  <c r="G231" i="1"/>
  <c r="H231" i="1"/>
  <c r="I231" i="1"/>
  <c r="J231" i="1"/>
  <c r="K231" i="1"/>
  <c r="G232" i="1"/>
  <c r="H232" i="1"/>
  <c r="I232" i="1"/>
  <c r="J232" i="1"/>
  <c r="K232" i="1"/>
  <c r="G236" i="1"/>
  <c r="H236" i="1"/>
  <c r="I236" i="1"/>
  <c r="J236" i="1"/>
  <c r="K236" i="1"/>
  <c r="G237" i="1"/>
  <c r="H237" i="1"/>
  <c r="I237" i="1"/>
  <c r="J237" i="1"/>
  <c r="K237" i="1"/>
  <c r="H244" i="1"/>
  <c r="I244" i="1"/>
  <c r="J244" i="1"/>
  <c r="K244" i="1"/>
  <c r="G245" i="1"/>
  <c r="H245" i="1"/>
  <c r="I245" i="1"/>
  <c r="J245" i="1"/>
  <c r="K245" i="1"/>
  <c r="H246" i="1"/>
  <c r="I246" i="1"/>
  <c r="J246" i="1"/>
  <c r="K246" i="1"/>
  <c r="G247" i="1"/>
  <c r="H247" i="1"/>
  <c r="I247" i="1"/>
  <c r="J247" i="1"/>
  <c r="K247" i="1"/>
  <c r="H250" i="1"/>
  <c r="I250" i="1"/>
  <c r="J250" i="1"/>
  <c r="K250" i="1"/>
  <c r="G251" i="1"/>
  <c r="H251" i="1"/>
  <c r="I251" i="1"/>
  <c r="J251" i="1"/>
  <c r="K251" i="1"/>
  <c r="G253" i="1"/>
  <c r="H253" i="1"/>
  <c r="I253" i="1"/>
  <c r="J253" i="1"/>
  <c r="K253" i="1"/>
  <c r="H313" i="1"/>
  <c r="I313" i="1"/>
  <c r="J313" i="1"/>
  <c r="K313" i="1"/>
  <c r="G314" i="1"/>
  <c r="H314" i="1"/>
  <c r="I314" i="1"/>
  <c r="J314" i="1"/>
  <c r="K314" i="1"/>
  <c r="G315" i="1"/>
  <c r="H315" i="1"/>
  <c r="I315" i="1"/>
  <c r="J315" i="1"/>
  <c r="K315" i="1"/>
  <c r="G316" i="1"/>
  <c r="H316" i="1"/>
  <c r="I316" i="1"/>
  <c r="J316" i="1"/>
  <c r="K316" i="1"/>
  <c r="G317" i="1"/>
  <c r="H317" i="1"/>
  <c r="I317" i="1"/>
  <c r="J317" i="1"/>
  <c r="K317" i="1"/>
  <c r="G318" i="1"/>
  <c r="H318" i="1"/>
  <c r="I318" i="1"/>
  <c r="J318" i="1"/>
  <c r="K318" i="1"/>
  <c r="G319" i="1"/>
  <c r="H319" i="1"/>
  <c r="I319" i="1"/>
  <c r="J319" i="1"/>
  <c r="K319" i="1"/>
  <c r="H320" i="1"/>
  <c r="I320" i="1"/>
  <c r="J320" i="1"/>
  <c r="K320" i="1"/>
  <c r="H323" i="1"/>
  <c r="I323" i="1"/>
  <c r="J323" i="1"/>
  <c r="K323" i="1"/>
  <c r="G324" i="1"/>
  <c r="H324" i="1"/>
  <c r="I324" i="1"/>
  <c r="J324" i="1"/>
  <c r="K324" i="1"/>
  <c r="H326" i="1"/>
  <c r="I326" i="1"/>
  <c r="J326" i="1"/>
  <c r="K326" i="1"/>
  <c r="G327" i="1"/>
  <c r="H327" i="1"/>
  <c r="I327" i="1"/>
  <c r="J327" i="1"/>
  <c r="K327" i="1"/>
  <c r="H330" i="1"/>
  <c r="I330" i="1"/>
  <c r="J330" i="1"/>
  <c r="K330" i="1"/>
  <c r="G331" i="1"/>
  <c r="H331" i="1"/>
  <c r="I331" i="1"/>
  <c r="J331" i="1"/>
  <c r="K331" i="1"/>
  <c r="H332" i="1"/>
  <c r="I332" i="1"/>
  <c r="J332" i="1"/>
  <c r="K332" i="1"/>
  <c r="G334" i="1"/>
  <c r="H334" i="1"/>
  <c r="I334" i="1"/>
  <c r="J334" i="1"/>
  <c r="K334" i="1"/>
  <c r="G335" i="1"/>
  <c r="H335" i="1"/>
  <c r="I335" i="1"/>
  <c r="J335" i="1"/>
  <c r="K335" i="1"/>
  <c r="G337" i="1"/>
  <c r="H337" i="1"/>
  <c r="I337" i="1"/>
  <c r="J337" i="1"/>
  <c r="K337" i="1"/>
  <c r="G339" i="1"/>
  <c r="H339" i="1"/>
  <c r="I339" i="1"/>
  <c r="J339" i="1"/>
  <c r="K339" i="1"/>
  <c r="G340" i="1"/>
  <c r="H340" i="1"/>
  <c r="I340" i="1"/>
  <c r="J340" i="1"/>
  <c r="K340" i="1"/>
  <c r="H7" i="8"/>
  <c r="H8" i="8"/>
  <c r="I8" i="8"/>
  <c r="F14" i="8"/>
  <c r="G14" i="8"/>
  <c r="H14" i="8"/>
  <c r="I14" i="8"/>
  <c r="E15" i="8"/>
  <c r="F15" i="8"/>
  <c r="G15" i="8"/>
  <c r="H15" i="8"/>
  <c r="I15" i="8"/>
  <c r="E16" i="8"/>
  <c r="F16" i="8"/>
  <c r="G16" i="8"/>
  <c r="H16" i="8"/>
  <c r="I16" i="8"/>
  <c r="E17" i="8"/>
  <c r="F17" i="8"/>
  <c r="G17" i="8"/>
  <c r="H17" i="8"/>
  <c r="I17" i="8"/>
  <c r="E18" i="8"/>
  <c r="F18" i="8"/>
  <c r="G18" i="8"/>
  <c r="H18" i="8"/>
  <c r="I18" i="8"/>
  <c r="E19" i="8"/>
  <c r="F19" i="8"/>
  <c r="G19" i="8"/>
  <c r="H19" i="8"/>
  <c r="I19" i="8"/>
  <c r="E23" i="8"/>
  <c r="F23" i="8"/>
  <c r="G23" i="8"/>
  <c r="H23" i="8"/>
  <c r="I23" i="8"/>
  <c r="F25" i="8"/>
  <c r="G25" i="8"/>
  <c r="H25" i="8"/>
  <c r="I25" i="8"/>
  <c r="E27" i="8"/>
  <c r="F27" i="8"/>
  <c r="G27" i="8"/>
  <c r="H27" i="8"/>
  <c r="I27" i="8"/>
  <c r="E32" i="8"/>
  <c r="F32" i="8"/>
  <c r="G32" i="8"/>
  <c r="H32" i="8"/>
  <c r="I32" i="8"/>
  <c r="E33" i="8"/>
  <c r="F33" i="8"/>
  <c r="G33" i="8"/>
  <c r="H33" i="8"/>
  <c r="I33" i="8"/>
  <c r="C37" i="8"/>
  <c r="C40" i="8"/>
  <c r="C41" i="8"/>
  <c r="C42" i="8"/>
  <c r="C43" i="8"/>
  <c r="C47" i="8"/>
  <c r="C49" i="8"/>
  <c r="C50" i="8"/>
  <c r="C53" i="8"/>
  <c r="C57"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Ahmed Wael</author>
  </authors>
  <commentList>
    <comment ref="C51" authorId="0" shapeId="0" xr:uid="{00000000-0006-0000-0000-000001000000}">
      <text>
        <r>
          <rPr>
            <b/>
            <sz val="9"/>
            <color indexed="81"/>
            <rFont val="Tahoma"/>
            <family val="2"/>
          </rPr>
          <t>Ahmed Wael:</t>
        </r>
        <r>
          <rPr>
            <sz val="9"/>
            <color indexed="81"/>
            <rFont val="Tahoma"/>
            <family val="2"/>
          </rPr>
          <t xml:space="preserve">
This is standard unit economics for scale-ups. Also by referencing MNT-Halan's transition from aggressive customer acquisition to monetization of their existing user base (cross-selling loans, e-payments, and FMCG)</t>
        </r>
      </text>
    </comment>
    <comment ref="G51" authorId="0" shapeId="0" xr:uid="{00000000-0006-0000-0000-000002000000}">
      <text>
        <r>
          <rPr>
            <b/>
            <sz val="9"/>
            <color indexed="81"/>
            <rFont val="Tahoma"/>
            <family val="2"/>
          </rPr>
          <t>Ahmed Wael:</t>
        </r>
        <r>
          <rPr>
            <sz val="9"/>
            <color indexed="81"/>
            <rFont val="Tahoma"/>
            <family val="2"/>
          </rPr>
          <t xml:space="preserve">
SG&amp;A held at the FY2025 ratio (41.0% of revenue). The C51 note argues for operating leverage; to model it, type a lower % here in blue with the reason.</t>
        </r>
      </text>
    </comment>
    <comment ref="C52" authorId="0" shapeId="0" xr:uid="{00000000-0006-0000-0000-000003000000}">
      <text>
        <r>
          <rPr>
            <b/>
            <sz val="9"/>
            <color indexed="81"/>
            <rFont val="Tahoma"/>
            <family val="2"/>
          </rPr>
          <t>Ahmed Wael:</t>
        </r>
        <r>
          <rPr>
            <sz val="9"/>
            <color indexed="81"/>
            <rFont val="Tahoma"/>
            <family val="2"/>
          </rPr>
          <t xml:space="preserve">
Held at the 2024-2025 average (3.25% and 3.21% of opening net loans = 3.23%). A return to ~5% is not supported by the FY2025 accounts: 2023 has no opening book to measure it on, and both measured years sit near 3.2%. Judgement; change G52 to test.</t>
        </r>
      </text>
    </comment>
    <comment ref="G53" authorId="0" shapeId="0" xr:uid="{00000000-0006-0000-0000-000004000000}">
      <text>
        <r>
          <rPr>
            <b/>
            <sz val="9"/>
            <color indexed="81"/>
            <rFont val="Tahoma"/>
            <family val="2"/>
          </rPr>
          <t>Ahmed Wael:</t>
        </r>
        <r>
          <rPr>
            <sz val="9"/>
            <color indexed="81"/>
            <rFont val="Tahoma"/>
            <family val="2"/>
          </rPr>
          <t xml:space="preserve">
Other income held at FY2025: 708.5m / 43,065m originations = 1.645%. (F53 used to hold the 1H26 ratio.)</t>
        </r>
      </text>
    </comment>
    <comment ref="F61" authorId="0" shapeId="0" xr:uid="{00000000-0006-0000-0000-000005000000}">
      <text>
        <r>
          <rPr>
            <b/>
            <sz val="9"/>
            <color indexed="81"/>
            <rFont val="Tahoma"/>
            <family val="2"/>
          </rPr>
          <t>Ahmed Wael:</t>
        </r>
        <r>
          <rPr>
            <sz val="9"/>
            <color indexed="81"/>
            <rFont val="Tahoma"/>
            <family val="2"/>
          </rPr>
          <t xml:space="preserve">
FY2025 audited balance sheet (KPMG, 22 Jul 2026): due from related parties 1,027,235,967. The 868,148,177 that was here is the restated comparative from the 1H26 interim; the model now runs on the audited FY2025 figures only.</t>
        </r>
      </text>
    </comment>
    <comment ref="F89" authorId="0" shapeId="0" xr:uid="{00000000-0006-0000-0000-000006000000}">
      <text>
        <r>
          <rPr>
            <b/>
            <sz val="9"/>
            <color indexed="81"/>
            <rFont val="Tahoma"/>
            <family val="2"/>
          </rPr>
          <t>Ahmed Wael:</t>
        </r>
        <r>
          <rPr>
            <sz val="9"/>
            <color indexed="81"/>
            <rFont val="Tahoma"/>
            <family val="2"/>
          </rPr>
          <t xml:space="preserve">
FY2025 audited balance sheet: due to related parties 769,019,145 (the 609,931,355 was the 1H26 restated comparative). Both sides move by 159.1m, so 2025 still balances.</t>
        </r>
      </text>
    </comment>
    <comment ref="E155" authorId="0" shapeId="0" xr:uid="{00000000-0006-0000-0000-000007000000}">
      <text>
        <r>
          <rPr>
            <b/>
            <sz val="9"/>
            <color indexed="81"/>
            <rFont val="Tahoma"/>
            <family val="2"/>
          </rPr>
          <t>Ahmed Wael:</t>
        </r>
        <r>
          <rPr>
            <sz val="9"/>
            <color indexed="81"/>
            <rFont val="Tahoma"/>
            <family val="2"/>
          </rPr>
          <t xml:space="preserve">
From Note 7 additions: EGP 209,545,831 (Fixed Assets) + EGP 237,710,042 (Work under construction) = EGP 447,255,873.</t>
        </r>
      </text>
    </comment>
    <comment ref="F155" authorId="0" shapeId="0" xr:uid="{00000000-0006-0000-0000-000008000000}">
      <text>
        <r>
          <rPr>
            <b/>
            <sz val="9"/>
            <color indexed="81"/>
            <rFont val="Tahoma"/>
            <family val="2"/>
          </rPr>
          <t>Ahmed Wael:</t>
        </r>
        <r>
          <rPr>
            <sz val="9"/>
            <color indexed="81"/>
            <rFont val="Tahoma"/>
            <family val="2"/>
          </rPr>
          <t xml:space="preserve">
From Note 7 additions: EGP 385,271,086 (Fixed Assets) + EGP 372,606,707 (Work under construction) = EGP 757,877,793.</t>
        </r>
      </text>
    </comment>
    <comment ref="C159" authorId="0" shapeId="0" xr:uid="{00000000-0006-0000-0000-000009000000}">
      <text>
        <r>
          <rPr>
            <b/>
            <sz val="9"/>
            <color indexed="81"/>
            <rFont val="Tahoma"/>
            <family val="2"/>
          </rPr>
          <t>Ahmed Wael:</t>
        </r>
        <r>
          <rPr>
            <sz val="9"/>
            <color indexed="81"/>
            <rFont val="Tahoma"/>
            <family val="2"/>
          </rPr>
          <t xml:space="preserve">
3.3%, 4.0%. Headquarters under construction</t>
        </r>
      </text>
    </comment>
    <comment ref="G172" authorId="0" shapeId="0" xr:uid="{00000000-0006-0000-0000-00000A000000}">
      <text>
        <r>
          <rPr>
            <b/>
            <sz val="9"/>
            <color indexed="81"/>
            <rFont val="Tahoma"/>
            <family val="2"/>
          </rPr>
          <t>Ahmed Wael:</t>
        </r>
        <r>
          <rPr>
            <sz val="9"/>
            <color indexed="81"/>
            <rFont val="Tahoma"/>
            <family val="2"/>
          </rPr>
          <t xml:space="preserve">
Interest income = yield on average net loans (row 359) x average of opening and closing net loans. Same formula in every forecast year.</t>
        </r>
      </text>
    </comment>
    <comment ref="C182" authorId="0" shapeId="0" xr:uid="{00000000-0006-0000-0000-00000B000000}">
      <text>
        <r>
          <rPr>
            <b/>
            <sz val="9"/>
            <color indexed="81"/>
            <rFont val="Tahoma"/>
            <family val="2"/>
          </rPr>
          <t>Ahmed Wael:</t>
        </r>
        <r>
          <rPr>
            <sz val="9"/>
            <color indexed="81"/>
            <rFont val="Tahoma"/>
            <family val="2"/>
          </rPr>
          <t xml:space="preserve">
Interest rates are dropping, but their loan portfolio is still growing. Growth will slowly normalize</t>
        </r>
      </text>
    </comment>
    <comment ref="C183" authorId="0" shapeId="0" xr:uid="{00000000-0006-0000-0000-00000C000000}">
      <text>
        <r>
          <rPr>
            <b/>
            <sz val="9"/>
            <color indexed="81"/>
            <rFont val="Tahoma"/>
            <family val="2"/>
          </rPr>
          <t>Ahmed Wael:</t>
        </r>
        <r>
          <rPr>
            <sz val="9"/>
            <color indexed="81"/>
            <rFont val="Tahoma"/>
            <family val="2"/>
          </rPr>
          <t xml:space="preserve">
It was negative last year (-7.8%). They are focusing less on selling physical goods and more on loans. Let's just assume it grows slowly with inflation</t>
        </r>
      </text>
    </comment>
    <comment ref="C184" authorId="0" shapeId="0" xr:uid="{00000000-0006-0000-0000-00000D000000}">
      <text>
        <r>
          <rPr>
            <b/>
            <sz val="9"/>
            <color indexed="81"/>
            <rFont val="Tahoma"/>
            <family val="2"/>
          </rPr>
          <t>Ahmed Wael:</t>
        </r>
        <r>
          <rPr>
            <sz val="9"/>
            <color indexed="81"/>
            <rFont val="Tahoma"/>
            <family val="2"/>
          </rPr>
          <t xml:space="preserve">
Commissions are directly tied to issuing new loans. So, we will make this grow at the same speed as Interest Income</t>
        </r>
      </text>
    </comment>
    <comment ref="G184" authorId="0" shapeId="0" xr:uid="{00000000-0006-0000-0000-00000E000000}">
      <text>
        <r>
          <rPr>
            <b/>
            <sz val="9"/>
            <color indexed="81"/>
            <rFont val="Tahoma"/>
            <family val="2"/>
          </rPr>
          <t>Ahmed Wael:</t>
        </r>
        <r>
          <rPr>
            <sz val="9"/>
            <color indexed="81"/>
            <rFont val="Tahoma"/>
            <family val="2"/>
          </rPr>
          <t xml:space="preserve">
Commission growth 2026: 25%, then a 20/15/12/10% fade. Commissions follow loan disbursements, and originations grow 15% in 2026 (G354) plus pricing. Judgement.</t>
        </r>
      </text>
    </comment>
    <comment ref="C185" authorId="0" shapeId="0" xr:uid="{00000000-0006-0000-0000-00000F000000}">
      <text>
        <r>
          <rPr>
            <b/>
            <sz val="9"/>
            <color indexed="81"/>
            <rFont val="Tahoma"/>
            <family val="2"/>
          </rPr>
          <t>Ahmed Wael:</t>
        </r>
        <r>
          <rPr>
            <sz val="9"/>
            <color indexed="81"/>
            <rFont val="Tahoma"/>
            <family val="2"/>
          </rPr>
          <t xml:space="preserve">
This is a brand new product in 2025 (29M EGP). New tech products grow massively in their first few years before slowing down</t>
        </r>
      </text>
    </comment>
    <comment ref="C186" authorId="0" shapeId="0" xr:uid="{00000000-0006-0000-0000-000010000000}">
      <text>
        <r>
          <rPr>
            <b/>
            <sz val="9"/>
            <color indexed="81"/>
            <rFont val="Tahoma"/>
            <family val="2"/>
          </rPr>
          <t>Ahmed Wael:</t>
        </r>
        <r>
          <rPr>
            <sz val="9"/>
            <color indexed="81"/>
            <rFont val="Tahoma"/>
            <family val="2"/>
          </rPr>
          <t xml:space="preserve">
This exploded by 169% in 2025 to 6.6 Billion. It cannot grow at 169% forever, but lower interest rates in 2026 make securitization very attractive. We will project strong but cooling growth</t>
        </r>
      </text>
    </comment>
    <comment ref="C187" authorId="0" shapeId="0" xr:uid="{00000000-0006-0000-0000-000011000000}">
      <text>
        <r>
          <rPr>
            <b/>
            <sz val="9"/>
            <color indexed="81"/>
            <rFont val="Tahoma"/>
            <family val="2"/>
          </rPr>
          <t>Ahmed Wael:</t>
        </r>
        <r>
          <rPr>
            <sz val="9"/>
            <color indexed="81"/>
            <rFont val="Tahoma"/>
            <family val="2"/>
          </rPr>
          <t xml:space="preserve">
This is a tiny, random number. Just flatline it</t>
        </r>
      </text>
    </comment>
    <comment ref="C199" authorId="0" shapeId="0" xr:uid="{00000000-0006-0000-0000-000012000000}">
      <text>
        <r>
          <rPr>
            <b/>
            <sz val="9"/>
            <color indexed="81"/>
            <rFont val="Tahoma"/>
            <family val="2"/>
          </rPr>
          <t>Ahmed Wael:</t>
        </r>
        <r>
          <rPr>
            <sz val="9"/>
            <color indexed="81"/>
            <rFont val="Tahoma"/>
            <family val="2"/>
          </rPr>
          <t xml:space="preserve">
Memo only: interest expense as % of interest income. It is an output of the funding schedule (rows 303-318), not a driver.</t>
        </r>
      </text>
    </comment>
    <comment ref="C200" authorId="0" shapeId="0" xr:uid="{00000000-0006-0000-0000-000013000000}">
      <text>
        <r>
          <rPr>
            <b/>
            <sz val="9"/>
            <color indexed="81"/>
            <rFont val="Tahoma"/>
            <family val="2"/>
          </rPr>
          <t>Ahmed Wael:</t>
        </r>
        <r>
          <rPr>
            <sz val="9"/>
            <color indexed="81"/>
            <rFont val="Tahoma"/>
            <family val="2"/>
          </rPr>
          <t xml:space="preserve">
COGS held at the FY2025 ratio of trading revenue (75.7%). FMCG/trading is a low-margin legacy line, so no margin expansion is assumed.</t>
        </r>
      </text>
    </comment>
    <comment ref="G233" authorId="0" shapeId="0" xr:uid="{00000000-0006-0000-0000-000014000000}">
      <text>
        <r>
          <rPr>
            <b/>
            <sz val="9"/>
            <color indexed="81"/>
            <rFont val="Tahoma"/>
            <family val="2"/>
          </rPr>
          <t>Ahmed Wael:</t>
        </r>
        <r>
          <rPr>
            <sz val="9"/>
            <color indexed="81"/>
            <rFont val="Tahoma"/>
            <family val="2"/>
          </rPr>
          <t xml:space="preserve">
Yield on cash, T-bills and securitization cash withheld: the FY2025 yield (9.45%) moved in line with the CBE deposit rate (G304 / F304). The 2024 FX gain is excluded from history (row 234), so F233 is a clean interest yield.</t>
        </r>
      </text>
    </comment>
    <comment ref="E236" authorId="0" shapeId="0" xr:uid="{00000000-0006-0000-0000-000015000000}">
      <text>
        <r>
          <rPr>
            <b/>
            <sz val="9"/>
            <color indexed="81"/>
            <rFont val="Tahoma"/>
            <family val="2"/>
          </rPr>
          <t>Ahmed Wael:</t>
        </r>
        <r>
          <rPr>
            <sz val="9"/>
            <color indexed="81"/>
            <rFont val="Tahoma"/>
            <family val="2"/>
          </rPr>
          <t xml:space="preserve">
352,614,660 of that was a one-time Foreign Exchange (FX) gain </t>
        </r>
      </text>
    </comment>
    <comment ref="G255" authorId="0" shapeId="0" xr:uid="{00000000-0006-0000-0000-000016000000}">
      <text>
        <r>
          <rPr>
            <b/>
            <sz val="9"/>
            <color indexed="81"/>
            <rFont val="Tahoma"/>
            <family val="2"/>
          </rPr>
          <t>Ahmed Wael:</t>
        </r>
        <r>
          <rPr>
            <sz val="9"/>
            <color indexed="81"/>
            <rFont val="Tahoma"/>
            <family val="2"/>
          </rPr>
          <t xml:space="preserve">
Employees' profit share is paid out of the prior year's profit: 462.6m on 2023 profit (20.6%), 247.6m on 2024 profit (17.3%). Forecast = average 19.0% of prior-year parent profit.</t>
        </r>
      </text>
    </comment>
    <comment ref="Q298" authorId="0" shapeId="0" xr:uid="{00000000-0006-0000-0000-000017000000}">
      <text>
        <r>
          <rPr>
            <b/>
            <sz val="9"/>
            <color indexed="81"/>
            <rFont val="Tahoma"/>
            <family val="2"/>
          </rPr>
          <t>Ahmed Wael:</t>
        </r>
        <r>
          <rPr>
            <sz val="9"/>
            <color indexed="81"/>
            <rFont val="Tahoma"/>
            <family val="2"/>
          </rPr>
          <t xml:space="preserve">
CBE overnight deposit rate = lending rate - 100bp at every MPC decision in 2024-2025 (CBE MPC press releases: 1 Feb 2024 21.25/22.25; 6 Mar 2024 27.25/28.25; 17 Apr 2025 25.00/26.00; 22 May 2025 24.00/25.00; 28 Aug 2025 22.00/23.00; 2 Oct 2025 21.00/22.00; 25 Dec 2025 20.00/21.00).</t>
        </r>
      </text>
    </comment>
    <comment ref="C301" authorId="0" shapeId="0" xr:uid="{00000000-0006-0000-0000-000018000000}">
      <text>
        <r>
          <rPr>
            <b/>
            <sz val="9"/>
            <color indexed="81"/>
            <rFont val="Tahoma"/>
            <family val="2"/>
          </rPr>
          <t>Ahmed Wael:</t>
        </r>
        <r>
          <rPr>
            <sz val="9"/>
            <color indexed="81"/>
            <rFont val="Tahoma"/>
            <family val="2"/>
          </rPr>
          <t xml:space="preserve">
Circularity switch: 1 = interest on average balances (circular, needs File &gt; Options &gt; Formulas &gt; Enable iterative calculation); 0 = interest on opening balances (no loop). The IFERROR in rows 232 and 317 stops an error from getting trapped in the loop. If #VALUE! or #REF! ever spreads: set D301 to 0, press Enter, then set it back to 1.</t>
        </r>
      </text>
    </comment>
    <comment ref="G303" authorId="0" shapeId="0" xr:uid="{00000000-0006-0000-0000-000019000000}">
      <text>
        <r>
          <rPr>
            <b/>
            <sz val="9"/>
            <color indexed="81"/>
            <rFont val="Tahoma"/>
            <family val="2"/>
          </rPr>
          <t>Ahmed Wael:</t>
        </r>
        <r>
          <rPr>
            <sz val="9"/>
            <color indexed="81"/>
            <rFont val="Tahoma"/>
            <family val="2"/>
          </rPr>
          <t xml:space="preserve">
CBE cut 100bp on 12 Feb 2026 (lending 21% to 20%, deposit 20% to 19%) and held at every meeting to 24 Sep 2026 (Trading Economics, CBE). 2027-2030 at 20% flat is a judgement: no further cuts assumed. Yield (row 359) and cost of funds (row 306) are both CBE + spread, so a rate change moves both sides.</t>
        </r>
      </text>
    </comment>
    <comment ref="G310" authorId="0" shapeId="0" xr:uid="{00000000-0006-0000-0000-00001A000000}">
      <text>
        <r>
          <rPr>
            <b/>
            <sz val="9"/>
            <color indexed="81"/>
            <rFont val="Tahoma"/>
            <family val="2"/>
          </rPr>
          <t>Ahmed Wael:</t>
        </r>
        <r>
          <rPr>
            <sz val="9"/>
            <color indexed="81"/>
            <rFont val="Tahoma"/>
            <family val="2"/>
          </rPr>
          <t xml:space="preserve">
FY2025 balance sheet: 2,088.9m of the corporate bonds is current, so it is repaid in 2026. The non-current 400.2m (F96) falls due in 2028 (I310 = -H311); nothing is due in 2027 (H310 = 0).</t>
        </r>
      </text>
    </comment>
    <comment ref="C328" authorId="0" shapeId="0" xr:uid="{00000000-0006-0000-0000-00001B000000}">
      <text>
        <r>
          <rPr>
            <b/>
            <sz val="9"/>
            <color indexed="81"/>
            <rFont val="Tahoma"/>
            <family val="2"/>
          </rPr>
          <t>Ahmed Wael:</t>
        </r>
        <r>
          <rPr>
            <sz val="9"/>
            <color indexed="81"/>
            <rFont val="Tahoma"/>
            <family val="2"/>
          </rPr>
          <t xml:space="preserve">
Note 15 shows restricted cash of 638.8m held as security for loans, so it cannot be spent.</t>
        </r>
      </text>
    </comment>
    <comment ref="C329" authorId="0" shapeId="0" xr:uid="{00000000-0006-0000-0000-00001C000000}">
      <text>
        <r>
          <rPr>
            <b/>
            <sz val="9"/>
            <color indexed="81"/>
            <rFont val="Tahoma"/>
            <family val="2"/>
          </rPr>
          <t>Ahmed Wael:</t>
        </r>
        <r>
          <rPr>
            <sz val="9"/>
            <color indexed="81"/>
            <rFont val="Tahoma"/>
            <family val="2"/>
          </rPr>
          <t xml:space="preserve">
Unrestricted cash was 4.7% of borrowings in 2023 (682.2m / 14,518m) and 4.4% in 2024 (906.8m / 20,386m). The 10.6% in 2025 is the 30 December timing spike above, so 4.6% (average of the first two) is the base. This is a judgement: no minimum is disclosed.</t>
        </r>
      </text>
    </comment>
    <comment ref="F338" authorId="0" shapeId="0" xr:uid="{00000000-0006-0000-0000-00001D000000}">
      <text>
        <r>
          <rPr>
            <b/>
            <sz val="9"/>
            <color indexed="81"/>
            <rFont val="Tahoma"/>
            <family val="2"/>
          </rPr>
          <t>Ahmed Wael:</t>
        </r>
        <r>
          <rPr>
            <sz val="9"/>
            <color indexed="81"/>
            <rFont val="Tahoma"/>
            <family val="2"/>
          </rPr>
          <t xml:space="preserve">
Approved credit facilities at 31 Dec 2025 (FY2025 accounts). Held flat: the model does not assume new limits it cannot source. Row 337 shows headroom turning negative from 2027: growth beyond that needs new facilities, securitization or the capital increase.</t>
        </r>
      </text>
    </comment>
    <comment ref="G354" authorId="0" shapeId="0" xr:uid="{00000000-0006-0000-0000-00001E000000}">
      <text>
        <r>
          <rPr>
            <b/>
            <sz val="9"/>
            <color indexed="81"/>
            <rFont val="Tahoma"/>
            <family val="2"/>
          </rPr>
          <t>Ahmed Wael:</t>
        </r>
        <r>
          <rPr>
            <sz val="9"/>
            <color indexed="81"/>
            <rFont val="Tahoma"/>
            <family val="2"/>
          </rPr>
          <t xml:space="preserve">
Originations growth 2026: 15%, then 12/10/8/8%. FY2025 grew 26.7% on 2024 (43.1bn vs 33.8bn); growth is slowed because facility headroom (row 337) runs out. Judgement.</t>
        </r>
      </text>
    </comment>
    <comment ref="C356" authorId="0" shapeId="0" xr:uid="{00000000-0006-0000-0000-00001F000000}">
      <text>
        <r>
          <rPr>
            <b/>
            <sz val="9"/>
            <color indexed="81"/>
            <rFont val="Tahoma"/>
            <family val="2"/>
          </rPr>
          <t>Ahmed Wael:</t>
        </r>
        <r>
          <rPr>
            <sz val="9"/>
            <color indexed="81"/>
            <rFont val="Tahoma"/>
            <family val="2"/>
          </rPr>
          <t xml:space="preserve">
37.6% (2024), 58.1% (2025). CBE tightening bank holdings of securitization bonds (secondary)</t>
        </r>
      </text>
    </comment>
    <comment ref="G356" authorId="0" shapeId="0" xr:uid="{00000000-0006-0000-0000-000020000000}">
      <text>
        <r>
          <rPr>
            <b/>
            <sz val="9"/>
            <color indexed="81"/>
            <rFont val="Tahoma"/>
            <family val="2"/>
          </rPr>
          <t>Ahmed Wael:</t>
        </r>
        <r>
          <rPr>
            <sz val="9"/>
            <color indexed="81"/>
            <rFont val="Tahoma"/>
            <family val="2"/>
          </rPr>
          <t xml:space="preserve">
Securitized share held at the FY2025 level (58.1% of originations).</t>
        </r>
      </text>
    </comment>
    <comment ref="G360" authorId="0" shapeId="0" xr:uid="{00000000-0006-0000-0000-000021000000}">
      <text>
        <r>
          <rPr>
            <b/>
            <sz val="9"/>
            <color indexed="81"/>
            <rFont val="Tahoma"/>
            <family val="2"/>
          </rPr>
          <t>Ahmed Wael:</t>
        </r>
        <r>
          <rPr>
            <sz val="9"/>
            <color indexed="81"/>
            <rFont val="Tahoma"/>
            <family val="2"/>
          </rPr>
          <t xml:space="preserve">
Loan yield = CBE lending rate + the FY2025 spread (38.4% - 25.1% = 13.3pt). Loan pricing follows the policy rate as funding costs move, so the spread, not the yield, is held. Judgement.</t>
        </r>
      </text>
    </comment>
    <comment ref="G391" authorId="0" shapeId="0" xr:uid="{00000000-0006-0000-0000-000022000000}">
      <text>
        <r>
          <rPr>
            <b/>
            <sz val="9"/>
            <color indexed="81"/>
            <rFont val="Tahoma"/>
            <family val="2"/>
          </rPr>
          <t>Ahmed Wael:</t>
        </r>
        <r>
          <rPr>
            <sz val="9"/>
            <color indexed="81"/>
            <rFont val="Tahoma"/>
            <family val="2"/>
          </rPr>
          <t xml:space="preserve">
No fair-value change forecast on FVOCI loans: it cannot be predicted, and the economic effect is already in the securitization margin (row 395). Type a figure here to test an OCI shock.</t>
        </r>
      </text>
    </comment>
    <comment ref="G395" authorId="0" shapeId="0" xr:uid="{00000000-0006-0000-0000-000023000000}">
      <text>
        <r>
          <rPr>
            <b/>
            <sz val="9"/>
            <color indexed="81"/>
            <rFont val="Tahoma"/>
            <family val="2"/>
          </rPr>
          <t>Ahmed Wael:</t>
        </r>
        <r>
          <rPr>
            <sz val="9"/>
            <color indexed="81"/>
            <rFont val="Tahoma"/>
            <family val="2"/>
          </rPr>
          <t xml:space="preserve">
Volume-weighted 2024-2025 economic margin: (securitization income + FVOCI fair-value change) / securitized volume = (2,460 + 1,492 + 6,629 - 1,461) / (12,694 + 25,022) = 24.2%. Including the FV change removes the timing effect of OCI recycling; weighting by volume stops one year dominating.</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Ahmed Wael</author>
  </authors>
  <commentList>
    <comment ref="B18" authorId="0" shapeId="0" xr:uid="{9D9EDB78-A7AC-461F-B926-36EFF9106868}">
      <text>
        <r>
          <rPr>
            <b/>
            <sz val="9"/>
            <color indexed="81"/>
            <rFont val="Tahoma"/>
            <family val="2"/>
          </rPr>
          <t>Ahmed Wael:</t>
        </r>
        <r>
          <rPr>
            <sz val="9"/>
            <color indexed="81"/>
            <rFont val="Tahoma"/>
            <family val="2"/>
          </rPr>
          <t xml:space="preserve">
Clean surplus: book value moves only through comprehensive income and shareholder flows. MNT-Halan pays no shareholder dividend, so the change in parent equity (less any capital raised, FSM row 396) is the income that belongs to shareholders: net income after employees' profit share, LTIP credit and OCI.</t>
        </r>
      </text>
    </comment>
    <comment ref="C36" authorId="0" shapeId="0" xr:uid="{B84D66AB-537D-4669-B156-C0660073CA02}">
      <text>
        <r>
          <rPr>
            <b/>
            <sz val="9"/>
            <color indexed="81"/>
            <rFont val="Tahoma"/>
            <family val="2"/>
          </rPr>
          <t>Ahmed Wael:</t>
        </r>
        <r>
          <rPr>
            <sz val="9"/>
            <color indexed="81"/>
            <rFont val="Tahoma"/>
            <family val="2"/>
          </rPr>
          <t xml:space="preserve">
Growth of residual income, not of profit. Residual income is negative here (ROE &lt; Ke), so growing it at 10% (real GDP + inflation) would grow a value loss forever. 0% in the persistence case; the base case fades it to zero.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Ahmed Wael</author>
  </authors>
  <commentList>
    <comment ref="C6" authorId="0" shapeId="0" xr:uid="{00000000-0006-0000-0300-000001000000}">
      <text>
        <r>
          <rPr>
            <b/>
            <sz val="9"/>
            <color indexed="81"/>
            <rFont val="Tahoma"/>
            <family val="2"/>
          </rPr>
          <t>Ahmed Wael:</t>
        </r>
        <r>
          <rPr>
            <sz val="9"/>
            <color indexed="81"/>
            <rFont val="Tahoma"/>
            <family val="2"/>
          </rPr>
          <t xml:space="preserve">
EGP 10-year government bond yield: Cbonds index 23.35% on 12 Oct 2026. Confirm against the latest Ministry of Finance 10-year auction before publishing.</t>
        </r>
      </text>
    </comment>
    <comment ref="C7" authorId="0" shapeId="0" xr:uid="{00000000-0006-0000-0300-000002000000}">
      <text>
        <r>
          <rPr>
            <b/>
            <sz val="9"/>
            <color indexed="81"/>
            <rFont val="Tahoma"/>
            <family val="2"/>
          </rPr>
          <t>Ahmed Wael:</t>
        </r>
        <r>
          <rPr>
            <sz val="9"/>
            <color indexed="81"/>
            <rFont val="Tahoma"/>
            <family val="2"/>
          </rPr>
          <t xml:space="preserve">
Damodaran Financial Svcs. (Non-bank &amp; Insur) Beta</t>
        </r>
      </text>
    </comment>
    <comment ref="C8" authorId="0" shapeId="0" xr:uid="{00000000-0006-0000-0300-000003000000}">
      <text>
        <r>
          <rPr>
            <b/>
            <sz val="9"/>
            <color indexed="81"/>
            <rFont val="Tahoma"/>
            <family val="2"/>
          </rPr>
          <t>Ahmed Wael:</t>
        </r>
        <r>
          <rPr>
            <sz val="9"/>
            <color indexed="81"/>
            <rFont val="Tahoma"/>
            <family val="2"/>
          </rPr>
          <t xml:space="preserve">
5.0% = middle of a 4.5-5.5% mature-market (US implied) premium. Egypt country risk is already inside the EGP 10-year yield in C6, so Damodaran's total Egypt premium (13.94%) would count it twice. Update from Damodaran's latest monthly implied ERP and write the date here.</t>
        </r>
      </text>
    </comment>
    <comment ref="C21" authorId="0" shapeId="0" xr:uid="{00000000-0006-0000-0300-000004000000}">
      <text>
        <r>
          <rPr>
            <b/>
            <sz val="9"/>
            <color indexed="81"/>
            <rFont val="Tahoma"/>
            <family val="2"/>
          </rPr>
          <t>Ahmed Wael:</t>
        </r>
        <r>
          <rPr>
            <sz val="9"/>
            <color indexed="81"/>
            <rFont val="Tahoma"/>
            <family val="2"/>
          </rPr>
          <t xml:space="preserve">
"Industry" uses C23 as published; "Blume-adjusted" pulls it toward 1. HALN has no trading history yet (listing expected 20 Oct 2026), so there is no observed beta. Once peer or HALN betas exist, regress 104 weekly returns on the EGX30.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Ahmed Wael</author>
  </authors>
  <commentList>
    <comment ref="D36" authorId="0" shapeId="0" xr:uid="{00000000-0006-0000-0400-000001000000}">
      <text>
        <r>
          <rPr>
            <b/>
            <sz val="9"/>
            <color indexed="81"/>
            <rFont val="Tahoma"/>
            <family val="2"/>
          </rPr>
          <t>Ahmed Wael:</t>
        </r>
        <r>
          <rPr>
            <sz val="9"/>
            <color indexed="81"/>
            <rFont val="Tahoma"/>
            <family val="2"/>
          </rPr>
          <t xml:space="preserve">
Book multiples on the two lenders only (Contact Financial, CI Capital). Fawry and e-finance are asset-light payment platforms; their P/B (8-10x) says nothing about a balance-sheet lender.</t>
        </r>
      </text>
    </comment>
  </commentList>
</comments>
</file>

<file path=xl/sharedStrings.xml><?xml version="1.0" encoding="utf-8"?>
<sst xmlns="http://schemas.openxmlformats.org/spreadsheetml/2006/main" count="475" uniqueCount="391">
  <si>
    <t>Residual Income</t>
  </si>
  <si>
    <t>All amounts are shown in EGP, except per-share data, ratios, and shares outstanding</t>
  </si>
  <si>
    <t>Most recent fiscal year end</t>
  </si>
  <si>
    <t>Cost of equity (Ke​)</t>
  </si>
  <si>
    <t>Link from Cost of equity (Ke​)</t>
  </si>
  <si>
    <t>End of first fiscal year</t>
  </si>
  <si>
    <t>Share price (Public Co)</t>
  </si>
  <si>
    <t>Valuation base date (latest audited balance sheet)</t>
  </si>
  <si>
    <t>Share price date</t>
  </si>
  <si>
    <t xml:space="preserve">Valuation date </t>
  </si>
  <si>
    <t>Implied Share Price</t>
  </si>
  <si>
    <t>Portion of First Year Cash Flows</t>
  </si>
  <si>
    <t>Upside / (Downside)</t>
  </si>
  <si>
    <t>Midyear adjustment?</t>
  </si>
  <si>
    <t>Book Value Roll-Forward</t>
  </si>
  <si>
    <t>LTM</t>
  </si>
  <si>
    <t>Actual</t>
  </si>
  <si>
    <t>Forecasts</t>
  </si>
  <si>
    <t>Fiscal year ended</t>
  </si>
  <si>
    <t>Opening book value of equity (parent)</t>
  </si>
  <si>
    <t>Closing book value of equity (parent)</t>
  </si>
  <si>
    <t>Net income (parent share)</t>
  </si>
  <si>
    <t>% growth</t>
  </si>
  <si>
    <t>Comprehensive income to shareholders (change in book value)</t>
  </si>
  <si>
    <t>ROE = comprehensive income / opening book value</t>
  </si>
  <si>
    <t>ROE - Ke  (value is created only when this is positive)</t>
  </si>
  <si>
    <t>Equity charge = Ke(t) × opening book value</t>
  </si>
  <si>
    <t>Residual income = comprehensive income - equity charge</t>
  </si>
  <si>
    <t>Base date</t>
  </si>
  <si>
    <t>Year 1</t>
  </si>
  <si>
    <t>Year 2</t>
  </si>
  <si>
    <t>Year 3</t>
  </si>
  <si>
    <t>Year 4</t>
  </si>
  <si>
    <t>Year 5</t>
  </si>
  <si>
    <t>Date for discounting cash flows</t>
  </si>
  <si>
    <t>Present value of residual income</t>
  </si>
  <si>
    <t>Terminal value - growth in perpetuity approach</t>
  </si>
  <si>
    <t>Long-term growth of residual income (persistence case)</t>
  </si>
  <si>
    <t>1 = residual income fades to zero after 2030 (base); 0 = persists, growing at C36</t>
  </si>
  <si>
    <t>Terminal year residual income x (1+g)</t>
  </si>
  <si>
    <t>Present value of terminal value</t>
  </si>
  <si>
    <t>Present value of stage 1 residual income</t>
  </si>
  <si>
    <t>Implied P/B on 31 Dec 2025 book value</t>
  </si>
  <si>
    <t>Valuation</t>
  </si>
  <si>
    <t>Shares outstanding</t>
  </si>
  <si>
    <t xml:space="preserve">Equity value </t>
  </si>
  <si>
    <t>Source doc</t>
  </si>
  <si>
    <t>Date</t>
  </si>
  <si>
    <t>Shares</t>
  </si>
  <si>
    <t>Basic shares</t>
  </si>
  <si>
    <t>Consolidated FS 2025</t>
  </si>
  <si>
    <t>12/31/2025</t>
  </si>
  <si>
    <t>Equity value per share</t>
  </si>
  <si>
    <t>Restricted stock / RSUs</t>
  </si>
  <si>
    <t>Options / warrants</t>
  </si>
  <si>
    <t>Justified P/B if 2030 ROE persists = (ROE - g) / (Ke - g)</t>
  </si>
  <si>
    <t>Convertible debt</t>
  </si>
  <si>
    <t>Convertible preferred stock</t>
  </si>
  <si>
    <t>Net diluted shares outstanding</t>
  </si>
  <si>
    <t>Sensitivity - implied value (EGP): rows = cost of equity; columns = growth of residual income (columns only change the answer when D36 = 0). Centre cell = base case</t>
  </si>
  <si>
    <t>Company Name</t>
  </si>
  <si>
    <t>MNT Tech Holding for Financial Investments S.A.E.</t>
  </si>
  <si>
    <t>Ticker</t>
  </si>
  <si>
    <t>HALN.CA</t>
  </si>
  <si>
    <t>IPO offer price (not a market close)</t>
  </si>
  <si>
    <t>Latest Closing Share Price Date</t>
  </si>
  <si>
    <t>Last Historical Year</t>
  </si>
  <si>
    <t>INCOME STATEMENT</t>
  </si>
  <si>
    <t xml:space="preserve">Fiscal year  </t>
  </si>
  <si>
    <t>Fiscal year end date</t>
  </si>
  <si>
    <t>Operating revenue</t>
  </si>
  <si>
    <t>Securitization income</t>
  </si>
  <si>
    <t>Total Revenue</t>
  </si>
  <si>
    <t>Interest and commission expenses</t>
  </si>
  <si>
    <t>Cost of good sold</t>
  </si>
  <si>
    <t>Total Direct Costs</t>
  </si>
  <si>
    <t>Net Operating Revenue (Gross Profit)</t>
  </si>
  <si>
    <t>Total Operating Expenses (OpEx)</t>
  </si>
  <si>
    <t>EBITDA</t>
  </si>
  <si>
    <t>Depreciation &amp; Amortization</t>
  </si>
  <si>
    <t>Operating Profit (EBIT)</t>
  </si>
  <si>
    <t>Finance income</t>
  </si>
  <si>
    <t>Finance Expense</t>
  </si>
  <si>
    <t>Net Finance income</t>
  </si>
  <si>
    <t>Investments For Equity accounted Investee</t>
  </si>
  <si>
    <t>Earnings Before Tax (EBT)</t>
  </si>
  <si>
    <t>Current Income Tax</t>
  </si>
  <si>
    <t>Deferred Income Tax</t>
  </si>
  <si>
    <t>Net Income</t>
  </si>
  <si>
    <t>Equity Holders of the Parent Company</t>
  </si>
  <si>
    <t>Non-Controlling Interest (NCI)</t>
  </si>
  <si>
    <t>Growth Rates &amp; Margins</t>
  </si>
  <si>
    <t>Revenue growth</t>
  </si>
  <si>
    <t>Tax rate</t>
  </si>
  <si>
    <t>OpEx Schedule</t>
  </si>
  <si>
    <t>SG&amp;A (excluding D&amp;A)</t>
  </si>
  <si>
    <t>Credit cost (ECL + bad debts written off)</t>
  </si>
  <si>
    <t>Other Net income</t>
  </si>
  <si>
    <t>BALANCE SHEET</t>
  </si>
  <si>
    <t>ASSETS</t>
  </si>
  <si>
    <t>Current Assets</t>
  </si>
  <si>
    <t>Due from related parties</t>
  </si>
  <si>
    <t>Debtors and other debit balances</t>
  </si>
  <si>
    <t>Inventory</t>
  </si>
  <si>
    <t>Investment classified at amortize cost-Treasury Bills</t>
  </si>
  <si>
    <t>Loans and advances to customers</t>
  </si>
  <si>
    <t>Cash at banks and on hand</t>
  </si>
  <si>
    <t>Total Current Assets</t>
  </si>
  <si>
    <t>Non-Current Assets</t>
  </si>
  <si>
    <t>Fixed assets and projects under construction</t>
  </si>
  <si>
    <t>Right-of-use assets</t>
  </si>
  <si>
    <t>Investments</t>
  </si>
  <si>
    <t>Intangible assets and goodwill</t>
  </si>
  <si>
    <t>Securitization Surplus</t>
  </si>
  <si>
    <t>Debtors and other debit balance</t>
  </si>
  <si>
    <t>Deferred tax asset</t>
  </si>
  <si>
    <t>Total Non-Current Assets</t>
  </si>
  <si>
    <t>Total Assets</t>
  </si>
  <si>
    <t>LIABILITIES AND EQUITY</t>
  </si>
  <si>
    <t>Current Liabilities</t>
  </si>
  <si>
    <t>Credit Facilities</t>
  </si>
  <si>
    <t>Corporate bond</t>
  </si>
  <si>
    <t>Current Tax Liabilities</t>
  </si>
  <si>
    <t>Creditors and other credit balances</t>
  </si>
  <si>
    <t>Due to related parties</t>
  </si>
  <si>
    <t>Lease Liabilities</t>
  </si>
  <si>
    <t>Provisions</t>
  </si>
  <si>
    <t>Total Current Liabilities</t>
  </si>
  <si>
    <t>Non-Current Liabilities</t>
  </si>
  <si>
    <t>Loans from related parties</t>
  </si>
  <si>
    <t>Deferred tax liabilities</t>
  </si>
  <si>
    <t>Total Non-Current Liabilities</t>
  </si>
  <si>
    <t>Total Liabilities</t>
  </si>
  <si>
    <t>Equity</t>
  </si>
  <si>
    <t>Issued and paid-up capital</t>
  </si>
  <si>
    <t>Reserves</t>
  </si>
  <si>
    <t>Fair value reserve through OCI</t>
  </si>
  <si>
    <t>Long-term incentive plan</t>
  </si>
  <si>
    <t>Retained Earnings</t>
  </si>
  <si>
    <t>Equity attributable to owners</t>
  </si>
  <si>
    <t>Non Controlling interest</t>
  </si>
  <si>
    <t>Total Equity</t>
  </si>
  <si>
    <t>Total Liabilites &amp; Equity</t>
  </si>
  <si>
    <t>Balance Check</t>
  </si>
  <si>
    <t>CASH FLOW STATEMENT</t>
  </si>
  <si>
    <t>Net income</t>
  </si>
  <si>
    <t>Depreciation and amortization</t>
  </si>
  <si>
    <t>Add back: non-cash items (lease interest, LTIP)</t>
  </si>
  <si>
    <t>Change in Current Income Tax Liability</t>
  </si>
  <si>
    <t>Net change in loans and advances to customers</t>
  </si>
  <si>
    <t>Operating cash flow before working capital</t>
  </si>
  <si>
    <t>Changes in Working Capital</t>
  </si>
  <si>
    <t>Net change in working capital</t>
  </si>
  <si>
    <t>Net cash flows from operating activities</t>
  </si>
  <si>
    <t>CASH FLOWS FROM INVESTING ACTIVITIES</t>
  </si>
  <si>
    <t>Paid to purchase property, plant and equipment</t>
  </si>
  <si>
    <t>Paid for intangible asset additions</t>
  </si>
  <si>
    <t>Net cash flows used in investing activities</t>
  </si>
  <si>
    <t>CASH FLOWS FROM FINANCING ACTIVITIES</t>
  </si>
  <si>
    <t>Paid dividends</t>
  </si>
  <si>
    <t>Lease payments</t>
  </si>
  <si>
    <t>Net borrowings: facilities drawn / (repaid) and bond repayment</t>
  </si>
  <si>
    <t>Net cash flow from financing activities</t>
  </si>
  <si>
    <t>Net change in cash and cash equivalents</t>
  </si>
  <si>
    <t>Cash and cash equivalents at 1 January</t>
  </si>
  <si>
    <t>Cash and cash equivalents at 31 December</t>
  </si>
  <si>
    <t>Reconciliation Check vs BS Cash</t>
  </si>
  <si>
    <t>PROPERTY, PLANT &amp; EQUIPMENT</t>
  </si>
  <si>
    <t>Beginning of period</t>
  </si>
  <si>
    <t>Plus: Capital expenditures</t>
  </si>
  <si>
    <t>Less: Depreciation</t>
  </si>
  <si>
    <t>End of period</t>
  </si>
  <si>
    <t>CapEx % of revenue</t>
  </si>
  <si>
    <t>Depreciation % of beginning PP&amp;E</t>
  </si>
  <si>
    <t>IMPUTING TOTAL DEPRECIATION &amp; AMORTIZATION</t>
  </si>
  <si>
    <t>D&amp;A not related to PP&amp;E</t>
  </si>
  <si>
    <t>as % of revenue</t>
  </si>
  <si>
    <t xml:space="preserve">Depreciation &amp; Amortization - Total </t>
  </si>
  <si>
    <t>REVENUE BUILD BY SEGMENT (EGP)</t>
  </si>
  <si>
    <t>Interest Income from Financing Activities</t>
  </si>
  <si>
    <t>Revenue from Trading Activities</t>
  </si>
  <si>
    <t>Commission</t>
  </si>
  <si>
    <t>Revenue from electronic payment</t>
  </si>
  <si>
    <t>-</t>
  </si>
  <si>
    <t>Other revenue</t>
  </si>
  <si>
    <t>Check vs IS (row 16)</t>
  </si>
  <si>
    <t>Operating Cost</t>
  </si>
  <si>
    <t>Interest Expense % of Interest Income</t>
  </si>
  <si>
    <t>COGS % of Trading Revenue</t>
  </si>
  <si>
    <t>WORKING CAPITAL SCHEDULE</t>
  </si>
  <si>
    <t>Operating Working Capital Assets</t>
  </si>
  <si>
    <t>Total Operating WC Assets</t>
  </si>
  <si>
    <t>Operating Working Capital Liabilities</t>
  </si>
  <si>
    <t>Total Operating WC Liabilities</t>
  </si>
  <si>
    <t>Net Working Capital</t>
  </si>
  <si>
    <t>NWC as % of revenue</t>
  </si>
  <si>
    <t>Change in NWC (− = cash used)</t>
  </si>
  <si>
    <t>WC DRIVERS (DAYS) without using turnover method</t>
  </si>
  <si>
    <t>DIO (days, off COGS)</t>
  </si>
  <si>
    <t>DSO (days, off revenue)</t>
  </si>
  <si>
    <t>DPO (days, off COGS)</t>
  </si>
  <si>
    <t>INTEREST SCHEDULE</t>
  </si>
  <si>
    <t>Interest income</t>
  </si>
  <si>
    <t>Interest-earning assets</t>
  </si>
  <si>
    <t>Average earning assets</t>
  </si>
  <si>
    <t>Effective yield</t>
  </si>
  <si>
    <t>FX gain inside 2024 finance income (one-off, excluded from the yield)</t>
  </si>
  <si>
    <t>Finance expense</t>
  </si>
  <si>
    <t>Net finance costs</t>
  </si>
  <si>
    <t>EQUITY &amp; NCI ROLL-FORWARD</t>
  </si>
  <si>
    <t>Plus: Net income (Parent Share)</t>
  </si>
  <si>
    <t>Less: employee dividends (profit share)</t>
  </si>
  <si>
    <t>End of period (= BS)</t>
  </si>
  <si>
    <t>Non-controlling Interests</t>
  </si>
  <si>
    <t>Plus: NCI share of net income</t>
  </si>
  <si>
    <t>Less: Dividends Paid to NCI</t>
  </si>
  <si>
    <t>Employee dividends (profit share)</t>
  </si>
  <si>
    <t>NCI share % of net income</t>
  </si>
  <si>
    <t>LEASE SCHEDULE</t>
  </si>
  <si>
    <t>Lease liab - Beginning</t>
  </si>
  <si>
    <t>Additons</t>
  </si>
  <si>
    <t>Plus: Lease Interest Accrued</t>
  </si>
  <si>
    <t>(Less) Total Lease Payments Made</t>
  </si>
  <si>
    <t>Lease liab - End</t>
  </si>
  <si>
    <t>ST share of liability</t>
  </si>
  <si>
    <t>Additons leases % revenue</t>
  </si>
  <si>
    <t>Interest as % of opening liability</t>
  </si>
  <si>
    <t>Payments as % of opening liability</t>
  </si>
  <si>
    <t>ROU</t>
  </si>
  <si>
    <t>ROU - Beginning</t>
  </si>
  <si>
    <t>Plus: Additions</t>
  </si>
  <si>
    <t>Less: ROU Amortization</t>
  </si>
  <si>
    <t>ROU - End</t>
  </si>
  <si>
    <t>Additions % revenue</t>
  </si>
  <si>
    <t>ROU amortization as % of opening ROU</t>
  </si>
  <si>
    <t>Additions</t>
  </si>
  <si>
    <t>Less: Amortization year</t>
  </si>
  <si>
    <t>Amortization % revenue</t>
  </si>
  <si>
    <t>Reference rates and cost of funds</t>
  </si>
  <si>
    <t>CBE lending rate averages</t>
  </si>
  <si>
    <t>Date the rate took effect</t>
  </si>
  <si>
    <t>Overnight lending rate</t>
  </si>
  <si>
    <t>Days at that rate</t>
  </si>
  <si>
    <t>Overnight deposit rate</t>
  </si>
  <si>
    <t>Circularity switch</t>
  </si>
  <si>
    <t>CBE overnight lending rate, year average</t>
  </si>
  <si>
    <t>CBE overnight deposit rate, year average</t>
  </si>
  <si>
    <t>Spread over CBE lending rate</t>
  </si>
  <si>
    <t>All-in cost of funds</t>
  </si>
  <si>
    <t>Borrowings roll-forward</t>
  </si>
  <si>
    <t>Corporate bonds, opening</t>
  </si>
  <si>
    <t>Scheduled repayment</t>
  </si>
  <si>
    <t>Corporate bonds, closing</t>
  </si>
  <si>
    <t>Credit facilities, opening</t>
  </si>
  <si>
    <t>Net draw / (repayment)</t>
  </si>
  <si>
    <t>Credit facilities, closing</t>
  </si>
  <si>
    <t>Total borrowings, closing</t>
  </si>
  <si>
    <t>Average borrowings</t>
  </si>
  <si>
    <t>Interest on borrowings</t>
  </si>
  <si>
    <t>Memo: % of interest income</t>
  </si>
  <si>
    <t>Current share of facilities</t>
  </si>
  <si>
    <t>The cash waterfall</t>
  </si>
  <si>
    <t>Opening cash</t>
  </si>
  <si>
    <t>Operating cash flow</t>
  </si>
  <si>
    <t>Investing cash flow</t>
  </si>
  <si>
    <t>Financing before the plug</t>
  </si>
  <si>
    <t>Cash before plug</t>
  </si>
  <si>
    <t>Restricted cash</t>
  </si>
  <si>
    <t>Liquidity buffer, % of opening borrowings</t>
  </si>
  <si>
    <t>Minimum cash</t>
  </si>
  <si>
    <t>Need / (surplus)</t>
  </si>
  <si>
    <t>Maximum repayment</t>
  </si>
  <si>
    <t>Closing cash</t>
  </si>
  <si>
    <t>Facility headroom</t>
  </si>
  <si>
    <t>Approved facility limit (latest disclosed)</t>
  </si>
  <si>
    <t>Cash check</t>
  </si>
  <si>
    <t>Net financing ratio</t>
  </si>
  <si>
    <t>Loan book roll-forward</t>
  </si>
  <si>
    <t>Opening net loans</t>
  </si>
  <si>
    <t>Originations (amortized cost + FVOCI additions)</t>
  </si>
  <si>
    <t>Collections</t>
  </si>
  <si>
    <t>Securitized (derecognized)</t>
  </si>
  <si>
    <t>Other (FV change, ECL, acquisition, disposals; balancing)</t>
  </si>
  <si>
    <t>Closing net loans</t>
  </si>
  <si>
    <t>ST share</t>
  </si>
  <si>
    <t>Originations growth</t>
  </si>
  <si>
    <t>Collections % opening net loans</t>
  </si>
  <si>
    <t>Securitized % originations</t>
  </si>
  <si>
    <t>Interest income % originations</t>
  </si>
  <si>
    <t>Securitization income % securitized</t>
  </si>
  <si>
    <t>Interest yield on average net loans</t>
  </si>
  <si>
    <t>Loan yield spread over CBE lending rate</t>
  </si>
  <si>
    <t>Debtors and creditors schedule</t>
  </si>
  <si>
    <t>Guarantee cash withheld</t>
  </si>
  <si>
    <t>% of securitized volume</t>
  </si>
  <si>
    <t>Other debtors</t>
  </si>
  <si>
    <t>% of total revenue</t>
  </si>
  <si>
    <t>Total debtors</t>
  </si>
  <si>
    <t>Due to custodian</t>
  </si>
  <si>
    <t>Other creditors</t>
  </si>
  <si>
    <t>% of SG&amp;A plus COGS</t>
  </si>
  <si>
    <t>Total creditors</t>
  </si>
  <si>
    <t>Software amortization</t>
  </si>
  <si>
    <t>Gross software cost</t>
  </si>
  <si>
    <t>Goodwill, not amortized</t>
  </si>
  <si>
    <t>Software amortization rate (straight-line, 5 years: FY2025 Note 41)</t>
  </si>
  <si>
    <t>Net software book value</t>
  </si>
  <si>
    <t>Provision for employees stock ownership plan % of SG&amp;A (excluding D&amp;A)</t>
  </si>
  <si>
    <t>Provision for employees stock ownership plan</t>
  </si>
  <si>
    <t>FVOCI FAIR VALUE RESERVE (OCI)</t>
  </si>
  <si>
    <t>Fair value change on FVOCI loans, pre-tax, net of ECL transfer</t>
  </si>
  <si>
    <t>Deferred tax on OCI</t>
  </si>
  <si>
    <t>OCI deferred tax rate</t>
  </si>
  <si>
    <t>Net OCI to FVOCI reserve</t>
  </si>
  <si>
    <t>Economic securitization margin</t>
  </si>
  <si>
    <t>Capital increase, cash received (up to EGP 4bn announced; 0 until completed)</t>
  </si>
  <si>
    <t>Cost of equity (Ke​) assumptions</t>
  </si>
  <si>
    <t xml:space="preserve">Risk free rate </t>
  </si>
  <si>
    <t xml:space="preserve">Beta </t>
  </si>
  <si>
    <t>Equity risk premium (mature market)</t>
  </si>
  <si>
    <t>Cost of equity (Ke​) = Rf + beta x ERP</t>
  </si>
  <si>
    <t>Cost of equity (Ke​) sensitivity to MRP and Beta</t>
  </si>
  <si>
    <t>Beta</t>
  </si>
  <si>
    <t>Market</t>
  </si>
  <si>
    <t>Risk</t>
  </si>
  <si>
    <t>Premium</t>
  </si>
  <si>
    <t>Select beta for model</t>
  </si>
  <si>
    <t>Industry</t>
  </si>
  <si>
    <t>Industry beta (Damodaran, Financial Svcs. non-bank &amp; insurance)</t>
  </si>
  <si>
    <t>Blume-adjusted beta = 2/3 x beta + 1/3</t>
  </si>
  <si>
    <t>Comparable Companies Analysis (Trading Comps)</t>
  </si>
  <si>
    <t>Refresh date:</t>
  </si>
  <si>
    <t>GENERAL INFORMATION</t>
  </si>
  <si>
    <t>FWRY.CA</t>
  </si>
  <si>
    <t>EFIH.CA</t>
  </si>
  <si>
    <t>CNFN.CA</t>
  </si>
  <si>
    <t>CICH.CA</t>
  </si>
  <si>
    <t>Company</t>
  </si>
  <si>
    <t>Fawry for Banking Tech</t>
  </si>
  <si>
    <t>e-finance for Digital Invest</t>
  </si>
  <si>
    <t>Contact Financial Holding</t>
  </si>
  <si>
    <t>CI Capital Holding</t>
  </si>
  <si>
    <t>MNT Tech Holding for Financial Investments</t>
  </si>
  <si>
    <t>Exchange / Currency</t>
  </si>
  <si>
    <t>EGX / EGP</t>
  </si>
  <si>
    <t>Fiscal year end</t>
  </si>
  <si>
    <t>Last closing price</t>
  </si>
  <si>
    <t>Price as of</t>
  </si>
  <si>
    <t>FULLY DILUTED SHARES</t>
  </si>
  <si>
    <t>Basic shares outstanding</t>
  </si>
  <si>
    <t>Options / RSUs / other dilution</t>
  </si>
  <si>
    <t>Fully diluted shares</t>
  </si>
  <si>
    <t>MARKET VALUATION</t>
  </si>
  <si>
    <t>Market Capitalization</t>
  </si>
  <si>
    <t>LTM FINANCIALS</t>
  </si>
  <si>
    <t>Net Income (Parent Shareholders)</t>
  </si>
  <si>
    <t>Total Shareholders' Equity (Parent)</t>
  </si>
  <si>
    <t>Less: Goodwill</t>
  </si>
  <si>
    <t>Less: Intangible Assets</t>
  </si>
  <si>
    <t>Tangible Book Value (TBV)</t>
  </si>
  <si>
    <t>TRADING MULTIPLES</t>
  </si>
  <si>
    <t>P/E (LTM)</t>
  </si>
  <si>
    <t>P/B (LTM)</t>
  </si>
  <si>
    <t>P/TBV (LTM)</t>
  </si>
  <si>
    <t>ROE (LTM)</t>
  </si>
  <si>
    <t>PEER STATISTICS</t>
  </si>
  <si>
    <t>P/E (all)</t>
  </si>
  <si>
    <t>P/B (lenders)</t>
  </si>
  <si>
    <t>P/TBV (lenders)</t>
  </si>
  <si>
    <t>ROE (all)</t>
  </si>
  <si>
    <t>Mean</t>
  </si>
  <si>
    <t>Median</t>
  </si>
  <si>
    <t>High</t>
  </si>
  <si>
    <t>Low</t>
  </si>
  <si>
    <t>IMPLIED VALUATION (from peer MEDIAN multiples)</t>
  </si>
  <si>
    <t>Via P/E:</t>
  </si>
  <si>
    <t>Peer median P/E</t>
  </si>
  <si>
    <t>x LTM net income</t>
  </si>
  <si>
    <t>Implied equity value</t>
  </si>
  <si>
    <t>Implied value per share</t>
  </si>
  <si>
    <t>Via Lender Median P/B:</t>
  </si>
  <si>
    <t>Peer median P/B</t>
  </si>
  <si>
    <t>x LTM book value of equity</t>
  </si>
  <si>
    <t>Via Lender Median P/TBV:</t>
  </si>
  <si>
    <t>Peer Median P/TBV</t>
  </si>
  <si>
    <t>x LTM tangible book value of equity (TBV)</t>
  </si>
  <si>
    <t>Via P/E, lenders only (CNFN, CICH):</t>
  </si>
  <si>
    <t>Lender median P/E</t>
  </si>
  <si>
    <t>Residual Income (Stub-Adjusted)</t>
  </si>
  <si>
    <t>Equity value per share "USD"</t>
  </si>
  <si>
    <t>USD/EGP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</si>
</sst>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4">
    <numFmt numFmtId="7" formatCode="&quot;$&quot;#,##0.00_);\(&quot;$&quot;#,##0.00\)"/>
    <numFmt numFmtId="41" formatCode="_(* #,##0_);_(* \(#,##0\);_(* &quot;-&quot;_);_(@_)"/>
    <numFmt numFmtId="164" formatCode="0.0%"/>
    <numFmt numFmtId="165" formatCode="_(* #,##0_);_(* \(#,##0\);_(* \-_);_(@_)"/>
    <numFmt numFmtId="166" formatCode="_(* #,##0_);_(* \(#,##0\);_(* \-??_);_(@_)"/>
    <numFmt numFmtId="167" formatCode="&quot;FY&quot;yy"/>
    <numFmt numFmtId="168" formatCode="0\A;[Red]0\A"/>
    <numFmt numFmtId="169" formatCode="0\P_);\(0\P\)"/>
    <numFmt numFmtId="170" formatCode="m/d/yy;@"/>
    <numFmt numFmtId="171" formatCode="_(#,##0.0%_);\(#,##0.0%\);_(&quot;–&quot;_)_%;_(@_)_%"/>
    <numFmt numFmtId="172" formatCode="#,##0_);\(#,##0\);@_)"/>
    <numFmt numFmtId="173" formatCode="_(* #,##0.0_);_(* \(#,##0.0\);_(* \-??_);_(@_)"/>
    <numFmt numFmtId="174" formatCode="_(* #,##0_);_(* \(#,##0\);_(* &quot;-&quot;??_);_(@_)"/>
    <numFmt numFmtId="175" formatCode="_-* #,##0_-;\-* #,##0_-;_-* &quot;-&quot;_-;_-@_-"/>
    <numFmt numFmtId="176" formatCode="d/m/yy;@"/>
    <numFmt numFmtId="177" formatCode="_-* #,##0.00_-;\-* #,##0.00_-;_-* &quot;-&quot;??_-;_-@_-"/>
    <numFmt numFmtId="178" formatCode="_(* #,##0.00_);_(* \(#,##0.00\);_(* \-??_);_(@_)"/>
    <numFmt numFmtId="179" formatCode="0.0%_);\(0.0%\);@_)"/>
    <numFmt numFmtId="180" formatCode="0.000"/>
    <numFmt numFmtId="181" formatCode="#,##0.000_);\(#,##0.000\)"/>
    <numFmt numFmtId="182" formatCode="_-[$EGP]\ * #,##0.00_-;\-[$EGP]\ * #,##0.00_-;_-[$EGP]\ * &quot;-&quot;??_-;_-@_-"/>
    <numFmt numFmtId="183" formatCode="#,##0;\(#,##0\)"/>
    <numFmt numFmtId="184" formatCode="0.0&quot;x&quot;"/>
    <numFmt numFmtId="185" formatCode="0.0000%"/>
    <numFmt numFmtId="186" formatCode="0000\A"/>
    <numFmt numFmtId="187" formatCode="0000\P"/>
    <numFmt numFmtId="188" formatCode="0.0\x_);\(0.0\x\);@_)"/>
    <numFmt numFmtId="189" formatCode="#,##0.000_);\(#,##0.000\);@_)"/>
    <numFmt numFmtId="190" formatCode="_([$$]#,##0_)_%;\([$$]#,##0\)_%;_(&quot;–&quot;_)_%;_(@_)_%"/>
    <numFmt numFmtId="191" formatCode="0.00%;\(0.00%\);\-"/>
    <numFmt numFmtId="192" formatCode="#,##0.00;\(#,##0.00\);\-"/>
    <numFmt numFmtId="193" formatCode="[$-409]mmmmm/yy;@"/>
    <numFmt numFmtId="194" formatCode="0.00&quot;x&quot;"/>
    <numFmt numFmtId="195" formatCode="_([$USD]\ * #,##0.00_);_([$USD]\ * \(#,##0.00\);_([$USD]\ * &quot;-&quot;??_);_(@_)"/>
  </numFmts>
  <fonts count="49" x14ac:knownFonts="1">
    <font>
      <sz val="11"/>
      <color theme="1"/>
      <name val="Calibri"/>
      <family val="2"/>
      <charset val="1"/>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1"/>
    </font>
    <font>
      <b/>
      <sz val="11"/>
      <color theme="1"/>
      <name val="Calibri"/>
      <family val="2"/>
      <scheme val="minor"/>
    </font>
    <font>
      <sz val="11"/>
      <color rgb="FF000000"/>
      <name val="Calibri"/>
      <family val="2"/>
      <scheme val="minor"/>
    </font>
    <font>
      <sz val="11"/>
      <color rgb="FF0000FF"/>
      <name val="Calibri"/>
      <family val="2"/>
      <scheme val="minor"/>
    </font>
    <font>
      <sz val="11"/>
      <color theme="1"/>
      <name val="Calibri"/>
      <family val="2"/>
    </font>
    <font>
      <i/>
      <sz val="11"/>
      <color theme="1"/>
      <name val="Calibri"/>
      <family val="2"/>
    </font>
    <font>
      <b/>
      <sz val="11"/>
      <color theme="0"/>
      <name val="Calibri"/>
      <family val="2"/>
    </font>
    <font>
      <sz val="11"/>
      <name val="Calibri"/>
      <family val="2"/>
    </font>
    <font>
      <sz val="11"/>
      <color theme="4" tint="-0.249977111117893"/>
      <name val="Calibri"/>
      <family val="2"/>
    </font>
    <font>
      <b/>
      <sz val="11"/>
      <color theme="1"/>
      <name val="Calibri"/>
      <family val="2"/>
    </font>
    <font>
      <b/>
      <sz val="11"/>
      <name val="Calibri"/>
      <family val="2"/>
    </font>
    <font>
      <b/>
      <sz val="11"/>
      <color rgb="FF000000"/>
      <name val="Calibri"/>
      <family val="2"/>
    </font>
    <font>
      <sz val="11"/>
      <color theme="0"/>
      <name val="Calibri"/>
      <family val="2"/>
    </font>
    <font>
      <i/>
      <sz val="11"/>
      <color theme="1"/>
      <name val="Calibri"/>
      <family val="2"/>
      <scheme val="minor"/>
    </font>
    <font>
      <i/>
      <sz val="9"/>
      <color rgb="FF000000"/>
      <name val="Calibri"/>
      <family val="2"/>
      <scheme val="minor"/>
    </font>
    <font>
      <sz val="10"/>
      <name val="Times New Roman"/>
      <family val="1"/>
    </font>
    <font>
      <sz val="11"/>
      <color rgb="FF008000"/>
      <name val="Calibri"/>
      <family val="2"/>
      <scheme val="minor"/>
    </font>
    <font>
      <u/>
      <sz val="11"/>
      <color theme="10"/>
      <name val="Calibri"/>
      <family val="2"/>
      <scheme val="minor"/>
    </font>
    <font>
      <u val="singleAccounting"/>
      <sz val="11"/>
      <color theme="1"/>
      <name val="Calibri"/>
      <family val="2"/>
      <scheme val="minor"/>
    </font>
    <font>
      <u val="singleAccounting"/>
      <sz val="11"/>
      <color rgb="FF000000"/>
      <name val="Calibri"/>
      <family val="2"/>
      <scheme val="minor"/>
    </font>
    <font>
      <b/>
      <sz val="11"/>
      <color rgb="FF000000"/>
      <name val="Calibri"/>
      <family val="2"/>
      <scheme val="minor"/>
    </font>
    <font>
      <u/>
      <sz val="11"/>
      <color theme="1"/>
      <name val="Calibri"/>
      <family val="2"/>
      <scheme val="minor"/>
    </font>
    <font>
      <sz val="11"/>
      <name val="Calibri"/>
      <family val="2"/>
      <scheme val="minor"/>
    </font>
    <font>
      <sz val="11"/>
      <color theme="4" tint="-0.249977111117893"/>
      <name val="Calibri"/>
      <family val="2"/>
      <charset val="1"/>
    </font>
    <font>
      <sz val="10"/>
      <name val="Arial"/>
      <family val="2"/>
    </font>
    <font>
      <b/>
      <sz val="11"/>
      <color rgb="FF0070C0"/>
      <name val="Calibri"/>
      <family val="2"/>
      <scheme val="minor"/>
    </font>
    <font>
      <sz val="11"/>
      <color rgb="FF0000FF"/>
      <name val="Calibri"/>
      <family val="2"/>
    </font>
    <font>
      <b/>
      <i/>
      <sz val="11"/>
      <color theme="1"/>
      <name val="Calibri"/>
      <family val="2"/>
    </font>
    <font>
      <i/>
      <sz val="11"/>
      <name val="Calibri"/>
      <family val="2"/>
    </font>
    <font>
      <b/>
      <i/>
      <sz val="11"/>
      <name val="Calibri"/>
      <family val="2"/>
    </font>
    <font>
      <i/>
      <sz val="11"/>
      <color rgb="FF808080"/>
      <name val="Calibri"/>
      <family val="2"/>
    </font>
    <font>
      <sz val="11"/>
      <color rgb="FF008000"/>
      <name val="Calibri"/>
      <family val="2"/>
    </font>
    <font>
      <sz val="11"/>
      <name val="Calibri"/>
      <family val="2"/>
      <charset val="1"/>
    </font>
    <font>
      <sz val="11"/>
      <color rgb="FF000000"/>
      <name val="Calibri"/>
      <family val="2"/>
    </font>
    <font>
      <sz val="9"/>
      <color indexed="81"/>
      <name val="Tahoma"/>
      <family val="2"/>
    </font>
    <font>
      <b/>
      <sz val="9"/>
      <color indexed="81"/>
      <name val="Tahoma"/>
      <family val="2"/>
    </font>
    <font>
      <b/>
      <sz val="11"/>
      <color rgb="FF008000"/>
      <name val="Calibri"/>
      <family val="2"/>
      <scheme val="minor"/>
    </font>
    <font>
      <sz val="11"/>
      <color rgb="FF0000FF"/>
      <name val="Calibri"/>
      <family val="2"/>
      <charset val="1"/>
    </font>
    <font>
      <b/>
      <sz val="11"/>
      <name val="Calibri"/>
      <charset val="1"/>
    </font>
    <font>
      <b/>
      <sz val="11"/>
      <color rgb="FF000000"/>
      <name val="Calibri"/>
      <charset val="1"/>
    </font>
    <font>
      <i/>
      <sz val="11"/>
      <color theme="1"/>
      <name val="Calibri"/>
      <family val="2"/>
      <charset val="1"/>
    </font>
    <font>
      <sz val="11"/>
      <color rgb="FF008000"/>
      <name val="Calibri"/>
      <family val="2"/>
      <charset val="1"/>
    </font>
  </fonts>
  <fills count="5">
    <fill>
      <patternFill patternType="none"/>
    </fill>
    <fill>
      <patternFill patternType="gray125"/>
    </fill>
    <fill>
      <patternFill patternType="solid">
        <fgColor rgb="FFD2F2FF"/>
        <bgColor rgb="FF000000"/>
      </patternFill>
    </fill>
    <fill>
      <patternFill patternType="solid">
        <fgColor rgb="FFC9DAF8"/>
        <bgColor indexed="64"/>
      </patternFill>
    </fill>
    <fill>
      <patternFill patternType="solid">
        <fgColor rgb="FFDDEBF7"/>
        <bgColor rgb="FFD9D9D9"/>
      </patternFill>
    </fill>
  </fills>
  <borders count="21">
    <border>
      <left/>
      <right/>
      <top/>
      <bottom/>
      <diagonal/>
    </border>
    <border>
      <left/>
      <right/>
      <top style="thin">
        <color theme="1"/>
      </top>
      <bottom/>
      <diagonal/>
    </border>
    <border>
      <left/>
      <right/>
      <top/>
      <bottom style="thin">
        <color auto="1"/>
      </bottom>
      <diagonal/>
    </border>
    <border>
      <left/>
      <right/>
      <top style="thin">
        <color indexed="64"/>
      </top>
      <bottom/>
      <diagonal/>
    </border>
    <border>
      <left/>
      <right/>
      <top style="medium">
        <color rgb="FF000000"/>
      </top>
      <bottom style="medium">
        <color rgb="FF000000"/>
      </bottom>
      <diagonal/>
    </border>
    <border>
      <left/>
      <right/>
      <top style="medium">
        <color rgb="FF000000"/>
      </top>
      <bottom/>
      <diagonal/>
    </border>
    <border>
      <left/>
      <right/>
      <top/>
      <bottom style="thin">
        <color rgb="FF000000"/>
      </bottom>
      <diagonal/>
    </border>
    <border>
      <left/>
      <right/>
      <top/>
      <bottom style="hair">
        <color rgb="FF000000"/>
      </bottom>
      <diagonal/>
    </border>
    <border>
      <left/>
      <right/>
      <top style="hair">
        <color rgb="FF000000"/>
      </top>
      <bottom style="hair">
        <color rgb="FF000000"/>
      </bottom>
      <diagonal/>
    </border>
    <border>
      <left style="hair">
        <color rgb="FF000000"/>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top style="thin">
        <color rgb="FF000000"/>
      </top>
      <bottom/>
      <diagonal/>
    </border>
    <border>
      <left style="thin">
        <color rgb="FF000000"/>
      </left>
      <right/>
      <top style="hair">
        <color rgb="FF000000"/>
      </top>
      <bottom style="thin">
        <color rgb="FF000000"/>
      </bottom>
      <diagonal/>
    </border>
    <border>
      <left/>
      <right/>
      <top style="hair">
        <color rgb="FF000000"/>
      </top>
      <bottom style="thin">
        <color rgb="FF000000"/>
      </bottom>
      <diagonal/>
    </border>
    <border>
      <left style="hair">
        <color rgb="FF000000"/>
      </left>
      <right style="thin">
        <color rgb="FF000000"/>
      </right>
      <top/>
      <bottom/>
      <diagonal/>
    </border>
    <border>
      <left style="hair">
        <color rgb="FF000000"/>
      </left>
      <right style="hair">
        <color rgb="FF000000"/>
      </right>
      <top style="hair">
        <color rgb="FF000000"/>
      </top>
      <bottom style="hair">
        <color rgb="FF000000"/>
      </bottom>
      <diagonal/>
    </border>
    <border>
      <left style="thin">
        <color auto="1"/>
      </left>
      <right style="thin">
        <color auto="1"/>
      </right>
      <top style="thin">
        <color auto="1"/>
      </top>
      <bottom style="thin">
        <color auto="1"/>
      </bottom>
      <diagonal/>
    </border>
  </borders>
  <cellStyleXfs count="12">
    <xf numFmtId="0" fontId="0" fillId="0" borderId="0"/>
    <xf numFmtId="178" fontId="7" fillId="0" borderId="0"/>
    <xf numFmtId="9" fontId="7" fillId="0" borderId="0"/>
    <xf numFmtId="0" fontId="6" fillId="0" borderId="0"/>
    <xf numFmtId="37" fontId="22" fillId="0" borderId="0"/>
    <xf numFmtId="0" fontId="24" fillId="0" borderId="0"/>
    <xf numFmtId="193" fontId="31" fillId="0" borderId="0"/>
    <xf numFmtId="0" fontId="6" fillId="0" borderId="0"/>
    <xf numFmtId="0" fontId="6" fillId="0" borderId="0"/>
    <xf numFmtId="0" fontId="6" fillId="0" borderId="0"/>
    <xf numFmtId="49" fontId="33" fillId="0" borderId="0">
      <alignment horizontal="left"/>
    </xf>
    <xf numFmtId="166" fontId="44" fillId="0" borderId="0"/>
  </cellStyleXfs>
  <cellXfs count="290">
    <xf numFmtId="0" fontId="0" fillId="0" borderId="0" xfId="0"/>
    <xf numFmtId="164" fontId="7" fillId="0" borderId="0" xfId="2" applyNumberFormat="1"/>
    <xf numFmtId="0" fontId="8" fillId="0" borderId="4" xfId="0" applyFont="1" applyBorder="1"/>
    <xf numFmtId="0" fontId="9" fillId="0" borderId="0" xfId="0" applyFont="1"/>
    <xf numFmtId="0" fontId="10" fillId="0" borderId="0" xfId="0" applyFont="1" applyAlignment="1">
      <alignment horizontal="center"/>
    </xf>
    <xf numFmtId="14" fontId="10" fillId="0" borderId="0" xfId="0" applyNumberFormat="1" applyFont="1" applyAlignment="1">
      <alignment horizontal="center"/>
    </xf>
    <xf numFmtId="0" fontId="11" fillId="0" borderId="0" xfId="0" applyFont="1"/>
    <xf numFmtId="0" fontId="12" fillId="0" borderId="0" xfId="0" applyFont="1" applyAlignment="1">
      <alignment horizontal="center" vertical="center"/>
    </xf>
    <xf numFmtId="0" fontId="11" fillId="0" borderId="4" xfId="0" applyFont="1" applyBorder="1"/>
    <xf numFmtId="0" fontId="11" fillId="0" borderId="5" xfId="0" applyFont="1" applyBorder="1"/>
    <xf numFmtId="165" fontId="15" fillId="0" borderId="0" xfId="1" applyNumberFormat="1" applyFont="1"/>
    <xf numFmtId="0" fontId="16" fillId="0" borderId="1" xfId="0" applyFont="1" applyBorder="1"/>
    <xf numFmtId="166" fontId="16" fillId="0" borderId="1" xfId="1" applyNumberFormat="1" applyFont="1" applyBorder="1"/>
    <xf numFmtId="0" fontId="16" fillId="0" borderId="0" xfId="0" applyFont="1"/>
    <xf numFmtId="166" fontId="16" fillId="0" borderId="0" xfId="1" applyNumberFormat="1" applyFont="1"/>
    <xf numFmtId="164" fontId="12" fillId="0" borderId="0" xfId="2" applyNumberFormat="1" applyFont="1"/>
    <xf numFmtId="0" fontId="16" fillId="0" borderId="3" xfId="0" applyFont="1" applyBorder="1"/>
    <xf numFmtId="0" fontId="11" fillId="0" borderId="0" xfId="0" applyFont="1" applyAlignment="1">
      <alignment horizontal="left" indent="1"/>
    </xf>
    <xf numFmtId="166" fontId="11" fillId="0" borderId="0" xfId="0" applyNumberFormat="1" applyFont="1"/>
    <xf numFmtId="166" fontId="11" fillId="0" borderId="0" xfId="1" applyNumberFormat="1" applyFont="1"/>
    <xf numFmtId="0" fontId="18" fillId="0" borderId="2" xfId="0" applyFont="1" applyBorder="1"/>
    <xf numFmtId="166" fontId="16" fillId="0" borderId="2" xfId="1" applyNumberFormat="1" applyFont="1" applyBorder="1"/>
    <xf numFmtId="164" fontId="11" fillId="0" borderId="0" xfId="2" applyNumberFormat="1" applyFont="1"/>
    <xf numFmtId="1" fontId="11" fillId="0" borderId="0" xfId="2" applyNumberFormat="1" applyFont="1"/>
    <xf numFmtId="0" fontId="14" fillId="0" borderId="0" xfId="0" applyFont="1" applyAlignment="1">
      <alignment horizontal="left" indent="1"/>
    </xf>
    <xf numFmtId="166" fontId="16" fillId="0" borderId="0" xfId="0" applyNumberFormat="1" applyFont="1"/>
    <xf numFmtId="0" fontId="16" fillId="0" borderId="1" xfId="0" applyFont="1" applyBorder="1" applyAlignment="1">
      <alignment horizontal="left"/>
    </xf>
    <xf numFmtId="165" fontId="11" fillId="0" borderId="0" xfId="0" applyNumberFormat="1" applyFont="1"/>
    <xf numFmtId="0" fontId="11" fillId="0" borderId="0" xfId="0" applyFont="1" applyAlignment="1">
      <alignment horizontal="center" vertical="center"/>
    </xf>
    <xf numFmtId="0" fontId="11" fillId="0" borderId="0" xfId="0" applyFont="1" applyAlignment="1">
      <alignment horizontal="left" indent="2"/>
    </xf>
    <xf numFmtId="165" fontId="17" fillId="0" borderId="3" xfId="1" applyNumberFormat="1" applyFont="1" applyBorder="1"/>
    <xf numFmtId="0" fontId="19" fillId="0" borderId="0" xfId="0" applyFont="1"/>
    <xf numFmtId="0" fontId="13" fillId="0" borderId="0" xfId="0" applyFont="1"/>
    <xf numFmtId="0" fontId="19" fillId="0" borderId="0" xfId="0" applyFont="1" applyAlignment="1">
      <alignment horizontal="center" vertical="center"/>
    </xf>
    <xf numFmtId="167" fontId="13" fillId="0" borderId="0" xfId="0" applyNumberFormat="1" applyFont="1" applyAlignment="1">
      <alignment horizontal="center" vertical="center"/>
    </xf>
    <xf numFmtId="0" fontId="14" fillId="0" borderId="0" xfId="0" applyFont="1"/>
    <xf numFmtId="10" fontId="11" fillId="0" borderId="0" xfId="2" applyNumberFormat="1" applyFont="1"/>
    <xf numFmtId="0" fontId="16" fillId="0" borderId="3" xfId="0" applyFont="1" applyBorder="1" applyAlignment="1">
      <alignment horizontal="left"/>
    </xf>
    <xf numFmtId="0" fontId="8" fillId="0" borderId="6" xfId="0" applyFont="1" applyBorder="1"/>
    <xf numFmtId="0" fontId="0" fillId="0" borderId="6" xfId="0" applyBorder="1"/>
    <xf numFmtId="168" fontId="8" fillId="0" borderId="0" xfId="0" applyNumberFormat="1" applyFont="1"/>
    <xf numFmtId="169" fontId="8" fillId="0" borderId="0" xfId="0" applyNumberFormat="1" applyFont="1"/>
    <xf numFmtId="0" fontId="20" fillId="0" borderId="6" xfId="0" applyFont="1" applyBorder="1"/>
    <xf numFmtId="170" fontId="20" fillId="0" borderId="2" xfId="0" applyNumberFormat="1" applyFont="1" applyBorder="1"/>
    <xf numFmtId="0" fontId="17" fillId="0" borderId="0" xfId="0" applyFont="1"/>
    <xf numFmtId="170" fontId="20" fillId="0" borderId="6" xfId="0" applyNumberFormat="1" applyFont="1" applyBorder="1"/>
    <xf numFmtId="167" fontId="17" fillId="0" borderId="0" xfId="0" applyNumberFormat="1" applyFont="1" applyAlignment="1">
      <alignment horizontal="center" vertical="center"/>
    </xf>
    <xf numFmtId="0" fontId="0" fillId="0" borderId="3" xfId="0" applyBorder="1"/>
    <xf numFmtId="168" fontId="8" fillId="0" borderId="3" xfId="0" applyNumberFormat="1" applyFont="1" applyBorder="1"/>
    <xf numFmtId="169" fontId="8" fillId="0" borderId="3" xfId="0" applyNumberFormat="1" applyFont="1" applyBorder="1"/>
    <xf numFmtId="14" fontId="10" fillId="0" borderId="0" xfId="4" applyNumberFormat="1" applyFont="1" applyAlignment="1">
      <alignment horizontal="right"/>
    </xf>
    <xf numFmtId="14" fontId="9" fillId="0" borderId="0" xfId="4" applyNumberFormat="1" applyFont="1" applyAlignment="1">
      <alignment horizontal="right"/>
    </xf>
    <xf numFmtId="0" fontId="24" fillId="0" borderId="0" xfId="5"/>
    <xf numFmtId="171" fontId="9" fillId="0" borderId="0" xfId="0" applyNumberFormat="1" applyFont="1"/>
    <xf numFmtId="172" fontId="9" fillId="0" borderId="0" xfId="0" applyNumberFormat="1" applyFont="1"/>
    <xf numFmtId="14" fontId="0" fillId="0" borderId="0" xfId="0" applyNumberFormat="1"/>
    <xf numFmtId="165" fontId="17" fillId="0" borderId="0" xfId="1" applyNumberFormat="1" applyFont="1"/>
    <xf numFmtId="165" fontId="16" fillId="0" borderId="0" xfId="0" applyNumberFormat="1" applyFont="1"/>
    <xf numFmtId="9" fontId="7" fillId="0" borderId="13" xfId="2" applyBorder="1"/>
    <xf numFmtId="166" fontId="7" fillId="0" borderId="0" xfId="1" applyNumberFormat="1"/>
    <xf numFmtId="165" fontId="0" fillId="0" borderId="0" xfId="0" applyNumberFormat="1"/>
    <xf numFmtId="166" fontId="30" fillId="0" borderId="0" xfId="1" applyNumberFormat="1" applyFont="1"/>
    <xf numFmtId="173" fontId="7" fillId="0" borderId="0" xfId="1" applyNumberFormat="1"/>
    <xf numFmtId="0" fontId="16" fillId="0" borderId="0" xfId="0" applyFont="1" applyAlignment="1">
      <alignment horizontal="left"/>
    </xf>
    <xf numFmtId="174" fontId="15" fillId="0" borderId="0" xfId="0" applyNumberFormat="1" applyFont="1"/>
    <xf numFmtId="175" fontId="16" fillId="0" borderId="0" xfId="0" applyNumberFormat="1" applyFont="1" applyAlignment="1">
      <alignment horizontal="center" vertical="center"/>
    </xf>
    <xf numFmtId="175" fontId="14" fillId="0" borderId="0" xfId="1" applyNumberFormat="1" applyFont="1"/>
    <xf numFmtId="175" fontId="11" fillId="0" borderId="0" xfId="0" applyNumberFormat="1" applyFont="1" applyAlignment="1">
      <alignment horizontal="center" vertical="center"/>
    </xf>
    <xf numFmtId="175" fontId="11" fillId="0" borderId="0" xfId="0" applyNumberFormat="1" applyFont="1"/>
    <xf numFmtId="175" fontId="17" fillId="0" borderId="0" xfId="1" applyNumberFormat="1" applyFont="1"/>
    <xf numFmtId="175" fontId="16" fillId="0" borderId="0" xfId="1" applyNumberFormat="1" applyFont="1"/>
    <xf numFmtId="175" fontId="14" fillId="0" borderId="0" xfId="0" applyNumberFormat="1" applyFont="1"/>
    <xf numFmtId="175" fontId="17" fillId="0" borderId="0" xfId="0" applyNumberFormat="1" applyFont="1" applyAlignment="1">
      <alignment horizontal="center" vertical="center"/>
    </xf>
    <xf numFmtId="9" fontId="7" fillId="0" borderId="0" xfId="2"/>
    <xf numFmtId="9" fontId="30" fillId="0" borderId="0" xfId="2" applyFont="1"/>
    <xf numFmtId="164" fontId="14" fillId="0" borderId="3" xfId="2" applyNumberFormat="1" applyFont="1" applyBorder="1"/>
    <xf numFmtId="164" fontId="9" fillId="0" borderId="0" xfId="0" applyNumberFormat="1" applyFont="1"/>
    <xf numFmtId="164" fontId="30" fillId="0" borderId="0" xfId="2" applyNumberFormat="1" applyFont="1"/>
    <xf numFmtId="165" fontId="16" fillId="0" borderId="0" xfId="0" applyNumberFormat="1" applyFont="1" applyAlignment="1">
      <alignment horizontal="center" vertical="center"/>
    </xf>
    <xf numFmtId="166" fontId="16" fillId="0" borderId="0" xfId="0" applyNumberFormat="1" applyFont="1" applyAlignment="1">
      <alignment horizontal="center" vertical="center"/>
    </xf>
    <xf numFmtId="166" fontId="17" fillId="0" borderId="0" xfId="0" applyNumberFormat="1" applyFont="1" applyAlignment="1">
      <alignment horizontal="center" vertical="center"/>
    </xf>
    <xf numFmtId="166" fontId="17" fillId="0" borderId="0" xfId="1" applyNumberFormat="1" applyFont="1"/>
    <xf numFmtId="0" fontId="8" fillId="0" borderId="0" xfId="0" applyFont="1"/>
    <xf numFmtId="175" fontId="20" fillId="0" borderId="0" xfId="0" applyNumberFormat="1" applyFont="1"/>
    <xf numFmtId="164" fontId="11" fillId="0" borderId="0" xfId="2" applyNumberFormat="1" applyFont="1" applyAlignment="1">
      <alignment horizontal="left"/>
    </xf>
    <xf numFmtId="0" fontId="11" fillId="0" borderId="0" xfId="0" applyFont="1" applyAlignment="1">
      <alignment horizontal="left"/>
    </xf>
    <xf numFmtId="176" fontId="20" fillId="0" borderId="2" xfId="0" applyNumberFormat="1" applyFont="1" applyBorder="1"/>
    <xf numFmtId="165" fontId="16" fillId="0" borderId="3" xfId="0" applyNumberFormat="1" applyFont="1" applyBorder="1" applyAlignment="1">
      <alignment horizontal="center" vertical="center"/>
    </xf>
    <xf numFmtId="14" fontId="21" fillId="0" borderId="0" xfId="0" applyNumberFormat="1" applyFont="1" applyAlignment="1">
      <alignment horizontal="left"/>
    </xf>
    <xf numFmtId="165" fontId="15" fillId="0" borderId="0" xfId="0" applyNumberFormat="1" applyFont="1"/>
    <xf numFmtId="166" fontId="15" fillId="0" borderId="0" xfId="1" applyNumberFormat="1" applyFont="1"/>
    <xf numFmtId="1" fontId="11" fillId="0" borderId="0" xfId="0" applyNumberFormat="1" applyFont="1" applyAlignment="1">
      <alignment horizontal="right" vertical="center"/>
    </xf>
    <xf numFmtId="0" fontId="32" fillId="0" borderId="0" xfId="0" applyFont="1" applyAlignment="1">
      <alignment horizontal="center"/>
    </xf>
    <xf numFmtId="164" fontId="15" fillId="0" borderId="0" xfId="2" applyNumberFormat="1" applyFont="1"/>
    <xf numFmtId="166" fontId="33" fillId="0" borderId="0" xfId="1" applyNumberFormat="1" applyFont="1" applyAlignment="1">
      <alignment horizontal="center" vertical="center"/>
    </xf>
    <xf numFmtId="0" fontId="11" fillId="0" borderId="6" xfId="0" applyFont="1" applyBorder="1"/>
    <xf numFmtId="170" fontId="5" fillId="0" borderId="6" xfId="0" applyNumberFormat="1" applyFont="1" applyBorder="1"/>
    <xf numFmtId="0" fontId="14" fillId="0" borderId="0" xfId="0" applyFont="1" applyAlignment="1">
      <alignment horizontal="center" vertical="center"/>
    </xf>
    <xf numFmtId="170" fontId="5" fillId="0" borderId="2" xfId="0" applyNumberFormat="1" applyFont="1" applyBorder="1"/>
    <xf numFmtId="175" fontId="5" fillId="0" borderId="0" xfId="0" applyNumberFormat="1" applyFont="1"/>
    <xf numFmtId="175" fontId="14" fillId="0" borderId="0" xfId="0" applyNumberFormat="1" applyFont="1" applyAlignment="1">
      <alignment horizontal="center" vertical="center"/>
    </xf>
    <xf numFmtId="9" fontId="11" fillId="0" borderId="0" xfId="2" applyFont="1"/>
    <xf numFmtId="0" fontId="34" fillId="0" borderId="0" xfId="0" applyFont="1" applyAlignment="1">
      <alignment horizontal="center" vertical="center"/>
    </xf>
    <xf numFmtId="0" fontId="35" fillId="0" borderId="0" xfId="0" applyFont="1" applyAlignment="1">
      <alignment horizontal="center" vertical="center"/>
    </xf>
    <xf numFmtId="0" fontId="16" fillId="0" borderId="0" xfId="0" applyFont="1" applyAlignment="1">
      <alignment horizontal="left" indent="1"/>
    </xf>
    <xf numFmtId="177" fontId="14" fillId="0" borderId="0" xfId="0" applyNumberFormat="1" applyFont="1"/>
    <xf numFmtId="1" fontId="15" fillId="0" borderId="0" xfId="0" applyNumberFormat="1" applyFont="1" applyAlignment="1">
      <alignment horizontal="right" vertical="center"/>
    </xf>
    <xf numFmtId="10" fontId="7" fillId="0" borderId="0" xfId="2" applyNumberFormat="1"/>
    <xf numFmtId="10" fontId="30" fillId="0" borderId="0" xfId="2" applyNumberFormat="1" applyFont="1"/>
    <xf numFmtId="166" fontId="11" fillId="0" borderId="0" xfId="0" applyNumberFormat="1" applyFont="1" applyAlignment="1">
      <alignment horizontal="center" vertical="center"/>
    </xf>
    <xf numFmtId="166" fontId="0" fillId="0" borderId="0" xfId="0" applyNumberFormat="1"/>
    <xf numFmtId="178" fontId="7" fillId="0" borderId="0" xfId="1"/>
    <xf numFmtId="0" fontId="0" fillId="0" borderId="0" xfId="0" applyAlignment="1">
      <alignment horizontal="centerContinuous"/>
    </xf>
    <xf numFmtId="0" fontId="0" fillId="0" borderId="15" xfId="0" applyBorder="1" applyAlignment="1">
      <alignment horizontal="centerContinuous"/>
    </xf>
    <xf numFmtId="179" fontId="0" fillId="3" borderId="0" xfId="0" applyNumberFormat="1" applyFill="1"/>
    <xf numFmtId="180" fontId="9" fillId="0" borderId="16" xfId="0" applyNumberFormat="1" applyFont="1" applyBorder="1"/>
    <xf numFmtId="181" fontId="10" fillId="0" borderId="17" xfId="0" applyNumberFormat="1" applyFont="1" applyBorder="1"/>
    <xf numFmtId="180" fontId="9" fillId="0" borderId="17" xfId="0" applyNumberFormat="1" applyFont="1" applyBorder="1"/>
    <xf numFmtId="10" fontId="9" fillId="0" borderId="18" xfId="0" applyNumberFormat="1" applyFont="1" applyBorder="1"/>
    <xf numFmtId="171" fontId="0" fillId="0" borderId="15" xfId="0" applyNumberFormat="1" applyBorder="1"/>
    <xf numFmtId="171" fontId="0" fillId="0" borderId="0" xfId="0" applyNumberFormat="1"/>
    <xf numFmtId="0" fontId="0" fillId="0" borderId="0" xfId="0" applyAlignment="1">
      <alignment horizontal="right"/>
    </xf>
    <xf numFmtId="10" fontId="10" fillId="0" borderId="18" xfId="0" applyNumberFormat="1" applyFont="1" applyBorder="1"/>
    <xf numFmtId="10" fontId="9" fillId="0" borderId="9" xfId="0" applyNumberFormat="1" applyFont="1" applyBorder="1"/>
    <xf numFmtId="0" fontId="10" fillId="2" borderId="19" xfId="0" applyFont="1" applyFill="1" applyBorder="1" applyAlignment="1">
      <alignment horizontal="right"/>
    </xf>
    <xf numFmtId="0" fontId="0" fillId="0" borderId="0" xfId="0" applyAlignment="1">
      <alignment horizontal="left" indent="1"/>
    </xf>
    <xf numFmtId="39" fontId="10" fillId="0" borderId="0" xfId="0" applyNumberFormat="1" applyFont="1"/>
    <xf numFmtId="182" fontId="29" fillId="0" borderId="0" xfId="0" applyNumberFormat="1" applyFont="1" applyAlignment="1">
      <alignment horizontal="right" vertical="center"/>
    </xf>
    <xf numFmtId="182" fontId="10" fillId="0" borderId="0" xfId="0" applyNumberFormat="1" applyFont="1" applyAlignment="1">
      <alignment horizontal="right" vertical="center"/>
    </xf>
    <xf numFmtId="182" fontId="10" fillId="0" borderId="0" xfId="0" applyNumberFormat="1" applyFont="1" applyAlignment="1">
      <alignment horizontal="center"/>
    </xf>
    <xf numFmtId="165" fontId="15" fillId="0" borderId="0" xfId="0" applyNumberFormat="1" applyFont="1" applyAlignment="1">
      <alignment horizontal="center" vertical="center"/>
    </xf>
    <xf numFmtId="0" fontId="0" fillId="0" borderId="0" xfId="0" applyAlignment="1">
      <alignment horizontal="left"/>
    </xf>
    <xf numFmtId="166" fontId="14" fillId="0" borderId="0" xfId="1" applyNumberFormat="1" applyFont="1"/>
    <xf numFmtId="164" fontId="17" fillId="0" borderId="0" xfId="2" applyNumberFormat="1" applyFont="1" applyAlignment="1">
      <alignment horizontal="left"/>
    </xf>
    <xf numFmtId="164" fontId="36" fillId="0" borderId="0" xfId="2" applyNumberFormat="1" applyFont="1"/>
    <xf numFmtId="0" fontId="17" fillId="0" borderId="0" xfId="0" applyFont="1" applyAlignment="1">
      <alignment horizontal="left"/>
    </xf>
    <xf numFmtId="37" fontId="11" fillId="0" borderId="0" xfId="0" applyNumberFormat="1" applyFont="1" applyAlignment="1">
      <alignment horizontal="right" vertical="center"/>
    </xf>
    <xf numFmtId="37" fontId="14" fillId="0" borderId="0" xfId="1" applyNumberFormat="1" applyFont="1" applyAlignment="1">
      <alignment horizontal="right" vertical="center"/>
    </xf>
    <xf numFmtId="37" fontId="16" fillId="0" borderId="0" xfId="0" applyNumberFormat="1" applyFont="1" applyAlignment="1">
      <alignment horizontal="right" vertical="center"/>
    </xf>
    <xf numFmtId="37" fontId="16" fillId="0" borderId="0" xfId="1" applyNumberFormat="1" applyFont="1" applyAlignment="1">
      <alignment horizontal="right" vertical="center"/>
    </xf>
    <xf numFmtId="37" fontId="17" fillId="0" borderId="0" xfId="1" applyNumberFormat="1" applyFont="1" applyAlignment="1">
      <alignment horizontal="right" vertical="center"/>
    </xf>
    <xf numFmtId="37" fontId="20" fillId="0" borderId="0" xfId="0" applyNumberFormat="1" applyFont="1" applyAlignment="1">
      <alignment horizontal="right" vertical="center"/>
    </xf>
    <xf numFmtId="37" fontId="17" fillId="0" borderId="0" xfId="0" applyNumberFormat="1" applyFont="1" applyAlignment="1">
      <alignment horizontal="right" vertical="center"/>
    </xf>
    <xf numFmtId="0" fontId="37" fillId="0" borderId="0" xfId="0" applyFont="1"/>
    <xf numFmtId="14" fontId="33" fillId="0" borderId="0" xfId="0" applyNumberFormat="1" applyFont="1"/>
    <xf numFmtId="0" fontId="17" fillId="0" borderId="2" xfId="0" applyFont="1" applyBorder="1"/>
    <xf numFmtId="0" fontId="14" fillId="0" borderId="2" xfId="0" applyFont="1" applyBorder="1"/>
    <xf numFmtId="183" fontId="38" fillId="0" borderId="0" xfId="0" applyNumberFormat="1" applyFont="1"/>
    <xf numFmtId="183" fontId="17" fillId="0" borderId="0" xfId="0" applyNumberFormat="1" applyFont="1"/>
    <xf numFmtId="184" fontId="14" fillId="0" borderId="0" xfId="0" applyNumberFormat="1" applyFont="1"/>
    <xf numFmtId="184" fontId="17" fillId="0" borderId="0" xfId="0" applyNumberFormat="1" applyFont="1"/>
    <xf numFmtId="183" fontId="14" fillId="0" borderId="0" xfId="0" applyNumberFormat="1" applyFont="1"/>
    <xf numFmtId="174" fontId="30" fillId="0" borderId="0" xfId="1" applyNumberFormat="1" applyFont="1"/>
    <xf numFmtId="174" fontId="17" fillId="0" borderId="0" xfId="1" applyNumberFormat="1" applyFont="1"/>
    <xf numFmtId="174" fontId="14" fillId="0" borderId="0" xfId="1" applyNumberFormat="1" applyFont="1"/>
    <xf numFmtId="174" fontId="15" fillId="0" borderId="0" xfId="1" applyNumberFormat="1" applyFont="1"/>
    <xf numFmtId="164" fontId="16" fillId="0" borderId="0" xfId="2" applyNumberFormat="1" applyFont="1" applyAlignment="1">
      <alignment horizontal="left"/>
    </xf>
    <xf numFmtId="164" fontId="34" fillId="0" borderId="0" xfId="2" applyNumberFormat="1" applyFont="1"/>
    <xf numFmtId="174" fontId="39" fillId="0" borderId="0" xfId="1" applyNumberFormat="1" applyFont="1"/>
    <xf numFmtId="185" fontId="7" fillId="0" borderId="0" xfId="2" applyNumberFormat="1"/>
    <xf numFmtId="41" fontId="15" fillId="0" borderId="0" xfId="1" applyNumberFormat="1" applyFont="1"/>
    <xf numFmtId="41" fontId="14" fillId="0" borderId="0" xfId="1" applyNumberFormat="1" applyFont="1"/>
    <xf numFmtId="41" fontId="17" fillId="0" borderId="3" xfId="1" applyNumberFormat="1" applyFont="1" applyBorder="1"/>
    <xf numFmtId="9" fontId="15" fillId="0" borderId="0" xfId="2" applyFont="1"/>
    <xf numFmtId="0" fontId="20" fillId="0" borderId="0" xfId="0" applyFont="1"/>
    <xf numFmtId="170" fontId="4" fillId="0" borderId="0" xfId="0" applyNumberFormat="1" applyFont="1"/>
    <xf numFmtId="170" fontId="20" fillId="0" borderId="0" xfId="0" applyNumberFormat="1" applyFont="1"/>
    <xf numFmtId="164" fontId="16" fillId="0" borderId="0" xfId="2" applyNumberFormat="1" applyFont="1"/>
    <xf numFmtId="0" fontId="10" fillId="0" borderId="0" xfId="0" applyFont="1" applyAlignment="1">
      <alignment horizontal="left" vertical="center"/>
    </xf>
    <xf numFmtId="164" fontId="7" fillId="0" borderId="0" xfId="2" applyNumberFormat="1" applyAlignment="1">
      <alignment horizontal="right"/>
    </xf>
    <xf numFmtId="166" fontId="39" fillId="0" borderId="0" xfId="1" applyNumberFormat="1" applyFont="1"/>
    <xf numFmtId="165" fontId="14" fillId="0" borderId="0" xfId="1" applyNumberFormat="1" applyFont="1"/>
    <xf numFmtId="0" fontId="3" fillId="0" borderId="0" xfId="8" applyFont="1"/>
    <xf numFmtId="0" fontId="8" fillId="0" borderId="4" xfId="8" applyFont="1" applyBorder="1"/>
    <xf numFmtId="0" fontId="3" fillId="0" borderId="4" xfId="8" applyFont="1" applyBorder="1"/>
    <xf numFmtId="14" fontId="21" fillId="0" borderId="5" xfId="8" applyNumberFormat="1" applyFont="1" applyBorder="1"/>
    <xf numFmtId="179" fontId="23" fillId="0" borderId="0" xfId="8" applyNumberFormat="1" applyFont="1"/>
    <xf numFmtId="14" fontId="10" fillId="0" borderId="0" xfId="8" applyNumberFormat="1" applyFont="1" applyAlignment="1">
      <alignment horizontal="right"/>
    </xf>
    <xf numFmtId="0" fontId="3" fillId="0" borderId="0" xfId="8" applyFont="1" applyAlignment="1">
      <alignment horizontal="center" vertical="center"/>
    </xf>
    <xf numFmtId="7" fontId="23" fillId="0" borderId="0" xfId="8" applyNumberFormat="1" applyFont="1" applyAlignment="1">
      <alignment horizontal="right"/>
    </xf>
    <xf numFmtId="0" fontId="8" fillId="0" borderId="7" xfId="8" applyFont="1" applyBorder="1"/>
    <xf numFmtId="0" fontId="3" fillId="0" borderId="7" xfId="8" applyFont="1" applyBorder="1"/>
    <xf numFmtId="7" fontId="23" fillId="0" borderId="7" xfId="8" applyNumberFormat="1" applyFont="1" applyBorder="1" applyAlignment="1">
      <alignment horizontal="right"/>
    </xf>
    <xf numFmtId="0" fontId="25" fillId="0" borderId="0" xfId="8" applyFont="1" applyAlignment="1">
      <alignment horizontal="centerContinuous"/>
    </xf>
    <xf numFmtId="0" fontId="26" fillId="0" borderId="8" xfId="8" applyFont="1" applyBorder="1" applyAlignment="1">
      <alignment horizontal="centerContinuous"/>
    </xf>
    <xf numFmtId="0" fontId="20" fillId="0" borderId="0" xfId="8" applyFont="1"/>
    <xf numFmtId="14" fontId="3" fillId="0" borderId="0" xfId="8" applyNumberFormat="1" applyFont="1" applyAlignment="1">
      <alignment horizontal="center"/>
    </xf>
    <xf numFmtId="176" fontId="3" fillId="0" borderId="2" xfId="0" applyNumberFormat="1" applyFont="1" applyBorder="1" applyAlignment="1">
      <alignment horizontal="center"/>
    </xf>
    <xf numFmtId="186" fontId="8" fillId="0" borderId="12" xfId="8" applyNumberFormat="1" applyFont="1" applyBorder="1"/>
    <xf numFmtId="187" fontId="8" fillId="0" borderId="12" xfId="8" applyNumberFormat="1" applyFont="1" applyBorder="1"/>
    <xf numFmtId="187" fontId="8" fillId="0" borderId="14" xfId="8" applyNumberFormat="1" applyFont="1" applyBorder="1"/>
    <xf numFmtId="172" fontId="23" fillId="0" borderId="13" xfId="8" applyNumberFormat="1" applyFont="1" applyBorder="1"/>
    <xf numFmtId="186" fontId="8" fillId="0" borderId="13" xfId="8" applyNumberFormat="1" applyFont="1" applyBorder="1"/>
    <xf numFmtId="0" fontId="3" fillId="0" borderId="0" xfId="8" applyFont="1" applyAlignment="1">
      <alignment horizontal="left" indent="1"/>
    </xf>
    <xf numFmtId="0" fontId="3" fillId="0" borderId="0" xfId="8" applyFont="1" applyAlignment="1">
      <alignment horizontal="left"/>
    </xf>
    <xf numFmtId="41" fontId="7" fillId="0" borderId="13" xfId="2" applyNumberFormat="1" applyBorder="1"/>
    <xf numFmtId="0" fontId="3" fillId="0" borderId="3" xfId="8" applyFont="1" applyBorder="1"/>
    <xf numFmtId="171" fontId="9" fillId="0" borderId="3" xfId="8" applyNumberFormat="1" applyFont="1" applyBorder="1"/>
    <xf numFmtId="172" fontId="23" fillId="0" borderId="0" xfId="8" applyNumberFormat="1" applyFont="1"/>
    <xf numFmtId="37" fontId="9" fillId="0" borderId="0" xfId="8" applyNumberFormat="1" applyFont="1"/>
    <xf numFmtId="171" fontId="9" fillId="0" borderId="0" xfId="8" applyNumberFormat="1" applyFont="1"/>
    <xf numFmtId="0" fontId="8" fillId="0" borderId="0" xfId="8" applyFont="1"/>
    <xf numFmtId="172" fontId="43" fillId="0" borderId="0" xfId="8" applyNumberFormat="1" applyFont="1"/>
    <xf numFmtId="37" fontId="27" fillId="0" borderId="0" xfId="8" applyNumberFormat="1" applyFont="1"/>
    <xf numFmtId="171" fontId="27" fillId="0" borderId="0" xfId="8" applyNumberFormat="1" applyFont="1"/>
    <xf numFmtId="172" fontId="23" fillId="0" borderId="7" xfId="8" applyNumberFormat="1" applyFont="1" applyBorder="1"/>
    <xf numFmtId="172" fontId="26" fillId="0" borderId="7" xfId="8" applyNumberFormat="1" applyFont="1" applyBorder="1" applyAlignment="1">
      <alignment horizontal="center"/>
    </xf>
    <xf numFmtId="172" fontId="26" fillId="0" borderId="0" xfId="8" applyNumberFormat="1" applyFont="1"/>
    <xf numFmtId="14" fontId="3" fillId="0" borderId="0" xfId="8" applyNumberFormat="1" applyFont="1"/>
    <xf numFmtId="172" fontId="3" fillId="0" borderId="0" xfId="8" applyNumberFormat="1" applyFont="1"/>
    <xf numFmtId="172" fontId="9" fillId="0" borderId="0" xfId="8" applyNumberFormat="1" applyFont="1"/>
    <xf numFmtId="172" fontId="27" fillId="0" borderId="0" xfId="8" applyNumberFormat="1" applyFont="1"/>
    <xf numFmtId="171" fontId="10" fillId="0" borderId="0" xfId="8" applyNumberFormat="1" applyFont="1"/>
    <xf numFmtId="187" fontId="3" fillId="0" borderId="0" xfId="8" applyNumberFormat="1" applyFont="1"/>
    <xf numFmtId="188" fontId="10" fillId="0" borderId="0" xfId="8" applyNumberFormat="1" applyFont="1"/>
    <xf numFmtId="172" fontId="8" fillId="0" borderId="0" xfId="8" applyNumberFormat="1" applyFont="1"/>
    <xf numFmtId="37" fontId="20" fillId="0" borderId="7" xfId="8" applyNumberFormat="1" applyFont="1" applyBorder="1" applyAlignment="1">
      <alignment horizontal="right"/>
    </xf>
    <xf numFmtId="0" fontId="25" fillId="0" borderId="0" xfId="8" applyFont="1" applyAlignment="1">
      <alignment horizontal="right"/>
    </xf>
    <xf numFmtId="172" fontId="3" fillId="0" borderId="0" xfId="8" applyNumberFormat="1" applyFont="1" applyAlignment="1">
      <alignment horizontal="right"/>
    </xf>
    <xf numFmtId="0" fontId="28" fillId="0" borderId="0" xfId="8" applyFont="1"/>
    <xf numFmtId="0" fontId="28" fillId="0" borderId="0" xfId="8" applyFont="1" applyAlignment="1">
      <alignment horizontal="right"/>
    </xf>
    <xf numFmtId="37" fontId="20" fillId="0" borderId="0" xfId="8" applyNumberFormat="1" applyFont="1" applyAlignment="1">
      <alignment horizontal="right"/>
    </xf>
    <xf numFmtId="0" fontId="10" fillId="0" borderId="0" xfId="8" applyFont="1" applyAlignment="1">
      <alignment horizontal="left" vertical="center"/>
    </xf>
    <xf numFmtId="172" fontId="10" fillId="0" borderId="0" xfId="8" applyNumberFormat="1" applyFont="1"/>
    <xf numFmtId="189" fontId="10" fillId="0" borderId="0" xfId="8" applyNumberFormat="1" applyFont="1"/>
    <xf numFmtId="37" fontId="3" fillId="0" borderId="0" xfId="8" applyNumberFormat="1" applyFont="1" applyAlignment="1">
      <alignment horizontal="right"/>
    </xf>
    <xf numFmtId="181" fontId="10" fillId="0" borderId="0" xfId="8" applyNumberFormat="1" applyFont="1"/>
    <xf numFmtId="0" fontId="8" fillId="0" borderId="0" xfId="8" applyFont="1" applyAlignment="1">
      <alignment horizontal="left"/>
    </xf>
    <xf numFmtId="3" fontId="8" fillId="0" borderId="0" xfId="8" applyNumberFormat="1" applyFont="1"/>
    <xf numFmtId="190" fontId="10" fillId="0" borderId="0" xfId="8" applyNumberFormat="1" applyFont="1"/>
    <xf numFmtId="0" fontId="21" fillId="0" borderId="5" xfId="8" applyFont="1" applyBorder="1"/>
    <xf numFmtId="0" fontId="27" fillId="0" borderId="7" xfId="8" applyFont="1" applyBorder="1"/>
    <xf numFmtId="0" fontId="9" fillId="0" borderId="7" xfId="8" applyFont="1" applyBorder="1"/>
    <xf numFmtId="0" fontId="27" fillId="0" borderId="7" xfId="8" applyFont="1" applyBorder="1" applyAlignment="1">
      <alignment horizontal="right"/>
    </xf>
    <xf numFmtId="0" fontId="28" fillId="0" borderId="0" xfId="8" applyFont="1" applyAlignment="1">
      <alignment horizontal="left"/>
    </xf>
    <xf numFmtId="164" fontId="10" fillId="0" borderId="0" xfId="8" applyNumberFormat="1" applyFont="1" applyAlignment="1">
      <alignment vertical="center"/>
    </xf>
    <xf numFmtId="10" fontId="10" fillId="0" borderId="0" xfId="8" applyNumberFormat="1" applyFont="1"/>
    <xf numFmtId="0" fontId="8" fillId="0" borderId="10" xfId="8" applyFont="1" applyBorder="1"/>
    <xf numFmtId="179" fontId="8" fillId="0" borderId="11" xfId="8" applyNumberFormat="1" applyFont="1" applyBorder="1"/>
    <xf numFmtId="0" fontId="8" fillId="0" borderId="4" xfId="9" applyFont="1" applyBorder="1"/>
    <xf numFmtId="0" fontId="3" fillId="0" borderId="4" xfId="9" applyFont="1" applyBorder="1"/>
    <xf numFmtId="0" fontId="3" fillId="0" borderId="0" xfId="9" applyFont="1"/>
    <xf numFmtId="49" fontId="33" fillId="0" borderId="0" xfId="0" applyNumberFormat="1" applyFont="1"/>
    <xf numFmtId="49" fontId="33" fillId="0" borderId="0" xfId="0" applyNumberFormat="1" applyFont="1" applyAlignment="1">
      <alignment horizontal="left"/>
    </xf>
    <xf numFmtId="0" fontId="35" fillId="0" borderId="0" xfId="0" applyFont="1"/>
    <xf numFmtId="14" fontId="35" fillId="0" borderId="0" xfId="0" applyNumberFormat="1" applyFont="1"/>
    <xf numFmtId="183" fontId="33" fillId="0" borderId="0" xfId="0" applyNumberFormat="1" applyFont="1"/>
    <xf numFmtId="9" fontId="16" fillId="0" borderId="0" xfId="2" applyFont="1"/>
    <xf numFmtId="183" fontId="14" fillId="0" borderId="2" xfId="0" applyNumberFormat="1" applyFont="1" applyBorder="1"/>
    <xf numFmtId="4" fontId="17" fillId="0" borderId="0" xfId="0" applyNumberFormat="1" applyFont="1"/>
    <xf numFmtId="41" fontId="14" fillId="0" borderId="0" xfId="0" applyNumberFormat="1" applyFont="1"/>
    <xf numFmtId="166" fontId="44" fillId="0" borderId="0" xfId="1" applyNumberFormat="1" applyFont="1"/>
    <xf numFmtId="166" fontId="44" fillId="0" borderId="0" xfId="11"/>
    <xf numFmtId="178" fontId="44" fillId="0" borderId="0" xfId="11" applyNumberFormat="1"/>
    <xf numFmtId="9" fontId="11" fillId="0" borderId="0" xfId="0" applyNumberFormat="1" applyFont="1"/>
    <xf numFmtId="164" fontId="11" fillId="0" borderId="0" xfId="0" applyNumberFormat="1" applyFont="1"/>
    <xf numFmtId="37" fontId="11" fillId="0" borderId="0" xfId="0" applyNumberFormat="1" applyFont="1"/>
    <xf numFmtId="164" fontId="15" fillId="0" borderId="0" xfId="0" applyNumberFormat="1" applyFont="1"/>
    <xf numFmtId="0" fontId="16" fillId="0" borderId="0" xfId="0" applyFont="1" applyAlignment="1">
      <alignment horizontal="center" vertical="center"/>
    </xf>
    <xf numFmtId="3" fontId="16" fillId="0" borderId="0" xfId="0" applyNumberFormat="1" applyFont="1"/>
    <xf numFmtId="164" fontId="14" fillId="0" borderId="0" xfId="0" applyNumberFormat="1" applyFont="1"/>
    <xf numFmtId="9" fontId="39" fillId="0" borderId="0" xfId="2" applyFont="1"/>
    <xf numFmtId="0" fontId="45" fillId="0" borderId="2" xfId="0" applyFont="1" applyBorder="1"/>
    <xf numFmtId="39" fontId="46" fillId="0" borderId="0" xfId="0" applyNumberFormat="1" applyFont="1" applyAlignment="1">
      <alignment horizontal="right"/>
    </xf>
    <xf numFmtId="191" fontId="40" fillId="0" borderId="0" xfId="0" applyNumberFormat="1" applyFont="1"/>
    <xf numFmtId="191" fontId="33" fillId="0" borderId="0" xfId="0" applyNumberFormat="1" applyFont="1"/>
    <xf numFmtId="191" fontId="33" fillId="4" borderId="0" xfId="0" applyNumberFormat="1" applyFont="1" applyFill="1"/>
    <xf numFmtId="192" fontId="40" fillId="0" borderId="20" xfId="0" applyNumberFormat="1" applyFont="1" applyBorder="1"/>
    <xf numFmtId="191" fontId="14" fillId="4" borderId="0" xfId="0" applyNumberFormat="1" applyFont="1" applyFill="1"/>
    <xf numFmtId="0" fontId="2" fillId="0" borderId="0" xfId="8" applyFont="1"/>
    <xf numFmtId="172" fontId="2" fillId="0" borderId="0" xfId="8" applyNumberFormat="1" applyFont="1"/>
    <xf numFmtId="41" fontId="11" fillId="0" borderId="0" xfId="1" applyNumberFormat="1" applyFont="1"/>
    <xf numFmtId="166" fontId="30" fillId="0" borderId="0" xfId="2" applyNumberFormat="1" applyFont="1"/>
    <xf numFmtId="15" fontId="15" fillId="0" borderId="0" xfId="0" applyNumberFormat="1" applyFont="1"/>
    <xf numFmtId="10" fontId="15" fillId="0" borderId="0" xfId="0" applyNumberFormat="1" applyFont="1"/>
    <xf numFmtId="166" fontId="15" fillId="0" borderId="0" xfId="0" applyNumberFormat="1" applyFont="1"/>
    <xf numFmtId="178" fontId="30" fillId="0" borderId="0" xfId="1" applyFont="1"/>
    <xf numFmtId="14" fontId="6" fillId="0" borderId="0" xfId="4" applyNumberFormat="1" applyFont="1" applyAlignment="1">
      <alignment horizontal="right"/>
    </xf>
    <xf numFmtId="172" fontId="6" fillId="0" borderId="13" xfId="8" applyNumberFormat="1" applyBorder="1"/>
    <xf numFmtId="1" fontId="10" fillId="0" borderId="0" xfId="8" applyNumberFormat="1" applyFont="1"/>
    <xf numFmtId="194" fontId="7" fillId="0" borderId="0" xfId="2" applyNumberFormat="1"/>
    <xf numFmtId="0" fontId="47" fillId="0" borderId="0" xfId="0" applyFont="1"/>
    <xf numFmtId="166" fontId="48" fillId="0" borderId="0" xfId="11" applyFont="1"/>
    <xf numFmtId="0" fontId="1" fillId="0" borderId="0" xfId="8" applyFont="1"/>
    <xf numFmtId="0" fontId="6" fillId="0" borderId="0" xfId="3"/>
    <xf numFmtId="171" fontId="6" fillId="0" borderId="0" xfId="3" applyNumberFormat="1" applyAlignment="1">
      <alignment horizontal="center"/>
    </xf>
    <xf numFmtId="172" fontId="6" fillId="0" borderId="0" xfId="3" applyNumberFormat="1"/>
    <xf numFmtId="172" fontId="9" fillId="0" borderId="7" xfId="3" applyNumberFormat="1" applyFont="1" applyBorder="1"/>
    <xf numFmtId="195" fontId="29" fillId="0" borderId="0" xfId="0" applyNumberFormat="1" applyFont="1" applyAlignment="1">
      <alignment horizontal="right" vertical="center"/>
    </xf>
    <xf numFmtId="178" fontId="48" fillId="0" borderId="0" xfId="1" applyFont="1"/>
  </cellXfs>
  <cellStyles count="12">
    <cellStyle name="Blue Number Input" xfId="11" xr:uid="{00000000-0005-0000-0000-00000B000000}"/>
    <cellStyle name="Blue Text Input" xfId="10" xr:uid="{00000000-0005-0000-0000-00000A000000}"/>
    <cellStyle name="Comma" xfId="1" builtinId="3"/>
    <cellStyle name="Hyperlink" xfId="5" builtinId="8"/>
    <cellStyle name="Normal" xfId="0" builtinId="0"/>
    <cellStyle name="Normal 15" xfId="6" xr:uid="{00000000-0005-0000-0000-000006000000}"/>
    <cellStyle name="Normal 2" xfId="3" xr:uid="{00000000-0005-0000-0000-000003000000}"/>
    <cellStyle name="Normal 2 2" xfId="7" xr:uid="{00000000-0005-0000-0000-000007000000}"/>
    <cellStyle name="Normal 2 2 2" xfId="9" xr:uid="{00000000-0005-0000-0000-000009000000}"/>
    <cellStyle name="Normal 2 3" xfId="8" xr:uid="{00000000-0005-0000-0000-000008000000}"/>
    <cellStyle name="Normal_DCF_Model" xfId="4" xr:uid="{00000000-0005-0000-0000-000004000000}"/>
    <cellStyle name="Percent" xfId="2" builtinId="5"/>
  </cellStyles>
  <dxfs count="4">
    <dxf>
      <font>
        <b/>
      </font>
      <fill>
        <patternFill patternType="solid">
          <bgColor theme="2"/>
        </patternFill>
      </fill>
      <border>
        <left/>
        <right/>
        <top/>
        <bottom/>
      </border>
    </dxf>
    <dxf>
      <font>
        <b/>
        <color rgb="FF00B050"/>
      </font>
      <fill>
        <patternFill>
          <bgColor auto="1"/>
        </patternFill>
      </fill>
    </dxf>
    <dxf>
      <font>
        <b/>
        <color theme="5"/>
      </font>
      <fill>
        <patternFill>
          <bgColor auto="1"/>
        </patternFill>
      </fill>
    </dxf>
    <dxf>
      <font>
        <b/>
        <color rgb="FFFF0000"/>
      </font>
      <fill>
        <patternFill>
          <bgColor auto="1"/>
        </patternFill>
      </fill>
    </dxf>
  </dxfs>
  <tableStyles count="0" defaultTableStyle="TableStyleMedium2" defaultPivotStyle="PivotStyleLight16"/>
  <colors>
    <indexedColors>
      <rgbColor rgb="FF000000"/>
      <rgbColor rgb="FFFFFFFF"/>
      <rgbColor rgb="FFFF0000"/>
      <rgbColor rgb="FF00FF00"/>
      <rgbColor rgb="FF0000CC"/>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2E75B6"/>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F4F"/>
      <rgbColor rgb="FF222A35"/>
      <rgbColor rgb="00003366"/>
      <rgbColor rgb="00339966"/>
      <rgbColor rgb="00003300"/>
      <rgbColor rgb="00333300"/>
      <rgbColor rgb="00993300"/>
      <rgbColor rgb="00993366"/>
      <rgbColor rgb="00333399"/>
      <rgbColor rgb="00333333"/>
    </indexed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A1C4D7B8-F634-4D63-B054-CDE3BE791163}">
  <we:reference id="wa200009404" version="1.0.0.8" store="en-US" storeType="OMEX"/>
  <we:alternateReferences>
    <we:reference id="wa200009404" version="1.0.0.8" store="en-US" storeType="OMEX"/>
  </we:alternateReferences>
  <we:properties>
    <we:property name="claude.fileId" value="&quot;47d42482-8aac-49bb-a390-ee24cfeb285e&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49"/>
  <sheetViews>
    <sheetView showGridLines="0" tabSelected="1" zoomScaleNormal="100" workbookViewId="0">
      <selection activeCell="C187" sqref="C187"/>
    </sheetView>
  </sheetViews>
  <sheetFormatPr defaultColWidth="13" defaultRowHeight="15" x14ac:dyDescent="0.25"/>
  <cols>
    <col min="1" max="2" width="1.7109375" style="6" customWidth="1"/>
    <col min="3" max="3" width="66.42578125" style="6" bestFit="1" customWidth="1"/>
    <col min="4" max="4" width="17.140625" style="28" customWidth="1"/>
    <col min="5" max="11" width="17.140625" style="6" customWidth="1"/>
    <col min="12" max="12" width="2.7109375" style="6" customWidth="1"/>
    <col min="13" max="13" width="9.140625" style="6" customWidth="1"/>
    <col min="14" max="14" width="10.7109375" style="6" customWidth="1"/>
    <col min="15" max="15" width="13" customWidth="1"/>
    <col min="16" max="16" width="10.7109375" style="6" customWidth="1"/>
    <col min="17" max="17" width="13" style="6" customWidth="1"/>
    <col min="18" max="16384" width="13" style="6"/>
  </cols>
  <sheetData>
    <row r="1" spans="3:11" ht="15" customHeight="1" thickBot="1" x14ac:dyDescent="0.3"/>
    <row r="2" spans="3:11" ht="15.75" customHeight="1" thickBot="1" x14ac:dyDescent="0.3">
      <c r="C2" s="2" t="str">
        <f>Company_Name&amp;" - Financial Statement Model"</f>
        <v>MNT Tech Holding for Financial Investments S.A.E. - Financial Statement Model</v>
      </c>
      <c r="D2" s="8"/>
      <c r="E2" s="8"/>
      <c r="F2" s="8"/>
      <c r="G2" s="8"/>
      <c r="H2" s="8"/>
      <c r="I2" s="8"/>
      <c r="J2" s="8"/>
      <c r="K2" s="8"/>
    </row>
    <row r="3" spans="3:11" x14ac:dyDescent="0.25">
      <c r="C3" s="88" t="s">
        <v>1</v>
      </c>
      <c r="D3" s="9"/>
      <c r="E3" s="9"/>
      <c r="F3" s="9"/>
      <c r="G3" s="9"/>
      <c r="H3" s="9"/>
    </row>
    <row r="4" spans="3:11" ht="15" customHeight="1" x14ac:dyDescent="0.25"/>
    <row r="5" spans="3:11" x14ac:dyDescent="0.25">
      <c r="C5" s="3" t="s">
        <v>60</v>
      </c>
      <c r="D5" s="168" t="s">
        <v>61</v>
      </c>
    </row>
    <row r="6" spans="3:11" x14ac:dyDescent="0.25">
      <c r="C6" s="3" t="s">
        <v>62</v>
      </c>
      <c r="D6" s="4" t="s">
        <v>63</v>
      </c>
    </row>
    <row r="7" spans="3:11" x14ac:dyDescent="0.25">
      <c r="C7" s="6" t="s">
        <v>64</v>
      </c>
      <c r="D7" s="129">
        <v>24.5</v>
      </c>
    </row>
    <row r="8" spans="3:11" x14ac:dyDescent="0.25">
      <c r="C8" s="6" t="s">
        <v>65</v>
      </c>
      <c r="D8" s="5">
        <v>46302</v>
      </c>
    </row>
    <row r="9" spans="3:11" x14ac:dyDescent="0.25">
      <c r="C9" s="3" t="s">
        <v>66</v>
      </c>
      <c r="D9" s="5">
        <v>46022</v>
      </c>
    </row>
    <row r="10" spans="3:11" ht="15" customHeight="1" x14ac:dyDescent="0.25">
      <c r="C10" s="6" t="s">
        <v>44</v>
      </c>
      <c r="D10" s="94">
        <v>1600000000</v>
      </c>
    </row>
    <row r="11" spans="3:11" ht="15" customHeight="1" x14ac:dyDescent="0.25"/>
    <row r="12" spans="3:11" x14ac:dyDescent="0.25">
      <c r="C12" s="38" t="s">
        <v>67</v>
      </c>
      <c r="D12" s="95"/>
      <c r="E12" s="39"/>
      <c r="F12" s="39"/>
      <c r="G12" s="39"/>
      <c r="H12" s="39"/>
      <c r="I12" s="39"/>
      <c r="J12" s="39"/>
      <c r="K12" s="39"/>
    </row>
    <row r="13" spans="3:11" x14ac:dyDescent="0.25">
      <c r="C13" t="s">
        <v>68</v>
      </c>
      <c r="D13" s="40">
        <f>E13-1</f>
        <v>2023</v>
      </c>
      <c r="E13" s="40">
        <f>F13-1</f>
        <v>2024</v>
      </c>
      <c r="F13" s="40">
        <f>YEAR(D9)</f>
        <v>2025</v>
      </c>
      <c r="G13" s="41">
        <f>F13+1</f>
        <v>2026</v>
      </c>
      <c r="H13" s="41">
        <f>G13+1</f>
        <v>2027</v>
      </c>
      <c r="I13" s="41">
        <f>H13+1</f>
        <v>2028</v>
      </c>
      <c r="J13" s="41">
        <f>I13+1</f>
        <v>2029</v>
      </c>
      <c r="K13" s="41">
        <f>J13+1</f>
        <v>2030</v>
      </c>
    </row>
    <row r="14" spans="3:11" x14ac:dyDescent="0.25">
      <c r="C14" s="42" t="s">
        <v>69</v>
      </c>
      <c r="D14" s="86">
        <f>EOMONTH(E14,-12)</f>
        <v>45291</v>
      </c>
      <c r="E14" s="86">
        <f>EOMONTH(F14,-12)</f>
        <v>45657</v>
      </c>
      <c r="F14" s="86">
        <f>D9</f>
        <v>46022</v>
      </c>
      <c r="G14" s="86">
        <f>EOMONTH(F14,12)</f>
        <v>46387</v>
      </c>
      <c r="H14" s="86">
        <f>EOMONTH(G14,12)</f>
        <v>46752</v>
      </c>
      <c r="I14" s="86">
        <f>EOMONTH(H14,12)</f>
        <v>47118</v>
      </c>
      <c r="J14" s="86">
        <f>EOMONTH(I14,12)</f>
        <v>47483</v>
      </c>
      <c r="K14" s="86">
        <f>EOMONTH(J14,12)</f>
        <v>47848</v>
      </c>
    </row>
    <row r="15" spans="3:11" ht="15" customHeight="1" x14ac:dyDescent="0.25"/>
    <row r="16" spans="3:11" ht="15" customHeight="1" x14ac:dyDescent="0.25">
      <c r="C16" s="6" t="s">
        <v>70</v>
      </c>
      <c r="D16" s="152">
        <v>7607109195</v>
      </c>
      <c r="E16" s="152">
        <v>10774868616</v>
      </c>
      <c r="F16" s="152">
        <v>13181173236</v>
      </c>
      <c r="G16" s="59">
        <f>SUM(G172:G175,G177)</f>
        <v>12540259063.767139</v>
      </c>
      <c r="H16" s="59">
        <f>SUM(H172:H175,H177)</f>
        <v>13963175790.171162</v>
      </c>
      <c r="I16" s="59">
        <f>SUM(I172:I175,I177)</f>
        <v>15409515633.197477</v>
      </c>
      <c r="J16" s="59">
        <f>SUM(J172:J175,J177)</f>
        <v>16777595353.961308</v>
      </c>
      <c r="K16" s="59">
        <f>SUM(K172:K175,K177)</f>
        <v>18103228965.307835</v>
      </c>
    </row>
    <row r="17" spans="3:11" ht="15" customHeight="1" x14ac:dyDescent="0.25">
      <c r="C17" s="6" t="s">
        <v>71</v>
      </c>
      <c r="D17" s="152">
        <v>1805005316</v>
      </c>
      <c r="E17" s="152">
        <v>2460035446</v>
      </c>
      <c r="F17" s="152">
        <v>6629310932</v>
      </c>
      <c r="G17" s="59">
        <f>G176</f>
        <v>6958004748.3082905</v>
      </c>
      <c r="H17" s="59">
        <f>H176</f>
        <v>7792965318.1052856</v>
      </c>
      <c r="I17" s="59">
        <f>I176</f>
        <v>8572261849.9158144</v>
      </c>
      <c r="J17" s="59">
        <f>J176</f>
        <v>9258042797.9090824</v>
      </c>
      <c r="K17" s="59">
        <f>K176</f>
        <v>9998686221.7418098</v>
      </c>
    </row>
    <row r="18" spans="3:11" s="134" customFormat="1" ht="15" customHeight="1" x14ac:dyDescent="0.25">
      <c r="C18" s="133" t="s">
        <v>72</v>
      </c>
      <c r="D18" s="153">
        <f t="shared" ref="D18:K18" si="0">SUM(D16:D17)</f>
        <v>9412114511</v>
      </c>
      <c r="E18" s="153">
        <f t="shared" si="0"/>
        <v>13234904062</v>
      </c>
      <c r="F18" s="153">
        <f t="shared" si="0"/>
        <v>19810484168</v>
      </c>
      <c r="G18" s="81">
        <f t="shared" si="0"/>
        <v>19498263812.075432</v>
      </c>
      <c r="H18" s="81">
        <f t="shared" si="0"/>
        <v>21756141108.276447</v>
      </c>
      <c r="I18" s="81">
        <f t="shared" si="0"/>
        <v>23981777483.113293</v>
      </c>
      <c r="J18" s="81">
        <f t="shared" si="0"/>
        <v>26035638151.870392</v>
      </c>
      <c r="K18" s="81">
        <f t="shared" si="0"/>
        <v>28101915187.049644</v>
      </c>
    </row>
    <row r="19" spans="3:11" s="15" customFormat="1" ht="15" customHeight="1" x14ac:dyDescent="0.25">
      <c r="C19" s="84" t="s">
        <v>73</v>
      </c>
      <c r="D19" s="152">
        <v>-2239890778</v>
      </c>
      <c r="E19" s="152">
        <v>-4804078543</v>
      </c>
      <c r="F19" s="152">
        <v>-6963884903</v>
      </c>
      <c r="G19" s="158">
        <f t="shared" ref="G19:K20" ca="1" si="1">-G193</f>
        <v>-6756494037.6363268</v>
      </c>
      <c r="H19" s="158">
        <f t="shared" ca="1" si="1"/>
        <v>-7218772371.2625799</v>
      </c>
      <c r="I19" s="158">
        <f t="shared" ca="1" si="1"/>
        <v>-7780036844.0131531</v>
      </c>
      <c r="J19" s="158">
        <f t="shared" ca="1" si="1"/>
        <v>-8182903054.4936485</v>
      </c>
      <c r="K19" s="158">
        <f t="shared" ca="1" si="1"/>
        <v>-8426897780.7023354</v>
      </c>
    </row>
    <row r="20" spans="3:11" s="15" customFormat="1" ht="15" customHeight="1" x14ac:dyDescent="0.25">
      <c r="C20" s="84" t="s">
        <v>74</v>
      </c>
      <c r="D20" s="152">
        <v>-1812939327</v>
      </c>
      <c r="E20" s="152">
        <v>-2318559205</v>
      </c>
      <c r="F20" s="152">
        <v>-1977621883</v>
      </c>
      <c r="G20" s="158">
        <f t="shared" si="1"/>
        <v>-2076502977.1500001</v>
      </c>
      <c r="H20" s="158">
        <f t="shared" si="1"/>
        <v>-2180328126.0075002</v>
      </c>
      <c r="I20" s="158">
        <f t="shared" si="1"/>
        <v>-2289344532.3078747</v>
      </c>
      <c r="J20" s="158">
        <f t="shared" si="1"/>
        <v>-2403811758.9232688</v>
      </c>
      <c r="K20" s="158">
        <f t="shared" si="1"/>
        <v>-2524002346.8694324</v>
      </c>
    </row>
    <row r="21" spans="3:11" s="157" customFormat="1" ht="15" customHeight="1" x14ac:dyDescent="0.25">
      <c r="C21" s="156" t="s">
        <v>75</v>
      </c>
      <c r="D21" s="153">
        <f t="shared" ref="D21:K21" si="2">SUM(D19:D20)</f>
        <v>-4052830105</v>
      </c>
      <c r="E21" s="153">
        <f t="shared" si="2"/>
        <v>-7122637748</v>
      </c>
      <c r="F21" s="153">
        <f t="shared" si="2"/>
        <v>-8941506786</v>
      </c>
      <c r="G21" s="153">
        <f t="shared" ca="1" si="2"/>
        <v>-8832997014.7863274</v>
      </c>
      <c r="H21" s="153">
        <f t="shared" ca="1" si="2"/>
        <v>-9399100497.2700806</v>
      </c>
      <c r="I21" s="153">
        <f t="shared" ca="1" si="2"/>
        <v>-10069381376.321028</v>
      </c>
      <c r="J21" s="153">
        <f t="shared" ca="1" si="2"/>
        <v>-10586714813.416918</v>
      </c>
      <c r="K21" s="153">
        <f t="shared" ca="1" si="2"/>
        <v>-10950900127.571768</v>
      </c>
    </row>
    <row r="22" spans="3:11" s="157" customFormat="1" ht="15" customHeight="1" x14ac:dyDescent="0.25">
      <c r="C22" s="156" t="s">
        <v>76</v>
      </c>
      <c r="D22" s="153">
        <f t="shared" ref="D22:K22" si="3">D18+D21</f>
        <v>5359284406</v>
      </c>
      <c r="E22" s="153">
        <f t="shared" si="3"/>
        <v>6112266314</v>
      </c>
      <c r="F22" s="153">
        <f t="shared" si="3"/>
        <v>10868977382</v>
      </c>
      <c r="G22" s="153">
        <f t="shared" ca="1" si="3"/>
        <v>10665266797.289104</v>
      </c>
      <c r="H22" s="153">
        <f t="shared" ca="1" si="3"/>
        <v>12357040611.006367</v>
      </c>
      <c r="I22" s="153">
        <f t="shared" ca="1" si="3"/>
        <v>13912396106.792265</v>
      </c>
      <c r="J22" s="153">
        <f t="shared" ca="1" si="3"/>
        <v>15448923338.453474</v>
      </c>
      <c r="K22" s="153">
        <f t="shared" ca="1" si="3"/>
        <v>17151015059.477877</v>
      </c>
    </row>
    <row r="23" spans="3:11" s="157" customFormat="1" ht="15" customHeight="1" x14ac:dyDescent="0.25">
      <c r="C23" s="156" t="s">
        <v>77</v>
      </c>
      <c r="D23" s="153">
        <f t="shared" ref="D23:K23" si="4">D49</f>
        <v>-2458269956</v>
      </c>
      <c r="E23" s="153">
        <f t="shared" si="4"/>
        <v>-4554699152</v>
      </c>
      <c r="F23" s="153">
        <f t="shared" si="4"/>
        <v>-8262754773</v>
      </c>
      <c r="G23" s="153">
        <f t="shared" si="4"/>
        <v>-7990398887.3758507</v>
      </c>
      <c r="H23" s="153">
        <f t="shared" si="4"/>
        <v>-8929435816.2379379</v>
      </c>
      <c r="I23" s="153">
        <f t="shared" si="4"/>
        <v>-9865605035.7446499</v>
      </c>
      <c r="J23" s="153">
        <f t="shared" si="4"/>
        <v>-10738124850.03396</v>
      </c>
      <c r="K23" s="153">
        <f t="shared" si="4"/>
        <v>-11599006534.4872</v>
      </c>
    </row>
    <row r="24" spans="3:11" s="157" customFormat="1" ht="15" customHeight="1" x14ac:dyDescent="0.25">
      <c r="C24" s="156" t="s">
        <v>78</v>
      </c>
      <c r="D24" s="153">
        <f t="shared" ref="D24:K24" si="5">SUM(D22:D23)</f>
        <v>2901014450</v>
      </c>
      <c r="E24" s="153">
        <f t="shared" si="5"/>
        <v>1557567162</v>
      </c>
      <c r="F24" s="153">
        <f t="shared" si="5"/>
        <v>2606222609</v>
      </c>
      <c r="G24" s="153">
        <f t="shared" ca="1" si="5"/>
        <v>2674867909.9132538</v>
      </c>
      <c r="H24" s="153">
        <f t="shared" ca="1" si="5"/>
        <v>3427604794.7684288</v>
      </c>
      <c r="I24" s="153">
        <f t="shared" ca="1" si="5"/>
        <v>4046791071.0476151</v>
      </c>
      <c r="J24" s="153">
        <f t="shared" ca="1" si="5"/>
        <v>4710798488.4195137</v>
      </c>
      <c r="K24" s="153">
        <f t="shared" ca="1" si="5"/>
        <v>5552008524.9906769</v>
      </c>
    </row>
    <row r="25" spans="3:11" s="15" customFormat="1" ht="15" customHeight="1" x14ac:dyDescent="0.25">
      <c r="C25" s="84" t="s">
        <v>79</v>
      </c>
      <c r="D25" s="155">
        <v>-148645274</v>
      </c>
      <c r="E25" s="155">
        <v>-212023930</v>
      </c>
      <c r="F25" s="155">
        <v>-293697407</v>
      </c>
      <c r="G25" s="154">
        <f>-G166</f>
        <v>-496107368.38002282</v>
      </c>
      <c r="H25" s="154">
        <f>-H166</f>
        <v>-591319959.51207829</v>
      </c>
      <c r="I25" s="154">
        <f>-I166</f>
        <v>-691470210.71861196</v>
      </c>
      <c r="J25" s="154">
        <f>-J166</f>
        <v>-795543539.87674999</v>
      </c>
      <c r="K25" s="154">
        <f>-K166</f>
        <v>-901594279.18503463</v>
      </c>
    </row>
    <row r="26" spans="3:11" s="134" customFormat="1" ht="15" customHeight="1" x14ac:dyDescent="0.25">
      <c r="C26" s="133" t="s">
        <v>80</v>
      </c>
      <c r="D26" s="153">
        <f t="shared" ref="D26:K26" si="6">SUM(D24:D25)</f>
        <v>2752369176</v>
      </c>
      <c r="E26" s="153">
        <f t="shared" si="6"/>
        <v>1345543232</v>
      </c>
      <c r="F26" s="153">
        <f t="shared" si="6"/>
        <v>2312525202</v>
      </c>
      <c r="G26" s="153">
        <f t="shared" ca="1" si="6"/>
        <v>2178760541.5332308</v>
      </c>
      <c r="H26" s="153">
        <f t="shared" ca="1" si="6"/>
        <v>2836284835.2563505</v>
      </c>
      <c r="I26" s="153">
        <f t="shared" ca="1" si="6"/>
        <v>3355320860.3290033</v>
      </c>
      <c r="J26" s="153">
        <f t="shared" ca="1" si="6"/>
        <v>3915254948.5427637</v>
      </c>
      <c r="K26" s="153">
        <f t="shared" ca="1" si="6"/>
        <v>4650414245.8056421</v>
      </c>
    </row>
    <row r="27" spans="3:11" ht="15" customHeight="1" x14ac:dyDescent="0.25">
      <c r="C27" s="85" t="s">
        <v>81</v>
      </c>
      <c r="D27" s="152">
        <v>299357186</v>
      </c>
      <c r="E27" s="152">
        <v>695327630</v>
      </c>
      <c r="F27" s="152">
        <v>655970125</v>
      </c>
      <c r="G27" s="110">
        <f ca="1">G236</f>
        <v>766975786.49670184</v>
      </c>
      <c r="H27" s="110">
        <f ca="1">H236</f>
        <v>780868468.42743003</v>
      </c>
      <c r="I27" s="110">
        <f ca="1">I236</f>
        <v>857762863.29723787</v>
      </c>
      <c r="J27" s="110">
        <f ca="1">J236</f>
        <v>929104295.37221551</v>
      </c>
      <c r="K27" s="110">
        <f ca="1">K236</f>
        <v>996554035.14182258</v>
      </c>
    </row>
    <row r="28" spans="3:11" ht="15" customHeight="1" x14ac:dyDescent="0.25">
      <c r="C28" s="85" t="s">
        <v>82</v>
      </c>
      <c r="D28" s="152">
        <v>-111537468</v>
      </c>
      <c r="E28" s="152">
        <v>-89305188</v>
      </c>
      <c r="F28" s="152">
        <v>-147537853</v>
      </c>
      <c r="G28" s="110">
        <f>G235</f>
        <v>-144548530.55751172</v>
      </c>
      <c r="H28" s="110">
        <f>H235</f>
        <v>-158127156.12429348</v>
      </c>
      <c r="I28" s="110">
        <f>I235</f>
        <v>-173691337.32518303</v>
      </c>
      <c r="J28" s="110">
        <f>J235</f>
        <v>-190927755.72010756</v>
      </c>
      <c r="K28" s="110">
        <f>K235</f>
        <v>-209331634.5000771</v>
      </c>
    </row>
    <row r="29" spans="3:11" s="44" customFormat="1" ht="15" customHeight="1" x14ac:dyDescent="0.25">
      <c r="C29" s="135" t="s">
        <v>83</v>
      </c>
      <c r="D29" s="153">
        <f t="shared" ref="D29:K29" si="7">SUM(D27:D28)</f>
        <v>187819718</v>
      </c>
      <c r="E29" s="153">
        <f t="shared" si="7"/>
        <v>606022442</v>
      </c>
      <c r="F29" s="153">
        <f t="shared" si="7"/>
        <v>508432272</v>
      </c>
      <c r="G29" s="153">
        <f t="shared" ca="1" si="7"/>
        <v>622427255.93919015</v>
      </c>
      <c r="H29" s="153">
        <f t="shared" ca="1" si="7"/>
        <v>622741312.30313659</v>
      </c>
      <c r="I29" s="153">
        <f t="shared" ca="1" si="7"/>
        <v>684071525.97205484</v>
      </c>
      <c r="J29" s="153">
        <f t="shared" ca="1" si="7"/>
        <v>738176539.65210795</v>
      </c>
      <c r="K29" s="153">
        <f t="shared" ca="1" si="7"/>
        <v>787222400.64174545</v>
      </c>
    </row>
    <row r="30" spans="3:11" ht="15" customHeight="1" x14ac:dyDescent="0.25">
      <c r="C30" s="85" t="s">
        <v>84</v>
      </c>
      <c r="D30" s="152">
        <v>13023424</v>
      </c>
      <c r="E30" s="152">
        <v>42683722</v>
      </c>
      <c r="F30" s="152">
        <v>0</v>
      </c>
      <c r="G30" s="59">
        <f>F30</f>
        <v>0</v>
      </c>
      <c r="H30" s="59">
        <f>G30</f>
        <v>0</v>
      </c>
      <c r="I30" s="59">
        <f>H30</f>
        <v>0</v>
      </c>
      <c r="J30" s="59">
        <f>I30</f>
        <v>0</v>
      </c>
      <c r="K30" s="59">
        <f>J30</f>
        <v>0</v>
      </c>
    </row>
    <row r="31" spans="3:11" s="35" customFormat="1" ht="15" customHeight="1" x14ac:dyDescent="0.25">
      <c r="C31" s="135" t="s">
        <v>85</v>
      </c>
      <c r="D31" s="153">
        <f t="shared" ref="D31:K31" si="8">D26+SUM(D29:D30)</f>
        <v>2953212318</v>
      </c>
      <c r="E31" s="153">
        <f t="shared" si="8"/>
        <v>1994249396</v>
      </c>
      <c r="F31" s="153">
        <f t="shared" si="8"/>
        <v>2820957474</v>
      </c>
      <c r="G31" s="153">
        <f t="shared" ca="1" si="8"/>
        <v>2801187797.4724207</v>
      </c>
      <c r="H31" s="153">
        <f t="shared" ca="1" si="8"/>
        <v>3459026147.5594873</v>
      </c>
      <c r="I31" s="153">
        <f t="shared" ca="1" si="8"/>
        <v>4039392386.3010583</v>
      </c>
      <c r="J31" s="153">
        <f t="shared" ca="1" si="8"/>
        <v>4653431488.1948719</v>
      </c>
      <c r="K31" s="153">
        <f t="shared" ca="1" si="8"/>
        <v>5437636646.4473877</v>
      </c>
    </row>
    <row r="32" spans="3:11" ht="15" customHeight="1" x14ac:dyDescent="0.25">
      <c r="C32" s="6" t="s">
        <v>86</v>
      </c>
      <c r="D32" s="152">
        <v>-674314071</v>
      </c>
      <c r="E32" s="152">
        <v>-568029961</v>
      </c>
      <c r="F32" s="152">
        <v>-862455085</v>
      </c>
      <c r="G32" s="59">
        <f ca="1">-G40*G31</f>
        <v>-784332583.29227781</v>
      </c>
      <c r="H32" s="59">
        <f ca="1">-H40*H31</f>
        <v>-968527321.31665659</v>
      </c>
      <c r="I32" s="59">
        <f ca="1">-I40*I31</f>
        <v>-1131029868.1642964</v>
      </c>
      <c r="J32" s="59">
        <f ca="1">-J40*J31</f>
        <v>-1302960816.6945643</v>
      </c>
      <c r="K32" s="59">
        <f ca="1">-K40*K31</f>
        <v>-1522538261.0052688</v>
      </c>
    </row>
    <row r="33" spans="3:11" ht="15" customHeight="1" x14ac:dyDescent="0.25">
      <c r="C33" s="6" t="s">
        <v>87</v>
      </c>
      <c r="D33" s="152">
        <v>-12294587</v>
      </c>
      <c r="E33" s="152">
        <v>-54410006</v>
      </c>
      <c r="F33" s="152">
        <v>19896350</v>
      </c>
      <c r="G33" s="59">
        <v>0</v>
      </c>
      <c r="H33" s="59">
        <v>0</v>
      </c>
      <c r="I33" s="59">
        <v>0</v>
      </c>
      <c r="J33" s="59">
        <v>0</v>
      </c>
      <c r="K33" s="59">
        <v>0</v>
      </c>
    </row>
    <row r="34" spans="3:11" s="44" customFormat="1" ht="15" customHeight="1" x14ac:dyDescent="0.25">
      <c r="C34" s="44" t="s">
        <v>88</v>
      </c>
      <c r="D34" s="153">
        <f t="shared" ref="D34:K34" si="9">SUM(D31:D33)</f>
        <v>2266603660</v>
      </c>
      <c r="E34" s="153">
        <f t="shared" si="9"/>
        <v>1371809429</v>
      </c>
      <c r="F34" s="153">
        <f t="shared" si="9"/>
        <v>1978398739</v>
      </c>
      <c r="G34" s="153">
        <f t="shared" ca="1" si="9"/>
        <v>2016855214.1801429</v>
      </c>
      <c r="H34" s="153">
        <f t="shared" ca="1" si="9"/>
        <v>2490498826.2428308</v>
      </c>
      <c r="I34" s="153">
        <f t="shared" ca="1" si="9"/>
        <v>2908362518.1367617</v>
      </c>
      <c r="J34" s="153">
        <f t="shared" ca="1" si="9"/>
        <v>3350470671.5003076</v>
      </c>
      <c r="K34" s="153">
        <f t="shared" ca="1" si="9"/>
        <v>3915098385.4421186</v>
      </c>
    </row>
    <row r="35" spans="3:11" s="35" customFormat="1" ht="15" customHeight="1" x14ac:dyDescent="0.25">
      <c r="C35" s="35" t="s">
        <v>89</v>
      </c>
      <c r="D35" s="154">
        <f t="shared" ref="D35:K35" si="10">D34-D36</f>
        <v>2241046074</v>
      </c>
      <c r="E35" s="154">
        <f t="shared" si="10"/>
        <v>1428051431</v>
      </c>
      <c r="F35" s="154">
        <f t="shared" si="10"/>
        <v>2018397923</v>
      </c>
      <c r="G35" s="154">
        <f t="shared" ca="1" si="10"/>
        <v>2016855214.1801429</v>
      </c>
      <c r="H35" s="154">
        <f t="shared" ca="1" si="10"/>
        <v>2490498826.2428308</v>
      </c>
      <c r="I35" s="154">
        <f t="shared" ca="1" si="10"/>
        <v>2908362518.1367617</v>
      </c>
      <c r="J35" s="154">
        <f t="shared" ca="1" si="10"/>
        <v>3350470671.5003076</v>
      </c>
      <c r="K35" s="154">
        <f t="shared" ca="1" si="10"/>
        <v>3915098385.4421186</v>
      </c>
    </row>
    <row r="36" spans="3:11" s="35" customFormat="1" ht="15" customHeight="1" x14ac:dyDescent="0.25">
      <c r="C36" s="35" t="s">
        <v>90</v>
      </c>
      <c r="D36" s="155">
        <v>25557586</v>
      </c>
      <c r="E36" s="155">
        <v>-56242002</v>
      </c>
      <c r="F36" s="155">
        <v>-39999184</v>
      </c>
      <c r="G36" s="132">
        <f ca="1">G251</f>
        <v>0</v>
      </c>
      <c r="H36" s="132">
        <f ca="1">H251</f>
        <v>0</v>
      </c>
      <c r="I36" s="132">
        <f ca="1">I251</f>
        <v>0</v>
      </c>
      <c r="J36" s="132">
        <f ca="1">J251</f>
        <v>0</v>
      </c>
      <c r="K36" s="132">
        <f ca="1">K251</f>
        <v>0</v>
      </c>
    </row>
    <row r="37" spans="3:11" ht="15" customHeight="1" x14ac:dyDescent="0.25">
      <c r="C37" s="17"/>
      <c r="D37" s="14"/>
      <c r="E37" s="14"/>
      <c r="F37" s="14"/>
      <c r="G37" s="62"/>
      <c r="H37" s="14"/>
      <c r="I37" s="14"/>
      <c r="J37" s="14"/>
      <c r="K37" s="14"/>
    </row>
    <row r="38" spans="3:11" ht="15" customHeight="1" x14ac:dyDescent="0.25">
      <c r="C38" s="20" t="s">
        <v>91</v>
      </c>
      <c r="D38" s="21"/>
      <c r="E38" s="21"/>
      <c r="F38" s="14"/>
      <c r="H38" s="21"/>
      <c r="I38" s="21"/>
      <c r="J38" s="21"/>
      <c r="K38" s="21"/>
    </row>
    <row r="39" spans="3:11" ht="15" customHeight="1" x14ac:dyDescent="0.25">
      <c r="C39" s="17" t="s">
        <v>92</v>
      </c>
      <c r="D39" s="75"/>
      <c r="E39" s="75">
        <f t="shared" ref="E39:K39" si="11">E18/D18-1</f>
        <v>0.40615629426653066</v>
      </c>
      <c r="F39" s="75">
        <f t="shared" si="11"/>
        <v>0.49683625020598199</v>
      </c>
      <c r="G39" s="75">
        <f t="shared" si="11"/>
        <v>-1.5760359680098035E-2</v>
      </c>
      <c r="H39" s="75">
        <f t="shared" si="11"/>
        <v>0.11579888947869788</v>
      </c>
      <c r="I39" s="75">
        <f t="shared" si="11"/>
        <v>0.10229922502158129</v>
      </c>
      <c r="J39" s="75">
        <f t="shared" si="11"/>
        <v>8.5642553818344735E-2</v>
      </c>
      <c r="K39" s="75">
        <f t="shared" si="11"/>
        <v>7.9363410381043886E-2</v>
      </c>
    </row>
    <row r="40" spans="3:11" ht="15" customHeight="1" x14ac:dyDescent="0.25">
      <c r="C40" s="17" t="s">
        <v>93</v>
      </c>
      <c r="D40" s="76">
        <f>-SUM(D32:D33)/D31</f>
        <v>0.2324955282812145</v>
      </c>
      <c r="E40" s="76">
        <f>-SUM(E32:E33)/E31</f>
        <v>0.31211741532852894</v>
      </c>
      <c r="F40" s="76">
        <f>-SUM(F32:F33)/F31</f>
        <v>0.29867828308850286</v>
      </c>
      <c r="G40" s="93">
        <v>0.28000000000000003</v>
      </c>
      <c r="H40" s="93">
        <f>G40</f>
        <v>0.28000000000000003</v>
      </c>
      <c r="I40" s="93">
        <f>H40</f>
        <v>0.28000000000000003</v>
      </c>
      <c r="J40" s="93">
        <f>I40</f>
        <v>0.28000000000000003</v>
      </c>
      <c r="K40" s="93">
        <f>J40</f>
        <v>0.28000000000000003</v>
      </c>
    </row>
    <row r="41" spans="3:11" ht="15" customHeight="1" x14ac:dyDescent="0.25">
      <c r="C41" s="17"/>
      <c r="D41" s="76"/>
      <c r="E41" s="76"/>
      <c r="F41" s="76"/>
      <c r="G41" s="93"/>
      <c r="H41" s="93"/>
      <c r="I41" s="93"/>
      <c r="J41" s="93"/>
      <c r="K41" s="93"/>
    </row>
    <row r="42" spans="3:11" ht="15" customHeight="1" x14ac:dyDescent="0.25">
      <c r="C42" s="38" t="s">
        <v>94</v>
      </c>
      <c r="D42" s="96"/>
      <c r="E42" s="45"/>
      <c r="F42" s="45"/>
      <c r="G42" s="39"/>
      <c r="H42" s="39"/>
      <c r="I42" s="39"/>
      <c r="J42" s="39"/>
      <c r="K42" s="39"/>
    </row>
    <row r="43" spans="3:11" ht="15" customHeight="1" x14ac:dyDescent="0.25">
      <c r="C43" t="s">
        <v>68</v>
      </c>
      <c r="D43" s="40">
        <f t="shared" ref="D43:K43" si="12">D$13</f>
        <v>2023</v>
      </c>
      <c r="E43" s="40">
        <f t="shared" si="12"/>
        <v>2024</v>
      </c>
      <c r="F43" s="40">
        <f t="shared" si="12"/>
        <v>2025</v>
      </c>
      <c r="G43" s="41">
        <f t="shared" si="12"/>
        <v>2026</v>
      </c>
      <c r="H43" s="41">
        <f t="shared" si="12"/>
        <v>2027</v>
      </c>
      <c r="I43" s="41">
        <f t="shared" si="12"/>
        <v>2028</v>
      </c>
      <c r="J43" s="41">
        <f t="shared" si="12"/>
        <v>2029</v>
      </c>
      <c r="K43" s="41">
        <f t="shared" si="12"/>
        <v>2030</v>
      </c>
    </row>
    <row r="44" spans="3:11" ht="15" customHeight="1" x14ac:dyDescent="0.25">
      <c r="C44" s="42" t="s">
        <v>69</v>
      </c>
      <c r="D44" s="86">
        <f t="shared" ref="D44:K44" si="13">D$14</f>
        <v>45291</v>
      </c>
      <c r="E44" s="86">
        <f t="shared" si="13"/>
        <v>45657</v>
      </c>
      <c r="F44" s="86">
        <f t="shared" si="13"/>
        <v>46022</v>
      </c>
      <c r="G44" s="86">
        <f t="shared" si="13"/>
        <v>46387</v>
      </c>
      <c r="H44" s="86">
        <f t="shared" si="13"/>
        <v>46752</v>
      </c>
      <c r="I44" s="86">
        <f t="shared" si="13"/>
        <v>47118</v>
      </c>
      <c r="J44" s="86">
        <f t="shared" si="13"/>
        <v>47483</v>
      </c>
      <c r="K44" s="86">
        <f t="shared" si="13"/>
        <v>47848</v>
      </c>
    </row>
    <row r="45" spans="3:11" ht="15" customHeight="1" x14ac:dyDescent="0.25">
      <c r="C45" s="17"/>
      <c r="D45" s="76"/>
      <c r="E45" s="76"/>
      <c r="F45" s="76"/>
      <c r="G45" s="93"/>
      <c r="H45" s="93"/>
      <c r="I45" s="93"/>
      <c r="J45" s="93"/>
      <c r="K45" s="93"/>
    </row>
    <row r="46" spans="3:11" ht="15" customHeight="1" x14ac:dyDescent="0.25">
      <c r="C46" s="85" t="s">
        <v>95</v>
      </c>
      <c r="D46" s="61">
        <v>-2664207469</v>
      </c>
      <c r="E46" s="61">
        <v>-4645860157</v>
      </c>
      <c r="F46" s="61">
        <v>-8122264869</v>
      </c>
      <c r="G46" s="59">
        <f>-G51*G$18</f>
        <v>-7994255053.2475357</v>
      </c>
      <c r="H46" s="59">
        <f>-H51*H$18</f>
        <v>-8919980910.6230679</v>
      </c>
      <c r="I46" s="59">
        <f>-I51*I$18</f>
        <v>-9832488044.9871063</v>
      </c>
      <c r="J46" s="59">
        <f>-J51*J$18</f>
        <v>-10674567431.548145</v>
      </c>
      <c r="K46" s="59">
        <f>-K51*K$18</f>
        <v>-11521737507.258226</v>
      </c>
    </row>
    <row r="47" spans="3:11" ht="15" customHeight="1" x14ac:dyDescent="0.25">
      <c r="C47" s="85" t="s">
        <v>96</v>
      </c>
      <c r="D47" s="61">
        <v>-272561217</v>
      </c>
      <c r="E47" s="61">
        <v>-628220444</v>
      </c>
      <c r="F47" s="61">
        <v>-849021524</v>
      </c>
      <c r="G47" s="59">
        <f>-G52*G346</f>
        <v>-810955197.12831402</v>
      </c>
      <c r="H47" s="59">
        <f>-H52*H346</f>
        <v>-922043632.17487037</v>
      </c>
      <c r="I47" s="59">
        <f>-I52*I346</f>
        <v>-1036964589.9735432</v>
      </c>
      <c r="J47" s="59">
        <f>-J52*J346</f>
        <v>-1147712825.639096</v>
      </c>
      <c r="K47" s="59">
        <f>-K52*K346</f>
        <v>-1248156866.9545162</v>
      </c>
    </row>
    <row r="48" spans="3:11" ht="15" customHeight="1" x14ac:dyDescent="0.25">
      <c r="C48" s="85" t="s">
        <v>97</v>
      </c>
      <c r="D48" s="61">
        <v>478498730</v>
      </c>
      <c r="E48" s="61">
        <v>719381449</v>
      </c>
      <c r="F48" s="61">
        <v>708531620</v>
      </c>
      <c r="G48" s="59">
        <f>G53*G347</f>
        <v>814811363</v>
      </c>
      <c r="H48" s="59">
        <f>H53*H347</f>
        <v>912588726.55999994</v>
      </c>
      <c r="I48" s="59">
        <f>I53*I347</f>
        <v>1003847599.2160001</v>
      </c>
      <c r="J48" s="59">
        <f>J53*J347</f>
        <v>1084155407.1532803</v>
      </c>
      <c r="K48" s="59">
        <f>K53*K347</f>
        <v>1170887839.7255428</v>
      </c>
    </row>
    <row r="49" spans="3:11" s="13" customFormat="1" ht="15" customHeight="1" x14ac:dyDescent="0.25">
      <c r="C49" s="63" t="s">
        <v>77</v>
      </c>
      <c r="D49" s="14">
        <f t="shared" ref="D49:K49" si="14">SUM(D46:D48)</f>
        <v>-2458269956</v>
      </c>
      <c r="E49" s="14">
        <f t="shared" si="14"/>
        <v>-4554699152</v>
      </c>
      <c r="F49" s="14">
        <f t="shared" si="14"/>
        <v>-8262754773</v>
      </c>
      <c r="G49" s="14">
        <f t="shared" si="14"/>
        <v>-7990398887.3758507</v>
      </c>
      <c r="H49" s="14">
        <f t="shared" si="14"/>
        <v>-8929435816.2379379</v>
      </c>
      <c r="I49" s="14">
        <f t="shared" si="14"/>
        <v>-9865605035.7446499</v>
      </c>
      <c r="J49" s="14">
        <f t="shared" si="14"/>
        <v>-10738124850.03396</v>
      </c>
      <c r="K49" s="14">
        <f t="shared" si="14"/>
        <v>-11599006534.4872</v>
      </c>
    </row>
    <row r="50" spans="3:11" ht="15" customHeight="1" x14ac:dyDescent="0.25">
      <c r="C50" s="17"/>
      <c r="D50" s="76"/>
      <c r="E50" s="76"/>
      <c r="F50" s="76"/>
      <c r="G50" s="93"/>
      <c r="H50" s="93"/>
      <c r="I50" s="93"/>
      <c r="J50" s="93"/>
      <c r="K50" s="93"/>
    </row>
    <row r="51" spans="3:11" s="159" customFormat="1" ht="15" customHeight="1" x14ac:dyDescent="0.25">
      <c r="C51" s="159" t="str">
        <f>C46&amp;" % of revenue"</f>
        <v>SG&amp;A (excluding D&amp;A) % of revenue</v>
      </c>
      <c r="D51" s="1">
        <f>-D46/D18</f>
        <v>0.28306152309200266</v>
      </c>
      <c r="E51" s="1">
        <f>-E46/E18</f>
        <v>0.351030890381682</v>
      </c>
      <c r="F51" s="1">
        <f>-F46/F18</f>
        <v>0.40999830191530329</v>
      </c>
      <c r="G51" s="1">
        <f>F51</f>
        <v>0.40999830191530329</v>
      </c>
      <c r="H51" s="1">
        <f>G51</f>
        <v>0.40999830191530329</v>
      </c>
      <c r="I51" s="1">
        <f>H51</f>
        <v>0.40999830191530329</v>
      </c>
      <c r="J51" s="1">
        <f>I51</f>
        <v>0.40999830191530329</v>
      </c>
      <c r="K51" s="1">
        <f>J51</f>
        <v>0.40999830191530329</v>
      </c>
    </row>
    <row r="52" spans="3:11" s="159" customFormat="1" ht="15" customHeight="1" x14ac:dyDescent="0.25">
      <c r="C52" s="159" t="str">
        <f>C47&amp;" % of opening net loans"</f>
        <v>Credit cost (ECL + bad debts written off) % of opening net loans</v>
      </c>
      <c r="D52" s="1"/>
      <c r="E52" s="1">
        <f>-E47/E346</f>
        <v>3.2458576821808374E-2</v>
      </c>
      <c r="F52" s="1">
        <f>-F47/F346</f>
        <v>3.2148068085464131E-2</v>
      </c>
      <c r="G52" s="1">
        <f>AVERAGE(E52:F52)</f>
        <v>3.2303322453636249E-2</v>
      </c>
      <c r="H52" s="1">
        <f t="shared" ref="H52:K53" si="15">G52</f>
        <v>3.2303322453636249E-2</v>
      </c>
      <c r="I52" s="1">
        <f t="shared" si="15"/>
        <v>3.2303322453636249E-2</v>
      </c>
      <c r="J52" s="1">
        <f t="shared" si="15"/>
        <v>3.2303322453636249E-2</v>
      </c>
      <c r="K52" s="1">
        <f t="shared" si="15"/>
        <v>3.2303322453636249E-2</v>
      </c>
    </row>
    <row r="53" spans="3:11" s="159" customFormat="1" ht="15" customHeight="1" x14ac:dyDescent="0.25">
      <c r="C53" s="159" t="str">
        <f>C48&amp;" % of originations"</f>
        <v>Other Net income % of originations</v>
      </c>
      <c r="D53" s="1"/>
      <c r="E53" s="1">
        <f>E48/E347</f>
        <v>2.1298347965492934E-2</v>
      </c>
      <c r="F53" s="1">
        <f>F48/F347</f>
        <v>1.6452496738453525E-2</v>
      </c>
      <c r="G53" s="1">
        <f>F53</f>
        <v>1.6452496738453525E-2</v>
      </c>
      <c r="H53" s="1">
        <f t="shared" si="15"/>
        <v>1.6452496738453525E-2</v>
      </c>
      <c r="I53" s="1">
        <f t="shared" si="15"/>
        <v>1.6452496738453525E-2</v>
      </c>
      <c r="J53" s="1">
        <f t="shared" si="15"/>
        <v>1.6452496738453525E-2</v>
      </c>
      <c r="K53" s="1">
        <f t="shared" si="15"/>
        <v>1.6452496738453525E-2</v>
      </c>
    </row>
    <row r="54" spans="3:11" ht="15" customHeight="1" x14ac:dyDescent="0.25">
      <c r="C54" s="17"/>
      <c r="D54" s="23"/>
      <c r="E54" s="23"/>
      <c r="F54" s="23"/>
      <c r="G54" s="23"/>
      <c r="H54" s="23"/>
      <c r="I54" s="23"/>
      <c r="J54" s="23"/>
      <c r="K54" s="23"/>
    </row>
    <row r="55" spans="3:11" x14ac:dyDescent="0.25">
      <c r="C55" s="38" t="s">
        <v>98</v>
      </c>
      <c r="D55" s="96"/>
      <c r="E55" s="45"/>
      <c r="F55" s="45"/>
      <c r="G55" s="39"/>
      <c r="H55" s="39"/>
      <c r="I55" s="39"/>
      <c r="J55" s="39"/>
      <c r="K55" s="39"/>
    </row>
    <row r="56" spans="3:11" x14ac:dyDescent="0.25">
      <c r="C56" t="s">
        <v>68</v>
      </c>
      <c r="D56" s="40">
        <f t="shared" ref="D56:K56" si="16">D$13</f>
        <v>2023</v>
      </c>
      <c r="E56" s="40">
        <f t="shared" si="16"/>
        <v>2024</v>
      </c>
      <c r="F56" s="40">
        <f t="shared" si="16"/>
        <v>2025</v>
      </c>
      <c r="G56" s="41">
        <f t="shared" si="16"/>
        <v>2026</v>
      </c>
      <c r="H56" s="41">
        <f t="shared" si="16"/>
        <v>2027</v>
      </c>
      <c r="I56" s="41">
        <f t="shared" si="16"/>
        <v>2028</v>
      </c>
      <c r="J56" s="41">
        <f t="shared" si="16"/>
        <v>2029</v>
      </c>
      <c r="K56" s="41">
        <f t="shared" si="16"/>
        <v>2030</v>
      </c>
    </row>
    <row r="57" spans="3:11" x14ac:dyDescent="0.25">
      <c r="C57" s="42" t="s">
        <v>69</v>
      </c>
      <c r="D57" s="86">
        <f t="shared" ref="D57:K57" si="17">D$14</f>
        <v>45291</v>
      </c>
      <c r="E57" s="86">
        <f t="shared" si="17"/>
        <v>45657</v>
      </c>
      <c r="F57" s="86">
        <f t="shared" si="17"/>
        <v>46022</v>
      </c>
      <c r="G57" s="86">
        <f t="shared" si="17"/>
        <v>46387</v>
      </c>
      <c r="H57" s="86">
        <f t="shared" si="17"/>
        <v>46752</v>
      </c>
      <c r="I57" s="86">
        <f t="shared" si="17"/>
        <v>47118</v>
      </c>
      <c r="J57" s="86">
        <f t="shared" si="17"/>
        <v>47483</v>
      </c>
      <c r="K57" s="86">
        <f t="shared" si="17"/>
        <v>47848</v>
      </c>
    </row>
    <row r="58" spans="3:11" s="35" customFormat="1" ht="15" customHeight="1" x14ac:dyDescent="0.25">
      <c r="C58" s="44" t="s">
        <v>99</v>
      </c>
    </row>
    <row r="59" spans="3:11" ht="15" customHeight="1" x14ac:dyDescent="0.25"/>
    <row r="60" spans="3:11" ht="15" customHeight="1" x14ac:dyDescent="0.25">
      <c r="C60" s="13" t="s">
        <v>100</v>
      </c>
    </row>
    <row r="61" spans="3:11" ht="15" customHeight="1" x14ac:dyDescent="0.25">
      <c r="C61" s="17" t="s">
        <v>101</v>
      </c>
      <c r="D61" s="10">
        <v>392605602</v>
      </c>
      <c r="E61" s="10">
        <v>588762877</v>
      </c>
      <c r="F61" s="10">
        <v>1027235967</v>
      </c>
      <c r="G61" s="59">
        <f t="shared" ref="G61:K63" si="18">G207</f>
        <v>1027235967</v>
      </c>
      <c r="H61" s="59">
        <f t="shared" si="18"/>
        <v>1027235967</v>
      </c>
      <c r="I61" s="59">
        <f t="shared" si="18"/>
        <v>1027235967</v>
      </c>
      <c r="J61" s="59">
        <f t="shared" si="18"/>
        <v>1027235967</v>
      </c>
      <c r="K61" s="59">
        <f t="shared" si="18"/>
        <v>1027235967</v>
      </c>
    </row>
    <row r="62" spans="3:11" ht="15" customHeight="1" x14ac:dyDescent="0.25">
      <c r="C62" s="17" t="s">
        <v>102</v>
      </c>
      <c r="D62" s="10">
        <v>1100040440</v>
      </c>
      <c r="E62" s="10">
        <v>3181804485</v>
      </c>
      <c r="F62" s="10">
        <v>8534654767</v>
      </c>
      <c r="G62" s="59">
        <f t="shared" si="18"/>
        <v>9567149950.8009338</v>
      </c>
      <c r="H62" s="59">
        <f t="shared" si="18"/>
        <v>10709028981.819714</v>
      </c>
      <c r="I62" s="59">
        <f t="shared" si="18"/>
        <v>11783705158.797348</v>
      </c>
      <c r="J62" s="59">
        <f t="shared" si="18"/>
        <v>12736608912.652794</v>
      </c>
      <c r="K62" s="59">
        <f t="shared" si="18"/>
        <v>13754287414.623354</v>
      </c>
    </row>
    <row r="63" spans="3:11" ht="15" customHeight="1" x14ac:dyDescent="0.25">
      <c r="C63" s="17" t="s">
        <v>103</v>
      </c>
      <c r="D63" s="10">
        <v>234861219</v>
      </c>
      <c r="E63" s="10">
        <v>150082630</v>
      </c>
      <c r="F63" s="10">
        <v>126173928</v>
      </c>
      <c r="G63" s="59">
        <f t="shared" si="18"/>
        <v>132482624.40000001</v>
      </c>
      <c r="H63" s="59">
        <f t="shared" si="18"/>
        <v>139106755.62</v>
      </c>
      <c r="I63" s="59">
        <f t="shared" si="18"/>
        <v>146062093.40099999</v>
      </c>
      <c r="J63" s="59">
        <f t="shared" si="18"/>
        <v>153365198.07105002</v>
      </c>
      <c r="K63" s="59">
        <f t="shared" si="18"/>
        <v>161033457.97460252</v>
      </c>
    </row>
    <row r="64" spans="3:11" ht="15" customHeight="1" x14ac:dyDescent="0.25">
      <c r="C64" s="17" t="s">
        <v>104</v>
      </c>
      <c r="D64" s="10">
        <v>315405416</v>
      </c>
      <c r="E64" s="10">
        <v>217650268</v>
      </c>
      <c r="F64" s="10">
        <v>0</v>
      </c>
      <c r="G64" s="19">
        <f>F64</f>
        <v>0</v>
      </c>
      <c r="H64" s="19">
        <f>G64</f>
        <v>0</v>
      </c>
      <c r="I64" s="19">
        <f>H64</f>
        <v>0</v>
      </c>
      <c r="J64" s="19">
        <f>I64</f>
        <v>0</v>
      </c>
      <c r="K64" s="19">
        <f>J64</f>
        <v>0</v>
      </c>
    </row>
    <row r="65" spans="3:11" ht="15" customHeight="1" x14ac:dyDescent="0.25">
      <c r="C65" s="17" t="s">
        <v>105</v>
      </c>
      <c r="D65" s="10">
        <v>12313185015</v>
      </c>
      <c r="E65" s="10">
        <v>17036899162</v>
      </c>
      <c r="F65" s="10">
        <v>16346608199</v>
      </c>
      <c r="G65" s="19">
        <f>G351*G352</f>
        <v>18585843029.20578</v>
      </c>
      <c r="H65" s="19">
        <f>H351*H352</f>
        <v>20902330891.4711</v>
      </c>
      <c r="I65" s="19">
        <f>I351*I352</f>
        <v>23134708245.443298</v>
      </c>
      <c r="J65" s="19">
        <f>J351*J352</f>
        <v>25159381612.260071</v>
      </c>
      <c r="K65" s="19">
        <f>K351*K352</f>
        <v>27226113856.58976</v>
      </c>
    </row>
    <row r="66" spans="3:11" ht="15" customHeight="1" x14ac:dyDescent="0.25">
      <c r="C66" s="17" t="s">
        <v>106</v>
      </c>
      <c r="D66" s="10">
        <v>1036009737</v>
      </c>
      <c r="E66" s="10">
        <v>1355639826</v>
      </c>
      <c r="F66" s="10">
        <v>3458917393</v>
      </c>
      <c r="G66" s="19">
        <f ca="1">G146</f>
        <v>1866746452.704</v>
      </c>
      <c r="H66" s="19">
        <f ca="1">H146</f>
        <v>1937135695.5864532</v>
      </c>
      <c r="I66" s="19">
        <f ca="1">I146</f>
        <v>2053187377.6247032</v>
      </c>
      <c r="J66" s="19">
        <f ca="1">J146</f>
        <v>2148052375.4771013</v>
      </c>
      <c r="K66" s="19">
        <f ca="1">K146</f>
        <v>2204579827.4946489</v>
      </c>
    </row>
    <row r="67" spans="3:11" ht="15" customHeight="1" x14ac:dyDescent="0.25">
      <c r="C67" s="11" t="s">
        <v>107</v>
      </c>
      <c r="D67" s="12">
        <f t="shared" ref="D67:K67" si="19">SUM(D61:D66)</f>
        <v>15392107429</v>
      </c>
      <c r="E67" s="12">
        <f t="shared" si="19"/>
        <v>22530839248</v>
      </c>
      <c r="F67" s="12">
        <f t="shared" si="19"/>
        <v>29493590254</v>
      </c>
      <c r="G67" s="12">
        <f t="shared" ca="1" si="19"/>
        <v>31179458024.110714</v>
      </c>
      <c r="H67" s="12">
        <f t="shared" ca="1" si="19"/>
        <v>34714838291.497269</v>
      </c>
      <c r="I67" s="12">
        <f t="shared" ca="1" si="19"/>
        <v>38144898842.26635</v>
      </c>
      <c r="J67" s="12">
        <f t="shared" ca="1" si="19"/>
        <v>41224644065.461021</v>
      </c>
      <c r="K67" s="12">
        <f t="shared" ca="1" si="19"/>
        <v>44373250523.682365</v>
      </c>
    </row>
    <row r="68" spans="3:11" ht="15" customHeight="1" x14ac:dyDescent="0.25">
      <c r="E68" s="18"/>
      <c r="F68" s="18"/>
      <c r="G68" s="18"/>
      <c r="H68" s="18"/>
      <c r="I68" s="18"/>
      <c r="J68" s="18"/>
      <c r="K68" s="18"/>
    </row>
    <row r="69" spans="3:11" ht="15" customHeight="1" x14ac:dyDescent="0.25">
      <c r="C69" s="13" t="s">
        <v>108</v>
      </c>
      <c r="E69" s="18"/>
      <c r="F69" s="18"/>
      <c r="G69" s="18"/>
      <c r="H69" s="18"/>
      <c r="I69" s="18"/>
      <c r="J69" s="18"/>
      <c r="K69" s="18"/>
    </row>
    <row r="70" spans="3:11" ht="15" customHeight="1" x14ac:dyDescent="0.25">
      <c r="C70" s="24" t="s">
        <v>109</v>
      </c>
      <c r="D70" s="10">
        <v>890802394</v>
      </c>
      <c r="E70" s="10">
        <v>1215197158</v>
      </c>
      <c r="F70" s="10">
        <v>1852989658</v>
      </c>
      <c r="G70" s="19">
        <f>G157</f>
        <v>2357493527.8132992</v>
      </c>
      <c r="H70" s="19">
        <f>H157</f>
        <v>2882642898.0241809</v>
      </c>
      <c r="I70" s="19">
        <f>I157</f>
        <v>3424514406.1170421</v>
      </c>
      <c r="J70" s="19">
        <f>J157</f>
        <v>3974357773.3913298</v>
      </c>
      <c r="K70" s="19">
        <f>K157</f>
        <v>4531609336.8403559</v>
      </c>
    </row>
    <row r="71" spans="3:11" ht="15" customHeight="1" x14ac:dyDescent="0.25">
      <c r="C71" s="17" t="s">
        <v>110</v>
      </c>
      <c r="D71" s="10">
        <v>385138334</v>
      </c>
      <c r="E71" s="10">
        <v>461196600</v>
      </c>
      <c r="F71" s="10">
        <v>550928126</v>
      </c>
      <c r="G71" s="19">
        <f>G280</f>
        <v>630141992.65604234</v>
      </c>
      <c r="H71" s="19">
        <f>H280</f>
        <v>714397050.99776709</v>
      </c>
      <c r="I71" s="19">
        <f>I280</f>
        <v>801967165.16763163</v>
      </c>
      <c r="J71" s="19">
        <f>J280</f>
        <v>889965324.42109132</v>
      </c>
      <c r="K71" s="19">
        <f>K280</f>
        <v>978421277.64533722</v>
      </c>
    </row>
    <row r="72" spans="3:11" ht="15" customHeight="1" x14ac:dyDescent="0.25">
      <c r="C72" s="17" t="s">
        <v>111</v>
      </c>
      <c r="D72" s="10">
        <v>69714128</v>
      </c>
      <c r="E72" s="10">
        <v>0</v>
      </c>
      <c r="F72" s="10">
        <v>13236164</v>
      </c>
      <c r="G72" s="19">
        <f>F72</f>
        <v>13236164</v>
      </c>
      <c r="H72" s="19">
        <f>G72</f>
        <v>13236164</v>
      </c>
      <c r="I72" s="19">
        <f>H72</f>
        <v>13236164</v>
      </c>
      <c r="J72" s="19">
        <f>I72</f>
        <v>13236164</v>
      </c>
      <c r="K72" s="19">
        <f>J72</f>
        <v>13236164</v>
      </c>
    </row>
    <row r="73" spans="3:11" ht="15" customHeight="1" x14ac:dyDescent="0.25">
      <c r="C73" s="17" t="s">
        <v>112</v>
      </c>
      <c r="D73" s="10">
        <v>21701220</v>
      </c>
      <c r="E73" s="10">
        <v>21797152</v>
      </c>
      <c r="F73" s="10">
        <v>540234310</v>
      </c>
      <c r="G73" s="19">
        <f>G292</f>
        <v>472199191.66173577</v>
      </c>
      <c r="H73" s="19">
        <f>H292</f>
        <v>400428946.93180323</v>
      </c>
      <c r="I73" s="19">
        <f>I292</f>
        <v>323962391.23326641</v>
      </c>
      <c r="J73" s="19">
        <f>J292</f>
        <v>241600073.74524707</v>
      </c>
      <c r="K73" s="19">
        <f>K292</f>
        <v>152542799.65980223</v>
      </c>
    </row>
    <row r="74" spans="3:11" ht="15" customHeight="1" x14ac:dyDescent="0.25">
      <c r="C74" s="17" t="s">
        <v>105</v>
      </c>
      <c r="D74" s="10">
        <v>7041343295</v>
      </c>
      <c r="E74" s="10">
        <v>9372822310</v>
      </c>
      <c r="F74" s="10">
        <v>8757781552</v>
      </c>
      <c r="G74" s="19">
        <f>G351*(1-G352)</f>
        <v>9957463421.6475353</v>
      </c>
      <c r="H74" s="19">
        <f>H351*(1-H352)</f>
        <v>11198534010.641048</v>
      </c>
      <c r="I74" s="19">
        <f>I351*(1-I352)</f>
        <v>12394541951.231215</v>
      </c>
      <c r="J74" s="19">
        <f>J351*(1-J352)</f>
        <v>13479271385.305397</v>
      </c>
      <c r="K74" s="19">
        <f>K351*(1-K352)</f>
        <v>14586534084.818888</v>
      </c>
    </row>
    <row r="75" spans="3:11" ht="15" customHeight="1" x14ac:dyDescent="0.25">
      <c r="C75" s="17" t="s">
        <v>113</v>
      </c>
      <c r="D75" s="10">
        <v>170265786</v>
      </c>
      <c r="E75" s="10">
        <v>71886184</v>
      </c>
      <c r="F75" s="10">
        <v>44846323</v>
      </c>
      <c r="G75" s="19">
        <f t="shared" ref="G75:K77" si="20">F75</f>
        <v>44846323</v>
      </c>
      <c r="H75" s="19">
        <f t="shared" si="20"/>
        <v>44846323</v>
      </c>
      <c r="I75" s="19">
        <f t="shared" si="20"/>
        <v>44846323</v>
      </c>
      <c r="J75" s="19">
        <f t="shared" si="20"/>
        <v>44846323</v>
      </c>
      <c r="K75" s="19">
        <f t="shared" si="20"/>
        <v>44846323</v>
      </c>
    </row>
    <row r="76" spans="3:11" ht="15" customHeight="1" x14ac:dyDescent="0.25">
      <c r="C76" s="17" t="s">
        <v>114</v>
      </c>
      <c r="D76" s="10">
        <v>15758360</v>
      </c>
      <c r="E76" s="10">
        <v>102541502</v>
      </c>
      <c r="F76" s="10">
        <v>250000</v>
      </c>
      <c r="G76" s="19">
        <f t="shared" si="20"/>
        <v>250000</v>
      </c>
      <c r="H76" s="19">
        <f t="shared" si="20"/>
        <v>250000</v>
      </c>
      <c r="I76" s="19">
        <f t="shared" si="20"/>
        <v>250000</v>
      </c>
      <c r="J76" s="19">
        <f t="shared" si="20"/>
        <v>250000</v>
      </c>
      <c r="K76" s="19">
        <f t="shared" si="20"/>
        <v>250000</v>
      </c>
    </row>
    <row r="77" spans="3:11" ht="15" customHeight="1" x14ac:dyDescent="0.25">
      <c r="C77" s="17" t="s">
        <v>115</v>
      </c>
      <c r="D77" s="10">
        <v>31145974</v>
      </c>
      <c r="E77" s="10">
        <v>4520746</v>
      </c>
      <c r="F77" s="10">
        <v>80330794</v>
      </c>
      <c r="G77" s="19">
        <f t="shared" si="20"/>
        <v>80330794</v>
      </c>
      <c r="H77" s="19">
        <f t="shared" si="20"/>
        <v>80330794</v>
      </c>
      <c r="I77" s="19">
        <f t="shared" si="20"/>
        <v>80330794</v>
      </c>
      <c r="J77" s="19">
        <f t="shared" si="20"/>
        <v>80330794</v>
      </c>
      <c r="K77" s="19">
        <f t="shared" si="20"/>
        <v>80330794</v>
      </c>
    </row>
    <row r="78" spans="3:11" ht="15" customHeight="1" x14ac:dyDescent="0.25">
      <c r="C78" s="11" t="s">
        <v>116</v>
      </c>
      <c r="D78" s="12">
        <f t="shared" ref="D78:K78" si="21">SUM(D70:D77)</f>
        <v>8625869491</v>
      </c>
      <c r="E78" s="12">
        <f t="shared" si="21"/>
        <v>11249961652</v>
      </c>
      <c r="F78" s="12">
        <f t="shared" si="21"/>
        <v>11840596927</v>
      </c>
      <c r="G78" s="12">
        <f t="shared" si="21"/>
        <v>13555961414.778612</v>
      </c>
      <c r="H78" s="12">
        <f t="shared" si="21"/>
        <v>15334666187.594799</v>
      </c>
      <c r="I78" s="12">
        <f t="shared" si="21"/>
        <v>17083649194.749155</v>
      </c>
      <c r="J78" s="12">
        <f t="shared" si="21"/>
        <v>18723857837.863064</v>
      </c>
      <c r="K78" s="12">
        <f t="shared" si="21"/>
        <v>20387770779.964382</v>
      </c>
    </row>
    <row r="79" spans="3:11" ht="15" customHeight="1" x14ac:dyDescent="0.25">
      <c r="E79" s="19"/>
      <c r="F79" s="19"/>
      <c r="G79" s="19"/>
      <c r="H79" s="19"/>
      <c r="I79" s="19"/>
      <c r="J79" s="19"/>
      <c r="K79" s="19"/>
    </row>
    <row r="80" spans="3:11" ht="15" customHeight="1" x14ac:dyDescent="0.25">
      <c r="C80" s="13" t="s">
        <v>117</v>
      </c>
      <c r="D80" s="14">
        <f t="shared" ref="D80:K80" si="22">D67+D78</f>
        <v>24017976920</v>
      </c>
      <c r="E80" s="14">
        <f t="shared" si="22"/>
        <v>33780800900</v>
      </c>
      <c r="F80" s="14">
        <f t="shared" si="22"/>
        <v>41334187181</v>
      </c>
      <c r="G80" s="14">
        <f t="shared" ca="1" si="22"/>
        <v>44735419438.889328</v>
      </c>
      <c r="H80" s="14">
        <f t="shared" ca="1" si="22"/>
        <v>50049504479.092072</v>
      </c>
      <c r="I80" s="14">
        <f t="shared" ca="1" si="22"/>
        <v>55228548037.015503</v>
      </c>
      <c r="J80" s="14">
        <f t="shared" ca="1" si="22"/>
        <v>59948501903.324081</v>
      </c>
      <c r="K80" s="14">
        <f t="shared" ca="1" si="22"/>
        <v>64761021303.646744</v>
      </c>
    </row>
    <row r="81" spans="3:12" ht="15" customHeight="1" x14ac:dyDescent="0.25">
      <c r="E81" s="18"/>
      <c r="F81" s="18"/>
      <c r="G81" s="18"/>
      <c r="H81" s="18"/>
      <c r="I81" s="18"/>
      <c r="J81" s="18"/>
      <c r="K81" s="18"/>
    </row>
    <row r="82" spans="3:12" s="35" customFormat="1" ht="15" customHeight="1" x14ac:dyDescent="0.25">
      <c r="C82" s="44" t="s">
        <v>118</v>
      </c>
      <c r="D82" s="97"/>
      <c r="E82" s="46"/>
      <c r="F82" s="46"/>
      <c r="G82" s="80"/>
      <c r="H82" s="80"/>
      <c r="I82" s="80"/>
      <c r="J82" s="80"/>
      <c r="K82" s="80"/>
    </row>
    <row r="83" spans="3:12" ht="15" customHeight="1" x14ac:dyDescent="0.25">
      <c r="E83" s="18"/>
      <c r="F83" s="18"/>
      <c r="G83" s="18"/>
      <c r="H83" s="18"/>
      <c r="I83" s="18"/>
      <c r="J83" s="18"/>
      <c r="K83" s="18"/>
    </row>
    <row r="84" spans="3:12" ht="15" customHeight="1" x14ac:dyDescent="0.25">
      <c r="C84" s="13" t="s">
        <v>119</v>
      </c>
      <c r="E84" s="18"/>
      <c r="F84" s="18"/>
      <c r="G84" s="18"/>
      <c r="H84" s="18"/>
      <c r="I84" s="18"/>
      <c r="J84" s="18"/>
      <c r="K84" s="18"/>
    </row>
    <row r="85" spans="3:12" ht="15" customHeight="1" x14ac:dyDescent="0.25">
      <c r="C85" s="17" t="s">
        <v>120</v>
      </c>
      <c r="D85" s="10">
        <v>7407591557</v>
      </c>
      <c r="E85" s="10">
        <v>9800560393</v>
      </c>
      <c r="F85" s="10">
        <v>9471234839</v>
      </c>
      <c r="G85" s="19">
        <f ca="1">G315*G320</f>
        <v>10887344320.429308</v>
      </c>
      <c r="H85" s="19">
        <f ca="1">H315*H320</f>
        <v>11874504272.353569</v>
      </c>
      <c r="I85" s="19">
        <f ca="1">I315*I320</f>
        <v>12838050769.602369</v>
      </c>
      <c r="J85" s="19">
        <f ca="1">J315*J320</f>
        <v>13318885134.395563</v>
      </c>
      <c r="K85" s="19">
        <f ca="1">K315*K320</f>
        <v>13617988448.425213</v>
      </c>
    </row>
    <row r="86" spans="3:12" ht="15" customHeight="1" x14ac:dyDescent="0.25">
      <c r="C86" s="17" t="s">
        <v>121</v>
      </c>
      <c r="D86" s="10">
        <v>0</v>
      </c>
      <c r="E86" s="10">
        <v>0</v>
      </c>
      <c r="F86" s="10">
        <v>2088918458</v>
      </c>
      <c r="G86" s="19">
        <f>-H310</f>
        <v>0</v>
      </c>
      <c r="H86" s="19">
        <f>-I310</f>
        <v>400231712</v>
      </c>
      <c r="I86" s="19">
        <f>-J310</f>
        <v>0</v>
      </c>
      <c r="J86" s="19">
        <f>-K310</f>
        <v>0</v>
      </c>
      <c r="K86" s="19">
        <v>0</v>
      </c>
    </row>
    <row r="87" spans="3:12" ht="15" customHeight="1" x14ac:dyDescent="0.25">
      <c r="C87" s="17" t="s">
        <v>122</v>
      </c>
      <c r="D87" s="10">
        <v>676644242</v>
      </c>
      <c r="E87" s="10">
        <v>573792626</v>
      </c>
      <c r="F87" s="10">
        <v>867166386</v>
      </c>
      <c r="G87" s="19">
        <f ca="1">-G32*(F87/-F32)</f>
        <v>788617127.436391</v>
      </c>
      <c r="H87" s="19">
        <f ca="1">-H32*(G87/-G32)</f>
        <v>973818059.13803124</v>
      </c>
      <c r="I87" s="19">
        <f ca="1">-I32*(H87/-H32)</f>
        <v>1137208302.5449252</v>
      </c>
      <c r="J87" s="19">
        <f ca="1">-J32*(I87/-I32)</f>
        <v>1310078451.8101993</v>
      </c>
      <c r="K87" s="19">
        <f ca="1">-K32*(J87/-J32)</f>
        <v>1530855373.5788612</v>
      </c>
    </row>
    <row r="88" spans="3:12" ht="15" customHeight="1" x14ac:dyDescent="0.25">
      <c r="C88" s="17" t="s">
        <v>123</v>
      </c>
      <c r="D88" s="10">
        <v>689469467</v>
      </c>
      <c r="E88" s="10">
        <v>2204044294</v>
      </c>
      <c r="F88" s="10">
        <v>2175502934</v>
      </c>
      <c r="G88" s="19">
        <f t="shared" ref="G88:K89" si="23">G213</f>
        <v>2266674232.730916</v>
      </c>
      <c r="H88" s="19">
        <f t="shared" si="23"/>
        <v>2511424216.321372</v>
      </c>
      <c r="I88" s="19">
        <f t="shared" si="23"/>
        <v>2749087773.3823247</v>
      </c>
      <c r="J88" s="19">
        <f t="shared" si="23"/>
        <v>2967004556.646131</v>
      </c>
      <c r="K88" s="19">
        <f t="shared" si="23"/>
        <v>3192347697.5190444</v>
      </c>
    </row>
    <row r="89" spans="3:12" ht="15" customHeight="1" x14ac:dyDescent="0.25">
      <c r="C89" s="17" t="s">
        <v>124</v>
      </c>
      <c r="D89" s="10">
        <v>31158839</v>
      </c>
      <c r="E89" s="10">
        <v>54652516</v>
      </c>
      <c r="F89" s="10">
        <v>769019145</v>
      </c>
      <c r="G89" s="19">
        <f t="shared" si="23"/>
        <v>769019145</v>
      </c>
      <c r="H89" s="19">
        <f t="shared" si="23"/>
        <v>769019145</v>
      </c>
      <c r="I89" s="19">
        <f t="shared" si="23"/>
        <v>769019145</v>
      </c>
      <c r="J89" s="19">
        <f t="shared" si="23"/>
        <v>769019145</v>
      </c>
      <c r="K89" s="19">
        <f t="shared" si="23"/>
        <v>769019145</v>
      </c>
    </row>
    <row r="90" spans="3:12" ht="15" customHeight="1" x14ac:dyDescent="0.25">
      <c r="C90" s="17" t="s">
        <v>125</v>
      </c>
      <c r="D90" s="10">
        <v>164022527</v>
      </c>
      <c r="E90" s="10">
        <v>297497553</v>
      </c>
      <c r="F90" s="10">
        <v>327708311</v>
      </c>
      <c r="G90" s="19">
        <f>G266*G267</f>
        <v>358492632.59101754</v>
      </c>
      <c r="H90" s="19">
        <f>H266*H267</f>
        <v>393778439.46687591</v>
      </c>
      <c r="I90" s="19">
        <f>I266*I267</f>
        <v>432855402.3256762</v>
      </c>
      <c r="J90" s="19">
        <f>J266*J267</f>
        <v>474579133.50143486</v>
      </c>
      <c r="K90" s="19">
        <f>K266*K267</f>
        <v>518650453.02844107</v>
      </c>
    </row>
    <row r="91" spans="3:12" ht="15" customHeight="1" x14ac:dyDescent="0.25">
      <c r="C91" s="17" t="s">
        <v>126</v>
      </c>
      <c r="D91" s="10">
        <v>40679260</v>
      </c>
      <c r="E91" s="10">
        <v>36236199</v>
      </c>
      <c r="F91" s="10">
        <v>23523312</v>
      </c>
      <c r="G91" s="19">
        <f>F91</f>
        <v>23523312</v>
      </c>
      <c r="H91" s="19">
        <f>G91</f>
        <v>23523312</v>
      </c>
      <c r="I91" s="19">
        <f>H91</f>
        <v>23523312</v>
      </c>
      <c r="J91" s="19">
        <f>I91</f>
        <v>23523312</v>
      </c>
      <c r="K91" s="19">
        <f>J91</f>
        <v>23523312</v>
      </c>
    </row>
    <row r="92" spans="3:12" ht="15" customHeight="1" x14ac:dyDescent="0.25">
      <c r="C92" s="11" t="s">
        <v>127</v>
      </c>
      <c r="D92" s="12">
        <f t="shared" ref="D92:K92" si="24">SUM(D85:D91)</f>
        <v>9009565892</v>
      </c>
      <c r="E92" s="12">
        <f t="shared" si="24"/>
        <v>12966783581</v>
      </c>
      <c r="F92" s="12">
        <f t="shared" si="24"/>
        <v>15723073385</v>
      </c>
      <c r="G92" s="12">
        <f t="shared" ca="1" si="24"/>
        <v>15093670770.187632</v>
      </c>
      <c r="H92" s="12">
        <f t="shared" ca="1" si="24"/>
        <v>16946299156.279848</v>
      </c>
      <c r="I92" s="12">
        <f t="shared" ca="1" si="24"/>
        <v>17949744704.855293</v>
      </c>
      <c r="J92" s="12">
        <f t="shared" ca="1" si="24"/>
        <v>18863089733.353329</v>
      </c>
      <c r="K92" s="12">
        <f t="shared" ca="1" si="24"/>
        <v>19652384429.551559</v>
      </c>
      <c r="L92" s="18"/>
    </row>
    <row r="93" spans="3:12" ht="15" customHeight="1" x14ac:dyDescent="0.25">
      <c r="D93" s="107"/>
      <c r="E93" s="107"/>
      <c r="F93" s="107"/>
      <c r="G93" s="108"/>
      <c r="H93" s="108"/>
      <c r="I93" s="108"/>
      <c r="J93" s="108"/>
      <c r="K93" s="108"/>
    </row>
    <row r="94" spans="3:12" ht="15" customHeight="1" x14ac:dyDescent="0.25">
      <c r="C94" s="13" t="s">
        <v>128</v>
      </c>
      <c r="E94" s="18"/>
      <c r="F94" s="18"/>
      <c r="G94" s="18"/>
      <c r="H94" s="18"/>
      <c r="I94" s="18"/>
      <c r="J94" s="18"/>
      <c r="K94" s="18"/>
    </row>
    <row r="95" spans="3:12" ht="15" customHeight="1" x14ac:dyDescent="0.25">
      <c r="C95" s="17" t="s">
        <v>120</v>
      </c>
      <c r="D95" s="10">
        <v>7048011003</v>
      </c>
      <c r="E95" s="10">
        <v>10063644798</v>
      </c>
      <c r="F95" s="10">
        <v>14734188615</v>
      </c>
      <c r="G95" s="19">
        <f ca="1">G315*(1-G320)</f>
        <v>16937198523.797941</v>
      </c>
      <c r="H95" s="19">
        <f ca="1">H315*(1-H320)</f>
        <v>18472901224.879112</v>
      </c>
      <c r="I95" s="19">
        <f ca="1">I315*(1-I320)</f>
        <v>19971869001.638977</v>
      </c>
      <c r="J95" s="19">
        <f ca="1">J315*(1-J320)</f>
        <v>20719892289.401176</v>
      </c>
      <c r="K95" s="19">
        <f ca="1">K315*(1-K320)</f>
        <v>21185200638.227814</v>
      </c>
    </row>
    <row r="96" spans="3:12" ht="15" customHeight="1" x14ac:dyDescent="0.25">
      <c r="C96" s="17" t="s">
        <v>121</v>
      </c>
      <c r="D96" s="10">
        <v>0</v>
      </c>
      <c r="E96" s="10">
        <v>0</v>
      </c>
      <c r="F96" s="10">
        <v>400231712</v>
      </c>
      <c r="G96" s="19">
        <f>G311-G86</f>
        <v>400231712</v>
      </c>
      <c r="H96" s="19">
        <f>H311-H86</f>
        <v>0</v>
      </c>
      <c r="I96" s="19">
        <f>I311-I86</f>
        <v>0</v>
      </c>
      <c r="J96" s="19">
        <f>J311-J86</f>
        <v>0</v>
      </c>
      <c r="K96" s="19">
        <f>K311-K86</f>
        <v>0</v>
      </c>
    </row>
    <row r="97" spans="3:11" ht="15" customHeight="1" x14ac:dyDescent="0.25">
      <c r="C97" s="17" t="s">
        <v>129</v>
      </c>
      <c r="D97" s="10">
        <v>62631706</v>
      </c>
      <c r="E97" s="10">
        <v>522257236</v>
      </c>
      <c r="F97" s="10">
        <v>0</v>
      </c>
      <c r="G97" s="19">
        <f>F97</f>
        <v>0</v>
      </c>
      <c r="H97" s="19">
        <f>G97</f>
        <v>0</v>
      </c>
      <c r="I97" s="19">
        <f>H97</f>
        <v>0</v>
      </c>
      <c r="J97" s="19">
        <f>I97</f>
        <v>0</v>
      </c>
      <c r="K97" s="19">
        <f>J97</f>
        <v>0</v>
      </c>
    </row>
    <row r="98" spans="3:11" ht="15" customHeight="1" x14ac:dyDescent="0.25">
      <c r="C98" s="17" t="s">
        <v>130</v>
      </c>
      <c r="D98" s="10">
        <v>648058235</v>
      </c>
      <c r="E98" s="10">
        <v>1011543092</v>
      </c>
      <c r="F98" s="10">
        <v>684542469</v>
      </c>
      <c r="G98" s="19">
        <f>F98-G392</f>
        <v>684542469</v>
      </c>
      <c r="H98" s="19">
        <f>G98-H392</f>
        <v>684542469</v>
      </c>
      <c r="I98" s="19">
        <f>H98-I392</f>
        <v>684542469</v>
      </c>
      <c r="J98" s="19">
        <f>I98-J392</f>
        <v>684542469</v>
      </c>
      <c r="K98" s="19">
        <f>J98-K392</f>
        <v>684542469</v>
      </c>
    </row>
    <row r="99" spans="3:11" ht="15" customHeight="1" x14ac:dyDescent="0.25">
      <c r="C99" s="17" t="s">
        <v>125</v>
      </c>
      <c r="D99" s="10">
        <v>665607751</v>
      </c>
      <c r="E99" s="10">
        <v>609854223</v>
      </c>
      <c r="F99" s="10">
        <v>681951590</v>
      </c>
      <c r="G99" s="19">
        <f>G266*(1-G267)</f>
        <v>746012879.72440314</v>
      </c>
      <c r="H99" s="19">
        <f>H266*(1-H267)</f>
        <v>819441631.13444757</v>
      </c>
      <c r="I99" s="19">
        <f>I266*(1-I267)</f>
        <v>900759669.33925164</v>
      </c>
      <c r="J99" s="19">
        <f>J266*(1-J267)</f>
        <v>987585556.44969845</v>
      </c>
      <c r="K99" s="19">
        <f>K266*(1-K267)</f>
        <v>1079296707.5435746</v>
      </c>
    </row>
    <row r="100" spans="3:11" ht="15" customHeight="1" x14ac:dyDescent="0.25">
      <c r="C100" s="11" t="s">
        <v>131</v>
      </c>
      <c r="D100" s="12">
        <f t="shared" ref="D100:K100" si="25">SUM(D95:D99)</f>
        <v>8424308695</v>
      </c>
      <c r="E100" s="12">
        <f t="shared" si="25"/>
        <v>12207299349</v>
      </c>
      <c r="F100" s="12">
        <f t="shared" si="25"/>
        <v>16500914386</v>
      </c>
      <c r="G100" s="12">
        <f t="shared" ca="1" si="25"/>
        <v>18767985584.522346</v>
      </c>
      <c r="H100" s="12">
        <f t="shared" ca="1" si="25"/>
        <v>19976885325.013561</v>
      </c>
      <c r="I100" s="12">
        <f t="shared" ca="1" si="25"/>
        <v>21557171139.97823</v>
      </c>
      <c r="J100" s="12">
        <f t="shared" ca="1" si="25"/>
        <v>22392020314.850876</v>
      </c>
      <c r="K100" s="12">
        <f t="shared" ca="1" si="25"/>
        <v>22949039814.771389</v>
      </c>
    </row>
    <row r="101" spans="3:11" ht="15" customHeight="1" x14ac:dyDescent="0.25">
      <c r="D101" s="1"/>
      <c r="E101" s="1"/>
      <c r="F101" s="1"/>
      <c r="G101" s="77"/>
      <c r="H101" s="77"/>
      <c r="I101" s="77"/>
      <c r="J101" s="77"/>
      <c r="K101" s="77"/>
    </row>
    <row r="102" spans="3:11" ht="15" customHeight="1" x14ac:dyDescent="0.25">
      <c r="C102" s="13" t="s">
        <v>132</v>
      </c>
      <c r="D102" s="25">
        <f t="shared" ref="D102:K102" si="26">D92+D100</f>
        <v>17433874587</v>
      </c>
      <c r="E102" s="25">
        <f t="shared" si="26"/>
        <v>25174082930</v>
      </c>
      <c r="F102" s="25">
        <f t="shared" si="26"/>
        <v>32223987771</v>
      </c>
      <c r="G102" s="25">
        <f t="shared" ca="1" si="26"/>
        <v>33861656354.709976</v>
      </c>
      <c r="H102" s="25">
        <f t="shared" ca="1" si="26"/>
        <v>36923184481.293411</v>
      </c>
      <c r="I102" s="25">
        <f t="shared" ca="1" si="26"/>
        <v>39506915844.833527</v>
      </c>
      <c r="J102" s="25">
        <f t="shared" ca="1" si="26"/>
        <v>41255110048.204208</v>
      </c>
      <c r="K102" s="25">
        <f t="shared" ca="1" si="26"/>
        <v>42601424244.322952</v>
      </c>
    </row>
    <row r="103" spans="3:11" ht="15" customHeight="1" x14ac:dyDescent="0.25">
      <c r="E103" s="18"/>
      <c r="F103" s="18"/>
      <c r="G103" s="18"/>
      <c r="H103" s="18"/>
      <c r="I103" s="18"/>
      <c r="J103" s="18"/>
      <c r="K103" s="18"/>
    </row>
    <row r="104" spans="3:11" ht="15" customHeight="1" x14ac:dyDescent="0.25">
      <c r="C104" s="13" t="s">
        <v>133</v>
      </c>
      <c r="E104" s="18"/>
      <c r="F104" s="18"/>
      <c r="G104" s="18"/>
      <c r="H104" s="18"/>
      <c r="I104" s="18"/>
      <c r="J104" s="18"/>
      <c r="K104" s="18"/>
    </row>
    <row r="105" spans="3:11" ht="15" customHeight="1" x14ac:dyDescent="0.25">
      <c r="C105" s="17" t="s">
        <v>134</v>
      </c>
      <c r="D105" s="10">
        <v>160000000</v>
      </c>
      <c r="E105" s="10">
        <v>160000000</v>
      </c>
      <c r="F105" s="10">
        <v>160000000</v>
      </c>
      <c r="G105" s="19">
        <f>F105+G396</f>
        <v>160000000</v>
      </c>
      <c r="H105" s="19">
        <f>G105+H396</f>
        <v>160000000</v>
      </c>
      <c r="I105" s="19">
        <f>H105+I396</f>
        <v>160000000</v>
      </c>
      <c r="J105" s="19">
        <f>I105+J396</f>
        <v>160000000</v>
      </c>
      <c r="K105" s="19">
        <f>J105+K396</f>
        <v>160000000</v>
      </c>
    </row>
    <row r="106" spans="3:11" ht="15" customHeight="1" x14ac:dyDescent="0.25">
      <c r="C106" s="17" t="s">
        <v>135</v>
      </c>
      <c r="D106" s="10">
        <v>262391813</v>
      </c>
      <c r="E106" s="10">
        <v>149782053</v>
      </c>
      <c r="F106" s="10">
        <v>59837164</v>
      </c>
      <c r="G106" s="19">
        <f>F106</f>
        <v>59837164</v>
      </c>
      <c r="H106" s="19">
        <f>G106</f>
        <v>59837164</v>
      </c>
      <c r="I106" s="19">
        <f>H106</f>
        <v>59837164</v>
      </c>
      <c r="J106" s="19">
        <f>I106</f>
        <v>59837164</v>
      </c>
      <c r="K106" s="19">
        <f>J106</f>
        <v>59837164</v>
      </c>
    </row>
    <row r="107" spans="3:11" ht="15" customHeight="1" x14ac:dyDescent="0.25">
      <c r="C107" s="17" t="s">
        <v>136</v>
      </c>
      <c r="D107" s="10">
        <v>2133034809</v>
      </c>
      <c r="E107" s="10">
        <v>3289335086</v>
      </c>
      <c r="F107" s="10">
        <v>2156708544</v>
      </c>
      <c r="G107" s="19">
        <f>F107+G394</f>
        <v>2156708544</v>
      </c>
      <c r="H107" s="19">
        <f>G107+H394</f>
        <v>2156708544</v>
      </c>
      <c r="I107" s="19">
        <f>H107+I394</f>
        <v>2156708544</v>
      </c>
      <c r="J107" s="19">
        <f>I107+J394</f>
        <v>2156708544</v>
      </c>
      <c r="K107" s="19">
        <f>J107+K394</f>
        <v>2156708544</v>
      </c>
    </row>
    <row r="108" spans="3:11" ht="15" customHeight="1" x14ac:dyDescent="0.25">
      <c r="C108" s="17" t="s">
        <v>137</v>
      </c>
      <c r="D108" s="10">
        <v>0</v>
      </c>
      <c r="E108" s="10">
        <v>88829420</v>
      </c>
      <c r="F108" s="10">
        <v>220935594</v>
      </c>
      <c r="G108" s="19">
        <f>F108+G385</f>
        <v>350959727.1817984</v>
      </c>
      <c r="H108" s="19">
        <f>G108+H385</f>
        <v>496040510.5914793</v>
      </c>
      <c r="I108" s="19">
        <f>H108+I385</f>
        <v>655962945.70949447</v>
      </c>
      <c r="J108" s="19">
        <f>I108+J385</f>
        <v>829581546.58386493</v>
      </c>
      <c r="K108" s="19">
        <f>J108+K385</f>
        <v>1016979111.7292109</v>
      </c>
    </row>
    <row r="109" spans="3:11" ht="15" customHeight="1" x14ac:dyDescent="0.25">
      <c r="C109" s="17" t="s">
        <v>138</v>
      </c>
      <c r="D109" s="10">
        <v>3902562714</v>
      </c>
      <c r="E109" s="10">
        <v>4867805658</v>
      </c>
      <c r="F109" s="10">
        <v>6518269201</v>
      </c>
      <c r="G109" s="19">
        <f ca="1">G247</f>
        <v>8151808741.9975529</v>
      </c>
      <c r="H109" s="19">
        <f ca="1">H247</f>
        <v>10259284872.207178</v>
      </c>
      <c r="I109" s="19">
        <f ca="1">I247</f>
        <v>12694674631.472486</v>
      </c>
      <c r="J109" s="19">
        <f ca="1">J247</f>
        <v>15492815693.536009</v>
      </c>
      <c r="K109" s="19">
        <f ca="1">K247</f>
        <v>18771623332.594582</v>
      </c>
    </row>
    <row r="110" spans="3:11" s="13" customFormat="1" ht="15" customHeight="1" x14ac:dyDescent="0.25">
      <c r="C110" s="104" t="s">
        <v>139</v>
      </c>
      <c r="D110" s="56">
        <f t="shared" ref="D110:K110" si="27">SUM(D105:D109)</f>
        <v>6457989336</v>
      </c>
      <c r="E110" s="56">
        <f t="shared" si="27"/>
        <v>8555752217</v>
      </c>
      <c r="F110" s="56">
        <f t="shared" si="27"/>
        <v>9115750503</v>
      </c>
      <c r="G110" s="56">
        <f t="shared" ca="1" si="27"/>
        <v>10879314177.179352</v>
      </c>
      <c r="H110" s="56">
        <f t="shared" ca="1" si="27"/>
        <v>13131871090.798656</v>
      </c>
      <c r="I110" s="56">
        <f t="shared" ca="1" si="27"/>
        <v>15727183285.18198</v>
      </c>
      <c r="J110" s="56">
        <f t="shared" ca="1" si="27"/>
        <v>18698942948.119873</v>
      </c>
      <c r="K110" s="56">
        <f t="shared" ca="1" si="27"/>
        <v>22165148152.323792</v>
      </c>
    </row>
    <row r="111" spans="3:11" ht="15" customHeight="1" x14ac:dyDescent="0.25">
      <c r="C111" s="17" t="s">
        <v>140</v>
      </c>
      <c r="D111" s="10">
        <v>126112997</v>
      </c>
      <c r="E111" s="10">
        <v>50965753</v>
      </c>
      <c r="F111" s="10">
        <v>-5551093</v>
      </c>
      <c r="G111" s="19">
        <f ca="1">G253</f>
        <v>-5551093</v>
      </c>
      <c r="H111" s="19">
        <f ca="1">H253</f>
        <v>-5551093</v>
      </c>
      <c r="I111" s="19">
        <f ca="1">I253</f>
        <v>-5551093</v>
      </c>
      <c r="J111" s="19">
        <f ca="1">J253</f>
        <v>-5551093</v>
      </c>
      <c r="K111" s="19">
        <f ca="1">K253</f>
        <v>-5551093</v>
      </c>
    </row>
    <row r="112" spans="3:11" ht="15" customHeight="1" x14ac:dyDescent="0.25">
      <c r="C112" s="26" t="s">
        <v>141</v>
      </c>
      <c r="D112" s="12">
        <f t="shared" ref="D112:K112" si="28">SUM(D110:D111)</f>
        <v>6584102333</v>
      </c>
      <c r="E112" s="12">
        <f t="shared" si="28"/>
        <v>8606717970</v>
      </c>
      <c r="F112" s="12">
        <f t="shared" si="28"/>
        <v>9110199410</v>
      </c>
      <c r="G112" s="12">
        <f t="shared" ca="1" si="28"/>
        <v>10873763084.179352</v>
      </c>
      <c r="H112" s="12">
        <f t="shared" ca="1" si="28"/>
        <v>13126319997.798656</v>
      </c>
      <c r="I112" s="12">
        <f t="shared" ca="1" si="28"/>
        <v>15721632192.18198</v>
      </c>
      <c r="J112" s="12">
        <f t="shared" ca="1" si="28"/>
        <v>18693391855.119873</v>
      </c>
      <c r="K112" s="12">
        <f t="shared" ca="1" si="28"/>
        <v>22159597059.323792</v>
      </c>
    </row>
    <row r="113" spans="3:11" ht="15" customHeight="1" x14ac:dyDescent="0.25">
      <c r="E113" s="19"/>
      <c r="F113" s="19"/>
      <c r="G113" s="19"/>
      <c r="H113" s="19"/>
      <c r="I113" s="19"/>
      <c r="J113" s="19"/>
      <c r="K113" s="19"/>
    </row>
    <row r="114" spans="3:11" ht="15" customHeight="1" x14ac:dyDescent="0.25">
      <c r="C114" s="13" t="s">
        <v>142</v>
      </c>
      <c r="D114" s="14">
        <f t="shared" ref="D114:K114" si="29">D102+D112</f>
        <v>24017976920</v>
      </c>
      <c r="E114" s="14">
        <f t="shared" si="29"/>
        <v>33780800900</v>
      </c>
      <c r="F114" s="14">
        <f t="shared" si="29"/>
        <v>41334187181</v>
      </c>
      <c r="G114" s="14">
        <f t="shared" ca="1" si="29"/>
        <v>44735419438.889328</v>
      </c>
      <c r="H114" s="14">
        <f t="shared" ca="1" si="29"/>
        <v>50049504479.092072</v>
      </c>
      <c r="I114" s="14">
        <f t="shared" ca="1" si="29"/>
        <v>55228548037.015503</v>
      </c>
      <c r="J114" s="14">
        <f t="shared" ca="1" si="29"/>
        <v>59948501903.324081</v>
      </c>
      <c r="K114" s="14">
        <f t="shared" ca="1" si="29"/>
        <v>64761021303.646744</v>
      </c>
    </row>
    <row r="115" spans="3:11" ht="15" customHeight="1" x14ac:dyDescent="0.25">
      <c r="E115" s="18"/>
      <c r="F115" s="18"/>
      <c r="G115" s="18"/>
      <c r="H115" s="18"/>
      <c r="I115" s="18"/>
      <c r="J115" s="18"/>
      <c r="K115" s="18"/>
    </row>
    <row r="116" spans="3:11" ht="15" customHeight="1" x14ac:dyDescent="0.25">
      <c r="C116" s="6" t="s">
        <v>143</v>
      </c>
      <c r="D116" s="109">
        <f t="shared" ref="D116:K116" si="30">D80-D114</f>
        <v>0</v>
      </c>
      <c r="E116" s="109">
        <f t="shared" si="30"/>
        <v>0</v>
      </c>
      <c r="F116" s="109">
        <f t="shared" si="30"/>
        <v>0</v>
      </c>
      <c r="G116" s="109">
        <f t="shared" ca="1" si="30"/>
        <v>0</v>
      </c>
      <c r="H116" s="109">
        <f t="shared" ca="1" si="30"/>
        <v>0</v>
      </c>
      <c r="I116" s="109">
        <f t="shared" ca="1" si="30"/>
        <v>0</v>
      </c>
      <c r="J116" s="109">
        <f t="shared" ca="1" si="30"/>
        <v>0</v>
      </c>
      <c r="K116" s="59">
        <f t="shared" ca="1" si="30"/>
        <v>0</v>
      </c>
    </row>
    <row r="117" spans="3:11" ht="15" customHeight="1" x14ac:dyDescent="0.25"/>
    <row r="118" spans="3:11" x14ac:dyDescent="0.25">
      <c r="C118" s="38" t="s">
        <v>144</v>
      </c>
      <c r="D118" s="96"/>
      <c r="E118" s="45"/>
      <c r="F118" s="45"/>
      <c r="G118" s="45"/>
      <c r="H118" s="45"/>
      <c r="I118" s="45"/>
      <c r="J118" s="45"/>
      <c r="K118" s="45"/>
    </row>
    <row r="119" spans="3:11" x14ac:dyDescent="0.25">
      <c r="C119" t="s">
        <v>68</v>
      </c>
      <c r="D119" s="40"/>
      <c r="E119" s="40"/>
      <c r="F119" s="41"/>
      <c r="G119" s="41">
        <f>G$13</f>
        <v>2026</v>
      </c>
      <c r="H119" s="41">
        <f>H$13</f>
        <v>2027</v>
      </c>
      <c r="I119" s="41">
        <f>I$13</f>
        <v>2028</v>
      </c>
      <c r="J119" s="41">
        <f>J$13</f>
        <v>2029</v>
      </c>
      <c r="K119" s="41">
        <f>K$13</f>
        <v>2030</v>
      </c>
    </row>
    <row r="120" spans="3:11" x14ac:dyDescent="0.25">
      <c r="C120" s="42" t="s">
        <v>69</v>
      </c>
      <c r="D120" s="98"/>
      <c r="E120" s="43"/>
      <c r="F120" s="86"/>
      <c r="G120" s="86">
        <f>G$14</f>
        <v>46387</v>
      </c>
      <c r="H120" s="86">
        <f>H$14</f>
        <v>46752</v>
      </c>
      <c r="I120" s="86">
        <f>I$14</f>
        <v>47118</v>
      </c>
      <c r="J120" s="86">
        <f>J$14</f>
        <v>47483</v>
      </c>
      <c r="K120" s="86">
        <f>K$14</f>
        <v>47848</v>
      </c>
    </row>
    <row r="121" spans="3:11" ht="15" customHeight="1" x14ac:dyDescent="0.25"/>
    <row r="122" spans="3:11" s="13" customFormat="1" ht="15" customHeight="1" x14ac:dyDescent="0.25">
      <c r="C122" s="17" t="s">
        <v>145</v>
      </c>
      <c r="D122" s="65"/>
      <c r="E122" s="65"/>
      <c r="F122" s="67"/>
      <c r="G122" s="136">
        <f ca="1">G34</f>
        <v>2016855214.1801429</v>
      </c>
      <c r="H122" s="136">
        <f ca="1">H34</f>
        <v>2490498826.2428308</v>
      </c>
      <c r="I122" s="136">
        <f ca="1">I34</f>
        <v>2908362518.1367617</v>
      </c>
      <c r="J122" s="136">
        <f ca="1">J34</f>
        <v>3350470671.5003076</v>
      </c>
      <c r="K122" s="136">
        <f ca="1">K34</f>
        <v>3915098385.4421186</v>
      </c>
    </row>
    <row r="123" spans="3:11" ht="15" customHeight="1" x14ac:dyDescent="0.25">
      <c r="C123" s="17" t="s">
        <v>146</v>
      </c>
      <c r="D123" s="67"/>
      <c r="E123" s="66"/>
      <c r="F123" s="66"/>
      <c r="G123" s="137">
        <f>-G25</f>
        <v>496107368.38002282</v>
      </c>
      <c r="H123" s="137">
        <f>-H25</f>
        <v>591319959.51207829</v>
      </c>
      <c r="I123" s="137">
        <f>-I25</f>
        <v>691470210.71861196</v>
      </c>
      <c r="J123" s="137">
        <f>-J25</f>
        <v>795543539.87674999</v>
      </c>
      <c r="K123" s="137">
        <f>-K25</f>
        <v>901594279.18503463</v>
      </c>
    </row>
    <row r="124" spans="3:11" ht="15" customHeight="1" x14ac:dyDescent="0.25">
      <c r="C124" s="17" t="s">
        <v>147</v>
      </c>
      <c r="D124" s="67"/>
      <c r="E124" s="66"/>
      <c r="F124" s="66"/>
      <c r="G124" s="137">
        <f>G264+G385</f>
        <v>274572663.73931009</v>
      </c>
      <c r="H124" s="137">
        <f>H264+H385</f>
        <v>303207939.53397441</v>
      </c>
      <c r="I124" s="137">
        <f>I264+I385</f>
        <v>333613772.4431982</v>
      </c>
      <c r="J124" s="137">
        <f>J264+J385</f>
        <v>364546356.59447807</v>
      </c>
      <c r="K124" s="137">
        <f>K264+K385</f>
        <v>396729199.64542294</v>
      </c>
    </row>
    <row r="125" spans="3:11" ht="15" customHeight="1" x14ac:dyDescent="0.25">
      <c r="C125" s="17" t="s">
        <v>148</v>
      </c>
      <c r="D125" s="67"/>
      <c r="E125" s="66"/>
      <c r="F125" s="66"/>
      <c r="G125" s="137">
        <f ca="1">G87-F87</f>
        <v>-78549258.563609004</v>
      </c>
      <c r="H125" s="137">
        <f ca="1">H87-G87</f>
        <v>185200931.70164025</v>
      </c>
      <c r="I125" s="137">
        <f ca="1">I87-H87</f>
        <v>163390243.40689397</v>
      </c>
      <c r="J125" s="137">
        <f ca="1">J87-I87</f>
        <v>172870149.26527405</v>
      </c>
      <c r="K125" s="137">
        <f ca="1">K87-J87</f>
        <v>220776921.76866198</v>
      </c>
    </row>
    <row r="126" spans="3:11" ht="15" customHeight="1" x14ac:dyDescent="0.25">
      <c r="C126" s="17" t="s">
        <v>149</v>
      </c>
      <c r="D126" s="66"/>
      <c r="E126" s="66"/>
      <c r="F126" s="66"/>
      <c r="G126" s="137">
        <f>SUM(F65,F74)-SUM(G65,G74)+G391</f>
        <v>-3438916699.8533173</v>
      </c>
      <c r="H126" s="137">
        <f>SUM(G65,G74)-SUM(H65,H74)+H391</f>
        <v>-3557558451.258831</v>
      </c>
      <c r="I126" s="137">
        <f>SUM(H65,H74)-SUM(I65,I74)+I391</f>
        <v>-3428385294.5623665</v>
      </c>
      <c r="J126" s="137">
        <f>SUM(I65,I74)-SUM(J65,J74)+J391</f>
        <v>-3109402800.8909531</v>
      </c>
      <c r="K126" s="137">
        <f>SUM(J65,J74)-SUM(K65,K74)+K391</f>
        <v>-3173994943.8431778</v>
      </c>
    </row>
    <row r="127" spans="3:11" s="13" customFormat="1" ht="15" customHeight="1" x14ac:dyDescent="0.25">
      <c r="C127" s="13" t="s">
        <v>150</v>
      </c>
      <c r="D127" s="65"/>
      <c r="E127" s="65"/>
      <c r="F127" s="65"/>
      <c r="G127" s="138">
        <f ca="1">SUM(G122:G126)</f>
        <v>-729930712.11745024</v>
      </c>
      <c r="H127" s="138">
        <f ca="1">SUM(H122:H126)</f>
        <v>12669205.731692314</v>
      </c>
      <c r="I127" s="138">
        <f ca="1">SUM(I122:I126)</f>
        <v>668451450.14309883</v>
      </c>
      <c r="J127" s="138">
        <f ca="1">SUM(J122:J126)</f>
        <v>1574027916.3458567</v>
      </c>
      <c r="K127" s="138">
        <f ca="1">SUM(K122:K126)</f>
        <v>2260203842.198061</v>
      </c>
    </row>
    <row r="128" spans="3:11" s="13" customFormat="1" ht="15" customHeight="1" x14ac:dyDescent="0.25">
      <c r="D128" s="65"/>
      <c r="E128" s="69"/>
      <c r="F128" s="69"/>
      <c r="G128" s="139"/>
      <c r="H128" s="139"/>
      <c r="I128" s="139"/>
      <c r="J128" s="139"/>
      <c r="K128" s="139"/>
    </row>
    <row r="129" spans="3:11" ht="15" customHeight="1" x14ac:dyDescent="0.25">
      <c r="C129" s="63" t="s">
        <v>151</v>
      </c>
      <c r="D129" s="66"/>
      <c r="E129" s="66"/>
      <c r="F129" s="66"/>
      <c r="G129" s="137"/>
      <c r="H129" s="137"/>
      <c r="I129" s="137"/>
      <c r="J129" s="137"/>
      <c r="K129" s="137"/>
    </row>
    <row r="130" spans="3:11" ht="15" customHeight="1" x14ac:dyDescent="0.25">
      <c r="C130" s="17" t="s">
        <v>152</v>
      </c>
      <c r="D130" s="66"/>
      <c r="E130" s="66"/>
      <c r="F130" s="66"/>
      <c r="G130" s="137">
        <f>G219</f>
        <v>-947632581.47001743</v>
      </c>
      <c r="H130" s="137">
        <f>H219</f>
        <v>-903753178.64832592</v>
      </c>
      <c r="I130" s="137">
        <f>I219</f>
        <v>-843967957.69767952</v>
      </c>
      <c r="J130" s="137">
        <f>J219</f>
        <v>-742290075.26169014</v>
      </c>
      <c r="K130" s="137">
        <f>K219</f>
        <v>-800003621.00119781</v>
      </c>
    </row>
    <row r="131" spans="3:11" s="13" customFormat="1" ht="15" customHeight="1" x14ac:dyDescent="0.25">
      <c r="C131" s="13" t="s">
        <v>153</v>
      </c>
      <c r="D131" s="65"/>
      <c r="E131" s="65"/>
      <c r="F131" s="65"/>
      <c r="G131" s="138">
        <f ca="1">G127+G130</f>
        <v>-1677563293.5874677</v>
      </c>
      <c r="H131" s="138">
        <f ca="1">H127+H130</f>
        <v>-891083972.91663361</v>
      </c>
      <c r="I131" s="138">
        <f ca="1">I127+I130</f>
        <v>-175516507.55458069</v>
      </c>
      <c r="J131" s="138">
        <f ca="1">J127+J130</f>
        <v>831737841.08416653</v>
      </c>
      <c r="K131" s="138">
        <f ca="1">K127+K130</f>
        <v>1460200221.1968632</v>
      </c>
    </row>
    <row r="132" spans="3:11" ht="15" customHeight="1" x14ac:dyDescent="0.25">
      <c r="D132" s="67"/>
      <c r="E132" s="68"/>
      <c r="F132" s="68"/>
      <c r="G132" s="136"/>
      <c r="H132" s="136"/>
      <c r="I132" s="136"/>
      <c r="J132" s="136"/>
      <c r="K132" s="136"/>
    </row>
    <row r="133" spans="3:11" x14ac:dyDescent="0.25">
      <c r="C133" s="82" t="s">
        <v>154</v>
      </c>
      <c r="D133" s="99"/>
      <c r="E133" s="83"/>
      <c r="F133" s="83"/>
      <c r="G133" s="141"/>
      <c r="H133" s="141"/>
      <c r="I133" s="141"/>
      <c r="J133" s="141"/>
      <c r="K133" s="141"/>
    </row>
    <row r="134" spans="3:11" ht="15" customHeight="1" x14ac:dyDescent="0.25">
      <c r="C134" s="17" t="s">
        <v>155</v>
      </c>
      <c r="D134" s="67"/>
      <c r="E134" s="66"/>
      <c r="F134" s="66"/>
      <c r="G134" s="137">
        <f>-G155</f>
        <v>-745933366.38876104</v>
      </c>
      <c r="H134" s="137">
        <f>-H155</f>
        <v>-832311621.84168613</v>
      </c>
      <c r="I134" s="137">
        <f>-I155</f>
        <v>-917456455.73254609</v>
      </c>
      <c r="J134" s="137">
        <f>-J155</f>
        <v>-996029769.61860847</v>
      </c>
      <c r="K134" s="137">
        <f>-K155</f>
        <v>-1075078088.9765866</v>
      </c>
    </row>
    <row r="135" spans="3:11" ht="15" customHeight="1" x14ac:dyDescent="0.25">
      <c r="C135" s="17" t="s">
        <v>156</v>
      </c>
      <c r="D135" s="67"/>
      <c r="E135" s="66"/>
      <c r="F135" s="66"/>
      <c r="G135" s="137">
        <f>-G290</f>
        <v>-38996527.624150865</v>
      </c>
      <c r="H135" s="137">
        <f>-H290</f>
        <v>-43512282.216552898</v>
      </c>
      <c r="I135" s="137">
        <f>-I290</f>
        <v>-47963554.966226585</v>
      </c>
      <c r="J135" s="137">
        <f>-J290</f>
        <v>-52071276.303740785</v>
      </c>
      <c r="K135" s="137">
        <f>-K290</f>
        <v>-56203830.374099292</v>
      </c>
    </row>
    <row r="136" spans="3:11" ht="15" customHeight="1" x14ac:dyDescent="0.25">
      <c r="C136" s="13" t="s">
        <v>157</v>
      </c>
      <c r="D136" s="67"/>
      <c r="E136" s="69"/>
      <c r="F136" s="69"/>
      <c r="G136" s="140">
        <f>SUM(G134:G135)</f>
        <v>-784929894.01291192</v>
      </c>
      <c r="H136" s="140">
        <f>SUM(H134:H135)</f>
        <v>-875823904.05823898</v>
      </c>
      <c r="I136" s="140">
        <f>SUM(I134:I135)</f>
        <v>-965420010.69877267</v>
      </c>
      <c r="J136" s="140">
        <f>SUM(J134:J135)</f>
        <v>-1048101045.9223492</v>
      </c>
      <c r="K136" s="140">
        <f>SUM(K134:K135)</f>
        <v>-1131281919.3506858</v>
      </c>
    </row>
    <row r="137" spans="3:11" ht="15" customHeight="1" x14ac:dyDescent="0.25">
      <c r="D137" s="67"/>
      <c r="E137" s="71"/>
      <c r="F137" s="71"/>
      <c r="G137" s="136"/>
      <c r="H137" s="136"/>
      <c r="I137" s="136"/>
      <c r="J137" s="136"/>
      <c r="K137" s="136"/>
    </row>
    <row r="138" spans="3:11" s="35" customFormat="1" ht="15" customHeight="1" x14ac:dyDescent="0.25">
      <c r="C138" s="44" t="s">
        <v>158</v>
      </c>
      <c r="D138" s="100"/>
      <c r="E138" s="72"/>
      <c r="F138" s="72"/>
      <c r="G138" s="142"/>
      <c r="H138" s="142"/>
      <c r="I138" s="142"/>
      <c r="J138" s="142"/>
      <c r="K138" s="142"/>
    </row>
    <row r="139" spans="3:11" ht="15" customHeight="1" x14ac:dyDescent="0.25">
      <c r="C139" s="17" t="s">
        <v>159</v>
      </c>
      <c r="D139" s="67"/>
      <c r="E139" s="66"/>
      <c r="F139" s="66"/>
      <c r="G139" s="137">
        <f>G246</f>
        <v>-383315673.18259084</v>
      </c>
      <c r="H139" s="137">
        <f ca="1">H246</f>
        <v>-383022696.03320432</v>
      </c>
      <c r="I139" s="137">
        <f ca="1">I246</f>
        <v>-472972758.87145418</v>
      </c>
      <c r="J139" s="137">
        <f ca="1">J246</f>
        <v>-552329609.43678486</v>
      </c>
      <c r="K139" s="137">
        <f ca="1">K246</f>
        <v>-636290746.38354528</v>
      </c>
    </row>
    <row r="140" spans="3:11" ht="15" customHeight="1" x14ac:dyDescent="0.25">
      <c r="C140" s="17" t="s">
        <v>160</v>
      </c>
      <c r="D140" s="67"/>
      <c r="E140" s="66"/>
      <c r="F140" s="66"/>
      <c r="G140" s="137">
        <f>G265</f>
        <v>-276563011.74027944</v>
      </c>
      <c r="H140" s="137">
        <f>H265</f>
        <v>-302542837.11490393</v>
      </c>
      <c r="I140" s="137">
        <f>I265</f>
        <v>-332321602.84560657</v>
      </c>
      <c r="J140" s="137">
        <f>J265</f>
        <v>-365299840.42803043</v>
      </c>
      <c r="K140" s="137">
        <f>K265</f>
        <v>-400511766.30137092</v>
      </c>
    </row>
    <row r="141" spans="3:11" ht="15" customHeight="1" x14ac:dyDescent="0.25">
      <c r="C141" s="17" t="s">
        <v>161</v>
      </c>
      <c r="D141" s="67"/>
      <c r="E141" s="66"/>
      <c r="F141" s="66"/>
      <c r="G141" s="137">
        <f ca="1">G314+G310</f>
        <v>1530200932.2272496</v>
      </c>
      <c r="H141" s="137">
        <f ca="1">H314+H310</f>
        <v>2522862653.005434</v>
      </c>
      <c r="I141" s="137">
        <f ca="1">I314+I310</f>
        <v>2062282562.0086641</v>
      </c>
      <c r="J141" s="137">
        <f ca="1">J314+J310</f>
        <v>1228857652.5553963</v>
      </c>
      <c r="K141" s="137">
        <f ca="1">K314+K310</f>
        <v>764411662.85628676</v>
      </c>
    </row>
    <row r="142" spans="3:11" ht="15" customHeight="1" x14ac:dyDescent="0.25">
      <c r="C142" s="13" t="s">
        <v>162</v>
      </c>
      <c r="D142" s="65"/>
      <c r="E142" s="69"/>
      <c r="F142" s="69"/>
      <c r="G142" s="140">
        <f ca="1">SUM(G139:G141)+G396</f>
        <v>870322247.30437934</v>
      </c>
      <c r="H142" s="140">
        <f ca="1">SUM(H139:H141)+H396</f>
        <v>1837297119.8573258</v>
      </c>
      <c r="I142" s="140">
        <f ca="1">SUM(I139:I141)+I396</f>
        <v>1256988200.2916033</v>
      </c>
      <c r="J142" s="140">
        <f ca="1">SUM(J139:J141)+J396</f>
        <v>311228202.69058108</v>
      </c>
      <c r="K142" s="140">
        <f ca="1">SUM(K139:K141)+K396</f>
        <v>-272390849.82862949</v>
      </c>
    </row>
    <row r="143" spans="3:11" ht="15" customHeight="1" x14ac:dyDescent="0.25">
      <c r="C143" s="13"/>
      <c r="D143" s="65"/>
      <c r="E143" s="69"/>
      <c r="F143" s="69"/>
      <c r="G143" s="140"/>
      <c r="H143" s="140"/>
      <c r="I143" s="140"/>
      <c r="J143" s="140"/>
      <c r="K143" s="140"/>
    </row>
    <row r="144" spans="3:11" ht="15" customHeight="1" x14ac:dyDescent="0.25">
      <c r="C144" s="13" t="s">
        <v>163</v>
      </c>
      <c r="D144" s="65"/>
      <c r="E144" s="69"/>
      <c r="F144" s="69"/>
      <c r="G144" s="140">
        <f ca="1">G131+G136+G142</f>
        <v>-1592170940.296</v>
      </c>
      <c r="H144" s="140">
        <f ca="1">H131+H136+H142</f>
        <v>70389242.882453203</v>
      </c>
      <c r="I144" s="140">
        <f ca="1">I131+I136+I142</f>
        <v>116051682.03824997</v>
      </c>
      <c r="J144" s="140">
        <f ca="1">J131+J136+J142</f>
        <v>94864997.852398396</v>
      </c>
      <c r="K144" s="140">
        <f ca="1">K131+K136+K142</f>
        <v>56527452.017547846</v>
      </c>
    </row>
    <row r="145" spans="3:11" ht="15" customHeight="1" x14ac:dyDescent="0.25">
      <c r="C145" s="6" t="s">
        <v>164</v>
      </c>
      <c r="D145" s="65"/>
      <c r="E145" s="69"/>
      <c r="F145" s="69"/>
      <c r="G145" s="140">
        <f>F66</f>
        <v>3458917393</v>
      </c>
      <c r="H145" s="140">
        <f ca="1">G66</f>
        <v>1866746452.704</v>
      </c>
      <c r="I145" s="140">
        <f ca="1">H66</f>
        <v>1937135695.5864532</v>
      </c>
      <c r="J145" s="140">
        <f ca="1">I66</f>
        <v>2053187377.6247032</v>
      </c>
      <c r="K145" s="140">
        <f ca="1">J66</f>
        <v>2148052375.4771013</v>
      </c>
    </row>
    <row r="146" spans="3:11" ht="15" customHeight="1" x14ac:dyDescent="0.25">
      <c r="C146" s="13" t="s">
        <v>165</v>
      </c>
      <c r="D146" s="67"/>
      <c r="E146" s="69"/>
      <c r="F146" s="69"/>
      <c r="G146" s="140">
        <f ca="1">SUM(G144:G145)</f>
        <v>1866746452.704</v>
      </c>
      <c r="H146" s="140">
        <f ca="1">SUM(H144:H145)</f>
        <v>1937135695.5864532</v>
      </c>
      <c r="I146" s="140">
        <f ca="1">SUM(I144:I145)</f>
        <v>2053187377.6247032</v>
      </c>
      <c r="J146" s="140">
        <f ca="1">SUM(J144:J145)</f>
        <v>2148052375.4771013</v>
      </c>
      <c r="K146" s="140">
        <f ca="1">SUM(K144:K145)</f>
        <v>2204579827.4946489</v>
      </c>
    </row>
    <row r="147" spans="3:11" ht="15" customHeight="1" x14ac:dyDescent="0.25">
      <c r="C147" s="13"/>
      <c r="D147" s="67"/>
      <c r="E147" s="70"/>
      <c r="F147" s="69"/>
      <c r="G147" s="139"/>
      <c r="H147" s="139"/>
      <c r="I147" s="139"/>
      <c r="J147" s="139"/>
      <c r="K147" s="139"/>
    </row>
    <row r="148" spans="3:11" ht="15" customHeight="1" x14ac:dyDescent="0.25">
      <c r="C148" s="13" t="s">
        <v>166</v>
      </c>
      <c r="D148" s="89"/>
      <c r="E148" s="89"/>
      <c r="F148" s="66"/>
      <c r="G148" s="59">
        <f ca="1">G146-G66</f>
        <v>0</v>
      </c>
      <c r="H148" s="59">
        <f ca="1">H146-H66</f>
        <v>0</v>
      </c>
      <c r="I148" s="59">
        <f ca="1">I146-I66</f>
        <v>0</v>
      </c>
      <c r="J148" s="59">
        <f ca="1">J146-J66</f>
        <v>0</v>
      </c>
      <c r="K148" s="59">
        <f ca="1">K146-K66</f>
        <v>0</v>
      </c>
    </row>
    <row r="149" spans="3:11" ht="15" customHeight="1" x14ac:dyDescent="0.25"/>
    <row r="150" spans="3:11" x14ac:dyDescent="0.25">
      <c r="C150" s="38" t="s">
        <v>167</v>
      </c>
      <c r="D150" s="95"/>
      <c r="E150" s="39"/>
      <c r="F150" s="39"/>
      <c r="G150" s="39"/>
      <c r="H150" s="39"/>
      <c r="I150" s="39"/>
      <c r="J150" s="39"/>
      <c r="K150" s="39"/>
    </row>
    <row r="151" spans="3:11" x14ac:dyDescent="0.25">
      <c r="C151" t="s">
        <v>68</v>
      </c>
      <c r="D151" s="40">
        <f t="shared" ref="D151:K151" si="31">D$13</f>
        <v>2023</v>
      </c>
      <c r="E151" s="40">
        <f t="shared" si="31"/>
        <v>2024</v>
      </c>
      <c r="F151" s="40">
        <f t="shared" si="31"/>
        <v>2025</v>
      </c>
      <c r="G151" s="41">
        <f t="shared" si="31"/>
        <v>2026</v>
      </c>
      <c r="H151" s="41">
        <f t="shared" si="31"/>
        <v>2027</v>
      </c>
      <c r="I151" s="41">
        <f t="shared" si="31"/>
        <v>2028</v>
      </c>
      <c r="J151" s="41">
        <f t="shared" si="31"/>
        <v>2029</v>
      </c>
      <c r="K151" s="41">
        <f t="shared" si="31"/>
        <v>2030</v>
      </c>
    </row>
    <row r="152" spans="3:11" x14ac:dyDescent="0.25">
      <c r="C152" s="42" t="s">
        <v>69</v>
      </c>
      <c r="D152" s="86">
        <f t="shared" ref="D152:K152" si="32">D$14</f>
        <v>45291</v>
      </c>
      <c r="E152" s="86">
        <f t="shared" si="32"/>
        <v>45657</v>
      </c>
      <c r="F152" s="86">
        <f t="shared" si="32"/>
        <v>46022</v>
      </c>
      <c r="G152" s="86">
        <f t="shared" si="32"/>
        <v>46387</v>
      </c>
      <c r="H152" s="86">
        <f t="shared" si="32"/>
        <v>46752</v>
      </c>
      <c r="I152" s="86">
        <f t="shared" si="32"/>
        <v>47118</v>
      </c>
      <c r="J152" s="86">
        <f t="shared" si="32"/>
        <v>47483</v>
      </c>
      <c r="K152" s="86">
        <f t="shared" si="32"/>
        <v>47848</v>
      </c>
    </row>
    <row r="153" spans="3:11" ht="15" customHeight="1" x14ac:dyDescent="0.25"/>
    <row r="154" spans="3:11" ht="15" customHeight="1" x14ac:dyDescent="0.25">
      <c r="C154" s="17" t="s">
        <v>168</v>
      </c>
      <c r="D154" s="130"/>
      <c r="E154" s="60">
        <f t="shared" ref="E154:K154" si="33">D157</f>
        <v>890802394</v>
      </c>
      <c r="F154" s="60">
        <f t="shared" si="33"/>
        <v>1215197158</v>
      </c>
      <c r="G154" s="60">
        <f t="shared" si="33"/>
        <v>1852989658</v>
      </c>
      <c r="H154" s="60">
        <f t="shared" si="33"/>
        <v>2357493527.8132992</v>
      </c>
      <c r="I154" s="60">
        <f t="shared" si="33"/>
        <v>2882642898.0241809</v>
      </c>
      <c r="J154" s="60">
        <f t="shared" si="33"/>
        <v>3424514406.1170421</v>
      </c>
      <c r="K154" s="60">
        <f t="shared" si="33"/>
        <v>3974357773.3913298</v>
      </c>
    </row>
    <row r="155" spans="3:11" ht="15" customHeight="1" x14ac:dyDescent="0.25">
      <c r="C155" s="29" t="s">
        <v>169</v>
      </c>
      <c r="D155" s="64">
        <v>361131630</v>
      </c>
      <c r="E155" s="64">
        <f>209545831+237710042</f>
        <v>447255873</v>
      </c>
      <c r="F155" s="64">
        <f>385271086+372606707</f>
        <v>757877793</v>
      </c>
      <c r="G155" s="59">
        <f>G159*G18</f>
        <v>745933366.38876104</v>
      </c>
      <c r="H155" s="59">
        <f>H159*H18</f>
        <v>832311621.84168613</v>
      </c>
      <c r="I155" s="59">
        <f>I159*I18</f>
        <v>917456455.73254609</v>
      </c>
      <c r="J155" s="59">
        <f>J159*J18</f>
        <v>996029769.61860847</v>
      </c>
      <c r="K155" s="59">
        <f>K159*K18</f>
        <v>1075078088.9765866</v>
      </c>
    </row>
    <row r="156" spans="3:11" ht="15" customHeight="1" x14ac:dyDescent="0.25">
      <c r="C156" s="29" t="s">
        <v>170</v>
      </c>
      <c r="D156" s="64">
        <v>75771163</v>
      </c>
      <c r="E156" s="64">
        <v>114610242</v>
      </c>
      <c r="F156" s="64">
        <v>158330316</v>
      </c>
      <c r="G156" s="59">
        <f>G154*G160</f>
        <v>241429496.5754618</v>
      </c>
      <c r="H156" s="59">
        <f>H154*H160</f>
        <v>307162251.63080448</v>
      </c>
      <c r="I156" s="59">
        <f>I154*I160</f>
        <v>375584947.63968527</v>
      </c>
      <c r="J156" s="59">
        <f>J154*J160</f>
        <v>446186402.34432113</v>
      </c>
      <c r="K156" s="59">
        <f>K154*K160</f>
        <v>517826525.52756023</v>
      </c>
    </row>
    <row r="157" spans="3:11" ht="15" customHeight="1" x14ac:dyDescent="0.25">
      <c r="C157" s="16" t="s">
        <v>171</v>
      </c>
      <c r="D157" s="87">
        <f>D70</f>
        <v>890802394</v>
      </c>
      <c r="E157" s="87">
        <f>E70</f>
        <v>1215197158</v>
      </c>
      <c r="F157" s="87">
        <f>F70</f>
        <v>1852989658</v>
      </c>
      <c r="G157" s="87">
        <f>G154+G155-G156</f>
        <v>2357493527.8132992</v>
      </c>
      <c r="H157" s="87">
        <f>H154+H155-H156</f>
        <v>2882642898.0241809</v>
      </c>
      <c r="I157" s="87">
        <f>I154+I155-I156</f>
        <v>3424514406.1170421</v>
      </c>
      <c r="J157" s="87">
        <f>J154+J155-J156</f>
        <v>3974357773.3913298</v>
      </c>
      <c r="K157" s="87">
        <f>K154+K155-K156</f>
        <v>4531609336.8403559</v>
      </c>
    </row>
    <row r="158" spans="3:11" ht="15" customHeight="1" x14ac:dyDescent="0.25">
      <c r="C158" s="13"/>
      <c r="D158" s="10"/>
      <c r="E158" s="56"/>
      <c r="F158" s="56"/>
      <c r="G158" s="57"/>
      <c r="H158" s="57"/>
      <c r="I158" s="57"/>
      <c r="J158" s="57"/>
      <c r="K158" s="57"/>
    </row>
    <row r="159" spans="3:11" ht="15" customHeight="1" x14ac:dyDescent="0.25">
      <c r="C159" s="6" t="s">
        <v>172</v>
      </c>
      <c r="D159" s="22">
        <f>D155/D18</f>
        <v>3.8368809641865606E-2</v>
      </c>
      <c r="E159" s="22">
        <f>E155/E18</f>
        <v>3.3793661888653896E-2</v>
      </c>
      <c r="F159" s="22">
        <f>F155/F18</f>
        <v>3.8256399317297088E-2</v>
      </c>
      <c r="G159" s="1">
        <f t="shared" ref="G159:K160" si="34">F159</f>
        <v>3.8256399317297088E-2</v>
      </c>
      <c r="H159" s="1">
        <f t="shared" si="34"/>
        <v>3.8256399317297088E-2</v>
      </c>
      <c r="I159" s="1">
        <f t="shared" si="34"/>
        <v>3.8256399317297088E-2</v>
      </c>
      <c r="J159" s="1">
        <f t="shared" si="34"/>
        <v>3.8256399317297088E-2</v>
      </c>
      <c r="K159" s="1">
        <f t="shared" si="34"/>
        <v>3.8256399317297088E-2</v>
      </c>
    </row>
    <row r="160" spans="3:11" ht="15" customHeight="1" x14ac:dyDescent="0.25">
      <c r="C160" s="6" t="s">
        <v>173</v>
      </c>
      <c r="D160" s="22"/>
      <c r="E160" s="22">
        <f>E156/E154</f>
        <v>0.12865955768861573</v>
      </c>
      <c r="F160" s="22">
        <f>F156/F154</f>
        <v>0.13029187482678428</v>
      </c>
      <c r="G160" s="77">
        <f t="shared" si="34"/>
        <v>0.13029187482678428</v>
      </c>
      <c r="H160" s="77">
        <f t="shared" si="34"/>
        <v>0.13029187482678428</v>
      </c>
      <c r="I160" s="77">
        <f t="shared" si="34"/>
        <v>0.13029187482678428</v>
      </c>
      <c r="J160" s="77">
        <f t="shared" si="34"/>
        <v>0.13029187482678428</v>
      </c>
      <c r="K160" s="77">
        <f t="shared" si="34"/>
        <v>0.13029187482678428</v>
      </c>
    </row>
    <row r="161" spans="1:11" ht="15" customHeight="1" x14ac:dyDescent="0.25">
      <c r="E161" s="1"/>
      <c r="F161" s="1"/>
      <c r="G161" s="1"/>
      <c r="H161" s="1"/>
      <c r="I161" s="1"/>
      <c r="J161" s="1"/>
      <c r="K161" s="1"/>
    </row>
    <row r="162" spans="1:11" s="35" customFormat="1" ht="15" customHeight="1" x14ac:dyDescent="0.25">
      <c r="C162" s="44" t="s">
        <v>174</v>
      </c>
      <c r="D162" s="46"/>
      <c r="E162" s="46"/>
      <c r="F162" s="46"/>
      <c r="G162" s="46"/>
      <c r="H162" s="46"/>
      <c r="I162" s="46"/>
      <c r="J162" s="46"/>
      <c r="K162" s="46"/>
    </row>
    <row r="163" spans="1:11" s="31" customFormat="1" ht="15" customHeight="1" x14ac:dyDescent="0.25">
      <c r="C163" s="32"/>
      <c r="D163" s="33"/>
      <c r="E163" s="34"/>
      <c r="F163" s="34"/>
      <c r="G163" s="34"/>
      <c r="H163" s="34"/>
      <c r="I163" s="34"/>
      <c r="J163" s="34"/>
      <c r="K163" s="34"/>
    </row>
    <row r="164" spans="1:11" s="31" customFormat="1" ht="15" customHeight="1" x14ac:dyDescent="0.25">
      <c r="C164" s="35" t="s">
        <v>175</v>
      </c>
      <c r="D164" s="171">
        <f t="shared" ref="D164:K164" si="35">ABS(D279+D291)</f>
        <v>72874111</v>
      </c>
      <c r="E164" s="171">
        <f t="shared" si="35"/>
        <v>97413688</v>
      </c>
      <c r="F164" s="171">
        <f t="shared" si="35"/>
        <v>135367092</v>
      </c>
      <c r="G164" s="171">
        <f t="shared" si="35"/>
        <v>254677871.80456102</v>
      </c>
      <c r="H164" s="171">
        <f t="shared" si="35"/>
        <v>284157707.88127381</v>
      </c>
      <c r="I164" s="171">
        <f t="shared" si="35"/>
        <v>315885263.07892668</v>
      </c>
      <c r="J164" s="171">
        <f t="shared" si="35"/>
        <v>349357137.53242892</v>
      </c>
      <c r="K164" s="171">
        <f t="shared" si="35"/>
        <v>383767753.6574744</v>
      </c>
    </row>
    <row r="165" spans="1:11" s="31" customFormat="1" ht="15" customHeight="1" x14ac:dyDescent="0.25">
      <c r="A165" s="32"/>
      <c r="B165" s="32"/>
      <c r="C165" s="24" t="s">
        <v>176</v>
      </c>
      <c r="D165" s="36">
        <f t="shared" ref="D165:K165" si="36">D164/D18</f>
        <v>7.742586526633473E-3</v>
      </c>
      <c r="E165" s="36">
        <f t="shared" si="36"/>
        <v>7.3603622318422213E-3</v>
      </c>
      <c r="F165" s="36">
        <f t="shared" si="36"/>
        <v>6.8331036663232753E-3</v>
      </c>
      <c r="G165" s="36">
        <f t="shared" si="36"/>
        <v>1.3061566622502921E-2</v>
      </c>
      <c r="H165" s="36">
        <f t="shared" si="36"/>
        <v>1.3061034420905409E-2</v>
      </c>
      <c r="I165" s="36">
        <f t="shared" si="36"/>
        <v>1.3171887000509303E-2</v>
      </c>
      <c r="J165" s="36">
        <f t="shared" si="36"/>
        <v>1.3418420378043671E-2</v>
      </c>
      <c r="K165" s="36">
        <f t="shared" si="36"/>
        <v>1.3656284673235658E-2</v>
      </c>
    </row>
    <row r="166" spans="1:11" ht="15" customHeight="1" x14ac:dyDescent="0.25">
      <c r="C166" s="37" t="s">
        <v>177</v>
      </c>
      <c r="D166" s="30">
        <f t="shared" ref="D166:K166" si="37">D156+D164</f>
        <v>148645274</v>
      </c>
      <c r="E166" s="30">
        <f t="shared" si="37"/>
        <v>212023930</v>
      </c>
      <c r="F166" s="30">
        <f t="shared" si="37"/>
        <v>293697408</v>
      </c>
      <c r="G166" s="30">
        <f t="shared" si="37"/>
        <v>496107368.38002282</v>
      </c>
      <c r="H166" s="30">
        <f t="shared" si="37"/>
        <v>591319959.51207829</v>
      </c>
      <c r="I166" s="30">
        <f t="shared" si="37"/>
        <v>691470210.71861196</v>
      </c>
      <c r="J166" s="30">
        <f t="shared" si="37"/>
        <v>795543539.87674999</v>
      </c>
      <c r="K166" s="30">
        <f t="shared" si="37"/>
        <v>901594279.18503463</v>
      </c>
    </row>
    <row r="168" spans="1:11" x14ac:dyDescent="0.25">
      <c r="C168" s="13" t="s">
        <v>178</v>
      </c>
      <c r="D168" s="102"/>
      <c r="E168" s="13"/>
      <c r="F168" s="13"/>
      <c r="G168" s="13"/>
      <c r="H168" s="13"/>
      <c r="I168" s="13"/>
      <c r="J168" s="13"/>
      <c r="K168" s="13"/>
    </row>
    <row r="169" spans="1:11" x14ac:dyDescent="0.25">
      <c r="C169" s="47" t="s">
        <v>68</v>
      </c>
      <c r="D169" s="48">
        <f t="shared" ref="D169:K169" si="38">D$13</f>
        <v>2023</v>
      </c>
      <c r="E169" s="48">
        <f t="shared" si="38"/>
        <v>2024</v>
      </c>
      <c r="F169" s="48">
        <f t="shared" si="38"/>
        <v>2025</v>
      </c>
      <c r="G169" s="49">
        <f t="shared" si="38"/>
        <v>2026</v>
      </c>
      <c r="H169" s="49">
        <f t="shared" si="38"/>
        <v>2027</v>
      </c>
      <c r="I169" s="49">
        <f t="shared" si="38"/>
        <v>2028</v>
      </c>
      <c r="J169" s="49">
        <f t="shared" si="38"/>
        <v>2029</v>
      </c>
      <c r="K169" s="49">
        <f t="shared" si="38"/>
        <v>2030</v>
      </c>
    </row>
    <row r="170" spans="1:11" x14ac:dyDescent="0.25">
      <c r="C170" s="42" t="s">
        <v>69</v>
      </c>
      <c r="D170" s="43">
        <f t="shared" ref="D170:K170" si="39">D$14</f>
        <v>45291</v>
      </c>
      <c r="E170" s="43">
        <f t="shared" si="39"/>
        <v>45657</v>
      </c>
      <c r="F170" s="43">
        <f t="shared" si="39"/>
        <v>46022</v>
      </c>
      <c r="G170" s="43">
        <f t="shared" si="39"/>
        <v>46387</v>
      </c>
      <c r="H170" s="43">
        <f t="shared" si="39"/>
        <v>46752</v>
      </c>
      <c r="I170" s="43">
        <f t="shared" si="39"/>
        <v>47118</v>
      </c>
      <c r="J170" s="43">
        <f t="shared" si="39"/>
        <v>47483</v>
      </c>
      <c r="K170" s="43">
        <f t="shared" si="39"/>
        <v>47848</v>
      </c>
    </row>
    <row r="171" spans="1:11" x14ac:dyDescent="0.25">
      <c r="C171" s="35"/>
      <c r="D171" s="103"/>
      <c r="E171" s="35"/>
      <c r="F171" s="62"/>
      <c r="G171" s="105"/>
      <c r="H171" s="35"/>
    </row>
    <row r="172" spans="1:11" x14ac:dyDescent="0.25">
      <c r="C172" s="17" t="s">
        <v>179</v>
      </c>
      <c r="D172" s="160">
        <v>5297068637</v>
      </c>
      <c r="E172" s="160">
        <v>7537287811</v>
      </c>
      <c r="F172" s="160">
        <v>9892807383</v>
      </c>
      <c r="G172" s="271">
        <f>G359*AVERAGE(F351,G351)</f>
        <v>8967413113.5171394</v>
      </c>
      <c r="H172" s="161">
        <f>H359*AVERAGE(G351,H351)</f>
        <v>10099516715.193161</v>
      </c>
      <c r="I172" s="161">
        <f>I359*AVERAGE(H351,I351)</f>
        <v>11262936942.698179</v>
      </c>
      <c r="J172" s="161">
        <f>J359*AVERAGE(I351,J351)</f>
        <v>12351722537.048508</v>
      </c>
      <c r="K172" s="161">
        <f>K359*AVERAGE(J351,K351)</f>
        <v>13398142648.584028</v>
      </c>
    </row>
    <row r="173" spans="1:11" x14ac:dyDescent="0.25">
      <c r="C173" s="17" t="s">
        <v>180</v>
      </c>
      <c r="D173" s="160">
        <v>2086063819</v>
      </c>
      <c r="E173" s="160">
        <v>2833026225</v>
      </c>
      <c r="F173" s="160">
        <v>2612111917</v>
      </c>
      <c r="G173" s="161">
        <f t="shared" ref="G173:K175" si="40">F173*(1+G183)</f>
        <v>2742717512.8499999</v>
      </c>
      <c r="H173" s="161">
        <f t="shared" si="40"/>
        <v>2879853388.4924998</v>
      </c>
      <c r="I173" s="161">
        <f t="shared" si="40"/>
        <v>3023846057.9171247</v>
      </c>
      <c r="J173" s="161">
        <f t="shared" si="40"/>
        <v>3175038360.8129811</v>
      </c>
      <c r="K173" s="161">
        <f t="shared" si="40"/>
        <v>3333790278.8536305</v>
      </c>
    </row>
    <row r="174" spans="1:11" x14ac:dyDescent="0.25">
      <c r="C174" s="17" t="s">
        <v>181</v>
      </c>
      <c r="D174" s="160">
        <v>223764567</v>
      </c>
      <c r="E174" s="160">
        <v>402319160</v>
      </c>
      <c r="F174" s="160">
        <v>585700925</v>
      </c>
      <c r="G174" s="161">
        <f t="shared" si="40"/>
        <v>732126156.25</v>
      </c>
      <c r="H174" s="161">
        <f t="shared" si="40"/>
        <v>878551387.5</v>
      </c>
      <c r="I174" s="161">
        <f t="shared" si="40"/>
        <v>1010334095.6249999</v>
      </c>
      <c r="J174" s="161">
        <f t="shared" si="40"/>
        <v>1131574187.0999999</v>
      </c>
      <c r="K174" s="161">
        <f t="shared" si="40"/>
        <v>1244731605.8099999</v>
      </c>
    </row>
    <row r="175" spans="1:11" x14ac:dyDescent="0.25">
      <c r="C175" s="17" t="s">
        <v>182</v>
      </c>
      <c r="D175" s="160" t="s">
        <v>183</v>
      </c>
      <c r="E175" s="160" t="s">
        <v>183</v>
      </c>
      <c r="F175" s="160">
        <v>29216196</v>
      </c>
      <c r="G175" s="161">
        <f t="shared" si="40"/>
        <v>33598625.399999999</v>
      </c>
      <c r="H175" s="161">
        <f t="shared" si="40"/>
        <v>37630460.447999999</v>
      </c>
      <c r="I175" s="161">
        <f t="shared" si="40"/>
        <v>41393506.492800005</v>
      </c>
      <c r="J175" s="161">
        <f t="shared" si="40"/>
        <v>44704987.012224011</v>
      </c>
      <c r="K175" s="161">
        <f t="shared" si="40"/>
        <v>48281385.973201938</v>
      </c>
    </row>
    <row r="176" spans="1:11" x14ac:dyDescent="0.25">
      <c r="C176" s="17" t="s">
        <v>71</v>
      </c>
      <c r="D176" s="160">
        <v>1805005316</v>
      </c>
      <c r="E176" s="160">
        <v>2460035446</v>
      </c>
      <c r="F176" s="160">
        <v>6629310932</v>
      </c>
      <c r="G176" s="271">
        <f>-G349*G358</f>
        <v>6958004748.3082905</v>
      </c>
      <c r="H176" s="271">
        <f>-H349*H358</f>
        <v>7792965318.1052856</v>
      </c>
      <c r="I176" s="271">
        <f>-I349*I358</f>
        <v>8572261849.9158144</v>
      </c>
      <c r="J176" s="271">
        <f>-J349*J358</f>
        <v>9258042797.9090824</v>
      </c>
      <c r="K176" s="271">
        <f>-K349*K358</f>
        <v>9998686221.7418098</v>
      </c>
    </row>
    <row r="177" spans="3:11" x14ac:dyDescent="0.25">
      <c r="C177" s="17" t="s">
        <v>184</v>
      </c>
      <c r="D177" s="160">
        <v>212172</v>
      </c>
      <c r="E177" s="160">
        <v>2235420</v>
      </c>
      <c r="F177" s="160">
        <v>61336815</v>
      </c>
      <c r="G177" s="161">
        <f>F177*(1+G187)</f>
        <v>64403655.75</v>
      </c>
      <c r="H177" s="161">
        <f>G177*(1+H187)</f>
        <v>67623838.537500009</v>
      </c>
      <c r="I177" s="161">
        <f>H177*(1+I187)</f>
        <v>71005030.464375019</v>
      </c>
      <c r="J177" s="161">
        <f>I177*(1+J187)</f>
        <v>74555281.98759377</v>
      </c>
      <c r="K177" s="161">
        <f>J177*(1+K187)</f>
        <v>78283046.086973459</v>
      </c>
    </row>
    <row r="178" spans="3:11" x14ac:dyDescent="0.25">
      <c r="C178" s="37" t="s">
        <v>72</v>
      </c>
      <c r="D178" s="162">
        <f t="shared" ref="D178:K178" si="41">SUM(D172:D177)</f>
        <v>9412114511</v>
      </c>
      <c r="E178" s="162">
        <f t="shared" si="41"/>
        <v>13234904062</v>
      </c>
      <c r="F178" s="162">
        <f t="shared" si="41"/>
        <v>19810484168</v>
      </c>
      <c r="G178" s="162">
        <f t="shared" si="41"/>
        <v>19498263812.075432</v>
      </c>
      <c r="H178" s="162">
        <f t="shared" si="41"/>
        <v>21756141108.276443</v>
      </c>
      <c r="I178" s="162">
        <f t="shared" si="41"/>
        <v>23981777483.113293</v>
      </c>
      <c r="J178" s="162">
        <f t="shared" si="41"/>
        <v>26035638151.870392</v>
      </c>
      <c r="K178" s="162">
        <f t="shared" si="41"/>
        <v>28101915187.049644</v>
      </c>
    </row>
    <row r="179" spans="3:11" x14ac:dyDescent="0.25">
      <c r="C179" s="63"/>
      <c r="D179" s="69"/>
      <c r="E179" s="69"/>
      <c r="F179" s="69"/>
      <c r="G179" s="69"/>
      <c r="H179" s="69"/>
      <c r="I179" s="69"/>
      <c r="J179" s="69"/>
      <c r="K179" s="69"/>
    </row>
    <row r="180" spans="3:11" x14ac:dyDescent="0.25">
      <c r="C180" s="6" t="s">
        <v>185</v>
      </c>
      <c r="D180" s="66">
        <f t="shared" ref="D180:K180" si="42">D178-D18</f>
        <v>0</v>
      </c>
      <c r="E180" s="66">
        <f t="shared" si="42"/>
        <v>0</v>
      </c>
      <c r="F180" s="66">
        <f t="shared" si="42"/>
        <v>0</v>
      </c>
      <c r="G180" s="66">
        <f t="shared" si="42"/>
        <v>0</v>
      </c>
      <c r="H180" s="66">
        <f t="shared" si="42"/>
        <v>0</v>
      </c>
      <c r="I180" s="66">
        <f t="shared" si="42"/>
        <v>0</v>
      </c>
      <c r="J180" s="66">
        <f t="shared" si="42"/>
        <v>0</v>
      </c>
      <c r="K180" s="66">
        <f t="shared" si="42"/>
        <v>0</v>
      </c>
    </row>
    <row r="181" spans="3:11" x14ac:dyDescent="0.25">
      <c r="D181" s="66"/>
      <c r="E181" s="66"/>
      <c r="F181" s="66"/>
      <c r="G181" s="66"/>
      <c r="H181" s="66"/>
      <c r="I181" s="66"/>
      <c r="J181" s="66"/>
      <c r="K181" s="66"/>
    </row>
    <row r="182" spans="3:11" x14ac:dyDescent="0.25">
      <c r="C182" s="159" t="str">
        <f t="shared" ref="C182:C187" si="43">C172&amp;" %"</f>
        <v>Interest Income from Financing Activities %</v>
      </c>
      <c r="D182" s="1"/>
      <c r="E182" s="1">
        <f t="shared" ref="E182:K182" si="44">IFERROR(E172/D172-1,"N/A")</f>
        <v>0.42291677293967456</v>
      </c>
      <c r="F182" s="1">
        <f t="shared" si="44"/>
        <v>0.31251554021359373</v>
      </c>
      <c r="G182" s="1">
        <f t="shared" si="44"/>
        <v>-9.3542129514527561E-2</v>
      </c>
      <c r="H182" s="1">
        <f t="shared" si="44"/>
        <v>0.12624639763384282</v>
      </c>
      <c r="I182" s="1">
        <f t="shared" si="44"/>
        <v>0.11519563364401719</v>
      </c>
      <c r="J182" s="1">
        <f t="shared" si="44"/>
        <v>9.6669776266144591E-2</v>
      </c>
      <c r="K182" s="1">
        <f t="shared" si="44"/>
        <v>8.4718557140255113E-2</v>
      </c>
    </row>
    <row r="183" spans="3:11" x14ac:dyDescent="0.25">
      <c r="C183" s="159" t="str">
        <f t="shared" si="43"/>
        <v>Revenue from Trading Activities %</v>
      </c>
      <c r="D183" s="1"/>
      <c r="E183" s="1">
        <f t="shared" ref="E183:F187" si="45">IFERROR(E173/D173-1,"N/A")</f>
        <v>0.35807265300160984</v>
      </c>
      <c r="F183" s="1">
        <f t="shared" si="45"/>
        <v>-7.7978207914400799E-2</v>
      </c>
      <c r="G183" s="77">
        <v>0.05</v>
      </c>
      <c r="H183" s="77">
        <v>0.05</v>
      </c>
      <c r="I183" s="77">
        <v>0.05</v>
      </c>
      <c r="J183" s="77">
        <v>0.05</v>
      </c>
      <c r="K183" s="77">
        <v>0.05</v>
      </c>
    </row>
    <row r="184" spans="3:11" x14ac:dyDescent="0.25">
      <c r="C184" s="159" t="str">
        <f t="shared" si="43"/>
        <v>Commission %</v>
      </c>
      <c r="D184" s="1"/>
      <c r="E184" s="1">
        <f t="shared" si="45"/>
        <v>0.79795740404243709</v>
      </c>
      <c r="F184" s="1">
        <f t="shared" si="45"/>
        <v>0.45581166206451607</v>
      </c>
      <c r="G184" s="77">
        <v>0.25</v>
      </c>
      <c r="H184" s="77">
        <v>0.2</v>
      </c>
      <c r="I184" s="77">
        <v>0.15</v>
      </c>
      <c r="J184" s="77">
        <v>0.12</v>
      </c>
      <c r="K184" s="77">
        <v>0.1</v>
      </c>
    </row>
    <row r="185" spans="3:11" x14ac:dyDescent="0.25">
      <c r="C185" s="159" t="str">
        <f t="shared" si="43"/>
        <v>Revenue from electronic payment %</v>
      </c>
      <c r="D185" s="1"/>
      <c r="E185" s="169" t="str">
        <f t="shared" si="45"/>
        <v>N/A</v>
      </c>
      <c r="F185" s="169" t="str">
        <f t="shared" si="45"/>
        <v>N/A</v>
      </c>
      <c r="G185" s="74">
        <v>0.15</v>
      </c>
      <c r="H185" s="74">
        <v>0.12</v>
      </c>
      <c r="I185" s="74">
        <v>0.1</v>
      </c>
      <c r="J185" s="74">
        <v>0.08</v>
      </c>
      <c r="K185" s="74">
        <v>0.08</v>
      </c>
    </row>
    <row r="186" spans="3:11" x14ac:dyDescent="0.25">
      <c r="C186" s="159" t="str">
        <f t="shared" si="43"/>
        <v>Securitization income %</v>
      </c>
      <c r="D186" s="1"/>
      <c r="E186" s="1">
        <f t="shared" si="45"/>
        <v>0.36289651016185709</v>
      </c>
      <c r="F186" s="1">
        <f t="shared" si="45"/>
        <v>1.6948030130131708</v>
      </c>
      <c r="G186" s="1">
        <f>IFERROR(G176/F176-1,"N/A")</f>
        <v>4.9581897678334874E-2</v>
      </c>
      <c r="H186" s="1">
        <f>IFERROR(H176/G176-1,"N/A")</f>
        <v>0.12000000000000011</v>
      </c>
      <c r="I186" s="1">
        <f>IFERROR(I176/H176-1,"N/A")</f>
        <v>0.10000000000000009</v>
      </c>
      <c r="J186" s="1">
        <f>IFERROR(J176/I176-1,"N/A")</f>
        <v>8.0000000000000293E-2</v>
      </c>
      <c r="K186" s="1">
        <f>IFERROR(K176/J176-1,"N/A")</f>
        <v>8.0000000000000071E-2</v>
      </c>
    </row>
    <row r="187" spans="3:11" x14ac:dyDescent="0.25">
      <c r="C187" s="159" t="str">
        <f t="shared" si="43"/>
        <v>Other revenue %</v>
      </c>
      <c r="D187" s="1"/>
      <c r="E187" s="1">
        <f t="shared" si="45"/>
        <v>9.5358859792998132</v>
      </c>
      <c r="F187" s="1">
        <f t="shared" si="45"/>
        <v>26.438608852027805</v>
      </c>
      <c r="G187" s="77">
        <v>0.05</v>
      </c>
      <c r="H187" s="77">
        <v>0.05</v>
      </c>
      <c r="I187" s="77">
        <v>0.05</v>
      </c>
      <c r="J187" s="77">
        <v>0.05</v>
      </c>
      <c r="K187" s="77">
        <v>0.05</v>
      </c>
    </row>
    <row r="188" spans="3:11" x14ac:dyDescent="0.25">
      <c r="C188" s="85"/>
      <c r="D188" s="7"/>
      <c r="E188" s="1"/>
      <c r="F188" s="1"/>
      <c r="G188" s="1"/>
      <c r="H188" s="1"/>
      <c r="I188" s="1"/>
      <c r="J188" s="1"/>
      <c r="K188" s="1"/>
    </row>
    <row r="189" spans="3:11" x14ac:dyDescent="0.25">
      <c r="C189" s="13" t="s">
        <v>186</v>
      </c>
      <c r="D189" s="102"/>
      <c r="E189" s="13"/>
      <c r="F189" s="13"/>
      <c r="G189" s="13"/>
      <c r="H189" s="13"/>
      <c r="I189" s="13"/>
      <c r="J189" s="13"/>
      <c r="K189" s="13"/>
    </row>
    <row r="190" spans="3:11" x14ac:dyDescent="0.25">
      <c r="C190" s="47" t="s">
        <v>68</v>
      </c>
      <c r="D190" s="48">
        <f t="shared" ref="D190:K190" si="46">D$13</f>
        <v>2023</v>
      </c>
      <c r="E190" s="48">
        <f t="shared" si="46"/>
        <v>2024</v>
      </c>
      <c r="F190" s="48">
        <f t="shared" si="46"/>
        <v>2025</v>
      </c>
      <c r="G190" s="49">
        <f t="shared" si="46"/>
        <v>2026</v>
      </c>
      <c r="H190" s="49">
        <f t="shared" si="46"/>
        <v>2027</v>
      </c>
      <c r="I190" s="49">
        <f t="shared" si="46"/>
        <v>2028</v>
      </c>
      <c r="J190" s="49">
        <f t="shared" si="46"/>
        <v>2029</v>
      </c>
      <c r="K190" s="49">
        <f t="shared" si="46"/>
        <v>2030</v>
      </c>
    </row>
    <row r="191" spans="3:11" x14ac:dyDescent="0.25">
      <c r="C191" s="42" t="s">
        <v>69</v>
      </c>
      <c r="D191" s="43">
        <f t="shared" ref="D191:K191" si="47">D$14</f>
        <v>45291</v>
      </c>
      <c r="E191" s="43">
        <f t="shared" si="47"/>
        <v>45657</v>
      </c>
      <c r="F191" s="43">
        <f t="shared" si="47"/>
        <v>46022</v>
      </c>
      <c r="G191" s="43">
        <f t="shared" si="47"/>
        <v>46387</v>
      </c>
      <c r="H191" s="43">
        <f t="shared" si="47"/>
        <v>46752</v>
      </c>
      <c r="I191" s="43">
        <f t="shared" si="47"/>
        <v>47118</v>
      </c>
      <c r="J191" s="43">
        <f t="shared" si="47"/>
        <v>47483</v>
      </c>
      <c r="K191" s="43">
        <f t="shared" si="47"/>
        <v>47848</v>
      </c>
    </row>
    <row r="192" spans="3:11" x14ac:dyDescent="0.25">
      <c r="C192" s="35"/>
      <c r="D192" s="103"/>
      <c r="E192" s="35"/>
      <c r="F192" s="62"/>
      <c r="G192" s="105"/>
      <c r="H192" s="35"/>
    </row>
    <row r="193" spans="3:11" x14ac:dyDescent="0.25">
      <c r="C193" s="84" t="s">
        <v>73</v>
      </c>
      <c r="D193" s="160">
        <v>2239890778</v>
      </c>
      <c r="E193" s="160">
        <v>4804078543</v>
      </c>
      <c r="F193" s="160">
        <v>6963884903</v>
      </c>
      <c r="G193" s="161">
        <f ca="1">G318</f>
        <v>6756494037.6363268</v>
      </c>
      <c r="H193" s="161">
        <f ca="1">H318</f>
        <v>7218772371.2625799</v>
      </c>
      <c r="I193" s="161">
        <f ca="1">I318</f>
        <v>7780036844.0131531</v>
      </c>
      <c r="J193" s="161">
        <f ca="1">J318</f>
        <v>8182903054.4936485</v>
      </c>
      <c r="K193" s="161">
        <f ca="1">K318</f>
        <v>8426897780.7023354</v>
      </c>
    </row>
    <row r="194" spans="3:11" x14ac:dyDescent="0.25">
      <c r="C194" s="84" t="s">
        <v>74</v>
      </c>
      <c r="D194" s="160">
        <v>1812939327</v>
      </c>
      <c r="E194" s="160">
        <v>2318559205</v>
      </c>
      <c r="F194" s="160">
        <v>1977621883</v>
      </c>
      <c r="G194" s="161">
        <f>G173*G200</f>
        <v>2076502977.1500001</v>
      </c>
      <c r="H194" s="161">
        <f>H173*H200</f>
        <v>2180328126.0075002</v>
      </c>
      <c r="I194" s="161">
        <f>I173*I200</f>
        <v>2289344532.3078747</v>
      </c>
      <c r="J194" s="161">
        <f>J173*J200</f>
        <v>2403811758.9232688</v>
      </c>
      <c r="K194" s="161">
        <f>K173*K200</f>
        <v>2524002346.8694324</v>
      </c>
    </row>
    <row r="195" spans="3:11" x14ac:dyDescent="0.25">
      <c r="C195" s="37" t="s">
        <v>75</v>
      </c>
      <c r="D195" s="162">
        <f t="shared" ref="D195:K195" si="48">SUM(D193:D194)</f>
        <v>4052830105</v>
      </c>
      <c r="E195" s="162">
        <f t="shared" si="48"/>
        <v>7122637748</v>
      </c>
      <c r="F195" s="162">
        <f t="shared" si="48"/>
        <v>8941506786</v>
      </c>
      <c r="G195" s="162">
        <f t="shared" ca="1" si="48"/>
        <v>8832997014.7863274</v>
      </c>
      <c r="H195" s="162">
        <f t="shared" ca="1" si="48"/>
        <v>9399100497.2700806</v>
      </c>
      <c r="I195" s="162">
        <f t="shared" ca="1" si="48"/>
        <v>10069381376.321028</v>
      </c>
      <c r="J195" s="162">
        <f t="shared" ca="1" si="48"/>
        <v>10586714813.416918</v>
      </c>
      <c r="K195" s="162">
        <f t="shared" ca="1" si="48"/>
        <v>10950900127.571768</v>
      </c>
    </row>
    <row r="196" spans="3:11" x14ac:dyDescent="0.25">
      <c r="C196" s="63"/>
      <c r="D196" s="69"/>
      <c r="E196" s="69"/>
      <c r="F196" s="69"/>
      <c r="G196" s="69"/>
      <c r="H196" s="69"/>
      <c r="I196" s="69"/>
      <c r="J196" s="69"/>
      <c r="K196" s="69"/>
    </row>
    <row r="197" spans="3:11" x14ac:dyDescent="0.25">
      <c r="C197" s="6" t="s">
        <v>185</v>
      </c>
      <c r="D197" s="66">
        <f t="shared" ref="D197:K197" si="49">D195-ABS(D21)</f>
        <v>0</v>
      </c>
      <c r="E197" s="66">
        <f t="shared" si="49"/>
        <v>0</v>
      </c>
      <c r="F197" s="66">
        <f t="shared" si="49"/>
        <v>0</v>
      </c>
      <c r="G197" s="66">
        <f t="shared" ca="1" si="49"/>
        <v>0</v>
      </c>
      <c r="H197" s="66">
        <f t="shared" ca="1" si="49"/>
        <v>0</v>
      </c>
      <c r="I197" s="66">
        <f t="shared" ca="1" si="49"/>
        <v>0</v>
      </c>
      <c r="J197" s="66">
        <f t="shared" ca="1" si="49"/>
        <v>0</v>
      </c>
      <c r="K197" s="66">
        <f t="shared" ca="1" si="49"/>
        <v>0</v>
      </c>
    </row>
    <row r="198" spans="3:11" x14ac:dyDescent="0.25">
      <c r="D198" s="66"/>
      <c r="E198" s="66"/>
      <c r="F198" s="66"/>
      <c r="G198" s="66"/>
      <c r="H198" s="66"/>
      <c r="I198" s="66"/>
      <c r="J198" s="66"/>
      <c r="K198" s="66"/>
    </row>
    <row r="199" spans="3:11" x14ac:dyDescent="0.25">
      <c r="C199" s="159" t="s">
        <v>187</v>
      </c>
      <c r="D199" s="1">
        <f t="shared" ref="D199:K199" si="50">D193/D172</f>
        <v>0.42285477714114805</v>
      </c>
      <c r="E199" s="1">
        <f t="shared" si="50"/>
        <v>0.63737496344359779</v>
      </c>
      <c r="F199" s="1">
        <f t="shared" si="50"/>
        <v>0.70393414461570136</v>
      </c>
      <c r="G199" s="1">
        <f t="shared" ca="1" si="50"/>
        <v>0.75344962388894998</v>
      </c>
      <c r="H199" s="1">
        <f t="shared" ca="1" si="50"/>
        <v>0.71476413919916126</v>
      </c>
      <c r="I199" s="1">
        <f t="shared" ca="1" si="50"/>
        <v>0.69076448563951087</v>
      </c>
      <c r="J199" s="1">
        <f t="shared" ca="1" si="50"/>
        <v>0.66249084125306013</v>
      </c>
      <c r="K199" s="1">
        <f t="shared" ca="1" si="50"/>
        <v>0.62896014781518428</v>
      </c>
    </row>
    <row r="200" spans="3:11" x14ac:dyDescent="0.25">
      <c r="C200" s="159" t="s">
        <v>188</v>
      </c>
      <c r="D200" s="1">
        <f>D194/D173</f>
        <v>0.86907184261940362</v>
      </c>
      <c r="E200" s="1">
        <f>E194/E173</f>
        <v>0.81840372127158834</v>
      </c>
      <c r="F200" s="1">
        <f>F194/F173</f>
        <v>0.75709691844723515</v>
      </c>
      <c r="G200" s="1">
        <f>F200</f>
        <v>0.75709691844723515</v>
      </c>
      <c r="H200" s="1">
        <f>G200</f>
        <v>0.75709691844723515</v>
      </c>
      <c r="I200" s="1">
        <f>H200</f>
        <v>0.75709691844723515</v>
      </c>
      <c r="J200" s="1">
        <f>I200</f>
        <v>0.75709691844723515</v>
      </c>
      <c r="K200" s="1">
        <f>J200</f>
        <v>0.75709691844723515</v>
      </c>
    </row>
    <row r="201" spans="3:11" x14ac:dyDescent="0.25">
      <c r="C201" s="85"/>
      <c r="D201" s="7"/>
      <c r="E201" s="1"/>
      <c r="F201" s="1"/>
      <c r="G201" s="1"/>
      <c r="H201" s="1"/>
      <c r="I201" s="1"/>
      <c r="J201" s="1"/>
      <c r="K201" s="1"/>
    </row>
    <row r="202" spans="3:11" x14ac:dyDescent="0.25">
      <c r="C202" s="13" t="s">
        <v>189</v>
      </c>
    </row>
    <row r="203" spans="3:11" x14ac:dyDescent="0.25">
      <c r="C203" s="47" t="s">
        <v>68</v>
      </c>
      <c r="D203" s="48">
        <f t="shared" ref="D203:K203" si="51">D$13</f>
        <v>2023</v>
      </c>
      <c r="E203" s="48">
        <f t="shared" si="51"/>
        <v>2024</v>
      </c>
      <c r="F203" s="48">
        <f t="shared" si="51"/>
        <v>2025</v>
      </c>
      <c r="G203" s="49">
        <f t="shared" si="51"/>
        <v>2026</v>
      </c>
      <c r="H203" s="49">
        <f t="shared" si="51"/>
        <v>2027</v>
      </c>
      <c r="I203" s="49">
        <f t="shared" si="51"/>
        <v>2028</v>
      </c>
      <c r="J203" s="49">
        <f t="shared" si="51"/>
        <v>2029</v>
      </c>
      <c r="K203" s="49">
        <f t="shared" si="51"/>
        <v>2030</v>
      </c>
    </row>
    <row r="204" spans="3:11" x14ac:dyDescent="0.25">
      <c r="C204" s="42" t="s">
        <v>69</v>
      </c>
      <c r="D204" s="86">
        <f t="shared" ref="D204:K204" si="52">D$14</f>
        <v>45291</v>
      </c>
      <c r="E204" s="86">
        <f t="shared" si="52"/>
        <v>45657</v>
      </c>
      <c r="F204" s="86">
        <f t="shared" si="52"/>
        <v>46022</v>
      </c>
      <c r="G204" s="86">
        <f t="shared" si="52"/>
        <v>46387</v>
      </c>
      <c r="H204" s="86">
        <f t="shared" si="52"/>
        <v>46752</v>
      </c>
      <c r="I204" s="86">
        <f t="shared" si="52"/>
        <v>47118</v>
      </c>
      <c r="J204" s="86">
        <f t="shared" si="52"/>
        <v>47483</v>
      </c>
      <c r="K204" s="86">
        <f t="shared" si="52"/>
        <v>47848</v>
      </c>
    </row>
    <row r="205" spans="3:11" x14ac:dyDescent="0.25">
      <c r="D205" s="6"/>
    </row>
    <row r="206" spans="3:11" x14ac:dyDescent="0.25">
      <c r="C206" s="13" t="s">
        <v>190</v>
      </c>
      <c r="D206" s="6"/>
    </row>
    <row r="207" spans="3:11" x14ac:dyDescent="0.25">
      <c r="C207" s="17" t="s">
        <v>101</v>
      </c>
      <c r="D207" s="27">
        <f t="shared" ref="D207:F209" si="53">D61</f>
        <v>392605602</v>
      </c>
      <c r="E207" s="27">
        <f t="shared" si="53"/>
        <v>588762877</v>
      </c>
      <c r="F207" s="27">
        <f t="shared" si="53"/>
        <v>1027235967</v>
      </c>
      <c r="G207" s="27">
        <f>F207</f>
        <v>1027235967</v>
      </c>
      <c r="H207" s="27">
        <f>G207</f>
        <v>1027235967</v>
      </c>
      <c r="I207" s="27">
        <f>H207</f>
        <v>1027235967</v>
      </c>
      <c r="J207" s="27">
        <f>I207</f>
        <v>1027235967</v>
      </c>
      <c r="K207" s="27">
        <f>J207</f>
        <v>1027235967</v>
      </c>
    </row>
    <row r="208" spans="3:11" x14ac:dyDescent="0.25">
      <c r="C208" s="17" t="s">
        <v>102</v>
      </c>
      <c r="D208" s="27">
        <f t="shared" si="53"/>
        <v>1100040440</v>
      </c>
      <c r="E208" s="27">
        <f t="shared" si="53"/>
        <v>3181804485</v>
      </c>
      <c r="F208" s="27">
        <f t="shared" si="53"/>
        <v>8534654767</v>
      </c>
      <c r="G208" s="27">
        <f>G369</f>
        <v>9567149950.8009338</v>
      </c>
      <c r="H208" s="27">
        <f>H369</f>
        <v>10709028981.819714</v>
      </c>
      <c r="I208" s="27">
        <f>I369</f>
        <v>11783705158.797348</v>
      </c>
      <c r="J208" s="27">
        <f>J369</f>
        <v>12736608912.652794</v>
      </c>
      <c r="K208" s="27">
        <f>K369</f>
        <v>13754287414.623354</v>
      </c>
    </row>
    <row r="209" spans="3:11" x14ac:dyDescent="0.25">
      <c r="C209" s="17" t="s">
        <v>103</v>
      </c>
      <c r="D209" s="27">
        <f t="shared" si="53"/>
        <v>234861219</v>
      </c>
      <c r="E209" s="27">
        <f t="shared" si="53"/>
        <v>150082630</v>
      </c>
      <c r="F209" s="27">
        <f t="shared" si="53"/>
        <v>126173928</v>
      </c>
      <c r="G209" s="27">
        <f>G222/365*-G20</f>
        <v>132482624.40000001</v>
      </c>
      <c r="H209" s="27">
        <f>H222/365*-H20</f>
        <v>139106755.62</v>
      </c>
      <c r="I209" s="27">
        <f>I222/365*-I20</f>
        <v>146062093.40099999</v>
      </c>
      <c r="J209" s="27">
        <f>J222/365*-J20</f>
        <v>153365198.07105002</v>
      </c>
      <c r="K209" s="27">
        <f>K222/365*-K20</f>
        <v>161033457.97460252</v>
      </c>
    </row>
    <row r="210" spans="3:11" x14ac:dyDescent="0.25">
      <c r="C210" s="13" t="s">
        <v>191</v>
      </c>
      <c r="D210" s="78">
        <f t="shared" ref="D210:K210" si="54">SUM(D207:D209)</f>
        <v>1727507261</v>
      </c>
      <c r="E210" s="78">
        <f t="shared" si="54"/>
        <v>3920649992</v>
      </c>
      <c r="F210" s="78">
        <f t="shared" si="54"/>
        <v>9688064662</v>
      </c>
      <c r="G210" s="78">
        <f t="shared" si="54"/>
        <v>10726868542.200933</v>
      </c>
      <c r="H210" s="78">
        <f t="shared" si="54"/>
        <v>11875371704.439714</v>
      </c>
      <c r="I210" s="78">
        <f t="shared" si="54"/>
        <v>12957003219.198347</v>
      </c>
      <c r="J210" s="78">
        <f t="shared" si="54"/>
        <v>13917210077.723845</v>
      </c>
      <c r="K210" s="78">
        <f t="shared" si="54"/>
        <v>14942556839.597956</v>
      </c>
    </row>
    <row r="211" spans="3:11" x14ac:dyDescent="0.25">
      <c r="C211" s="13"/>
      <c r="E211" s="28"/>
      <c r="F211" s="28"/>
      <c r="G211" s="7"/>
      <c r="H211" s="7"/>
      <c r="I211" s="7"/>
      <c r="J211" s="7"/>
      <c r="K211" s="7"/>
    </row>
    <row r="212" spans="3:11" x14ac:dyDescent="0.25">
      <c r="C212" s="13" t="s">
        <v>192</v>
      </c>
      <c r="E212" s="28"/>
      <c r="F212" s="28"/>
      <c r="G212" s="7"/>
      <c r="H212" s="7"/>
      <c r="I212" s="7"/>
      <c r="J212" s="7"/>
      <c r="K212" s="7"/>
    </row>
    <row r="213" spans="3:11" x14ac:dyDescent="0.25">
      <c r="C213" s="17" t="s">
        <v>123</v>
      </c>
      <c r="D213" s="19">
        <f t="shared" ref="D213:F214" si="55">D88</f>
        <v>689469467</v>
      </c>
      <c r="E213" s="19">
        <f t="shared" si="55"/>
        <v>2204044294</v>
      </c>
      <c r="F213" s="19">
        <f t="shared" si="55"/>
        <v>2175502934</v>
      </c>
      <c r="G213" s="27">
        <f>G375</f>
        <v>2266674232.730916</v>
      </c>
      <c r="H213" s="27">
        <f>H375</f>
        <v>2511424216.321372</v>
      </c>
      <c r="I213" s="27">
        <f>I375</f>
        <v>2749087773.3823247</v>
      </c>
      <c r="J213" s="27">
        <f>J375</f>
        <v>2967004556.646131</v>
      </c>
      <c r="K213" s="27">
        <f>K375</f>
        <v>3192347697.5190444</v>
      </c>
    </row>
    <row r="214" spans="3:11" x14ac:dyDescent="0.25">
      <c r="C214" s="17" t="s">
        <v>124</v>
      </c>
      <c r="D214" s="19">
        <f t="shared" si="55"/>
        <v>31158839</v>
      </c>
      <c r="E214" s="19">
        <f t="shared" si="55"/>
        <v>54652516</v>
      </c>
      <c r="F214" s="19">
        <f t="shared" si="55"/>
        <v>769019145</v>
      </c>
      <c r="G214" s="27">
        <f>F214</f>
        <v>769019145</v>
      </c>
      <c r="H214" s="27">
        <f>G214</f>
        <v>769019145</v>
      </c>
      <c r="I214" s="27">
        <f>H214</f>
        <v>769019145</v>
      </c>
      <c r="J214" s="27">
        <f>I214</f>
        <v>769019145</v>
      </c>
      <c r="K214" s="27">
        <f>J214</f>
        <v>769019145</v>
      </c>
    </row>
    <row r="215" spans="3:11" x14ac:dyDescent="0.25">
      <c r="C215" s="13" t="s">
        <v>193</v>
      </c>
      <c r="D215" s="79">
        <f t="shared" ref="D215:K215" si="56">SUM(D213:D214)</f>
        <v>720628306</v>
      </c>
      <c r="E215" s="79">
        <f t="shared" si="56"/>
        <v>2258696810</v>
      </c>
      <c r="F215" s="79">
        <f t="shared" si="56"/>
        <v>2944522079</v>
      </c>
      <c r="G215" s="79">
        <f t="shared" si="56"/>
        <v>3035693377.730916</v>
      </c>
      <c r="H215" s="79">
        <f t="shared" si="56"/>
        <v>3280443361.321372</v>
      </c>
      <c r="I215" s="79">
        <f t="shared" si="56"/>
        <v>3518106918.3823247</v>
      </c>
      <c r="J215" s="79">
        <f t="shared" si="56"/>
        <v>3736023701.646131</v>
      </c>
      <c r="K215" s="79">
        <f t="shared" si="56"/>
        <v>3961366842.5190444</v>
      </c>
    </row>
    <row r="216" spans="3:11" x14ac:dyDescent="0.25">
      <c r="E216" s="28"/>
      <c r="F216" s="28"/>
      <c r="G216" s="28"/>
      <c r="H216" s="28"/>
      <c r="I216" s="28"/>
      <c r="J216" s="28"/>
      <c r="K216" s="28"/>
    </row>
    <row r="217" spans="3:11" x14ac:dyDescent="0.25">
      <c r="C217" s="6" t="s">
        <v>194</v>
      </c>
      <c r="D217" s="19">
        <f t="shared" ref="D217:K217" si="57">D210-D215</f>
        <v>1006878955</v>
      </c>
      <c r="E217" s="19">
        <f t="shared" si="57"/>
        <v>1661953182</v>
      </c>
      <c r="F217" s="19">
        <f t="shared" si="57"/>
        <v>6743542583</v>
      </c>
      <c r="G217" s="19">
        <f t="shared" si="57"/>
        <v>7691175164.4700174</v>
      </c>
      <c r="H217" s="19">
        <f t="shared" si="57"/>
        <v>8594928343.1183434</v>
      </c>
      <c r="I217" s="19">
        <f t="shared" si="57"/>
        <v>9438896300.8160229</v>
      </c>
      <c r="J217" s="19">
        <f t="shared" si="57"/>
        <v>10181186376.077713</v>
      </c>
      <c r="K217" s="19">
        <f t="shared" si="57"/>
        <v>10981189997.078911</v>
      </c>
    </row>
    <row r="218" spans="3:11" x14ac:dyDescent="0.25">
      <c r="C218" s="6" t="s">
        <v>195</v>
      </c>
      <c r="D218" s="22">
        <f t="shared" ref="D218:K218" si="58">D217/D18</f>
        <v>0.10697691297988926</v>
      </c>
      <c r="E218" s="22">
        <f t="shared" si="58"/>
        <v>0.12557349673367055</v>
      </c>
      <c r="F218" s="22">
        <f t="shared" si="58"/>
        <v>0.34040271433107561</v>
      </c>
      <c r="G218" s="22">
        <f t="shared" si="58"/>
        <v>0.3944543595572243</v>
      </c>
      <c r="H218" s="22">
        <f t="shared" si="58"/>
        <v>0.39505757479430348</v>
      </c>
      <c r="I218" s="22">
        <f t="shared" si="58"/>
        <v>0.39358618465467782</v>
      </c>
      <c r="J218" s="22">
        <f t="shared" si="58"/>
        <v>0.39104808250479928</v>
      </c>
      <c r="K218" s="22">
        <f t="shared" si="58"/>
        <v>0.39076304671716577</v>
      </c>
    </row>
    <row r="219" spans="3:11" x14ac:dyDescent="0.25">
      <c r="C219" s="6" t="s">
        <v>196</v>
      </c>
      <c r="D219" s="19"/>
      <c r="E219" s="59">
        <f t="shared" ref="E219:K219" si="59">D217-E217</f>
        <v>-655074227</v>
      </c>
      <c r="F219" s="59">
        <f t="shared" si="59"/>
        <v>-5081589401</v>
      </c>
      <c r="G219" s="59">
        <f t="shared" si="59"/>
        <v>-947632581.47001743</v>
      </c>
      <c r="H219" s="59">
        <f t="shared" si="59"/>
        <v>-903753178.64832592</v>
      </c>
      <c r="I219" s="59">
        <f t="shared" si="59"/>
        <v>-843967957.69767952</v>
      </c>
      <c r="J219" s="59">
        <f t="shared" si="59"/>
        <v>-742290075.26169014</v>
      </c>
      <c r="K219" s="59">
        <f t="shared" si="59"/>
        <v>-800003621.00119781</v>
      </c>
    </row>
    <row r="220" spans="3:11" x14ac:dyDescent="0.25">
      <c r="D220" s="19"/>
      <c r="E220" s="59"/>
      <c r="F220" s="59"/>
      <c r="G220" s="59"/>
      <c r="H220" s="59"/>
      <c r="I220" s="59"/>
      <c r="J220" s="59"/>
      <c r="K220" s="59"/>
    </row>
    <row r="221" spans="3:11" x14ac:dyDescent="0.25">
      <c r="C221" s="13" t="s">
        <v>197</v>
      </c>
      <c r="G221" s="106"/>
      <c r="H221" s="106"/>
      <c r="I221" s="106"/>
      <c r="J221" s="106"/>
      <c r="K221" s="106"/>
    </row>
    <row r="222" spans="3:11" x14ac:dyDescent="0.25">
      <c r="C222" s="17" t="s">
        <v>198</v>
      </c>
      <c r="D222" s="91">
        <f>D209/-D20*365</f>
        <v>47.284729090660854</v>
      </c>
      <c r="E222" s="91">
        <f>E209/-E20*365</f>
        <v>23.626810922863626</v>
      </c>
      <c r="F222" s="91">
        <f>F209/-F20*365</f>
        <v>23.287304876571291</v>
      </c>
      <c r="G222" s="91">
        <f>F222</f>
        <v>23.287304876571291</v>
      </c>
      <c r="H222" s="91">
        <f>G222</f>
        <v>23.287304876571291</v>
      </c>
      <c r="I222" s="91">
        <f>H222</f>
        <v>23.287304876571291</v>
      </c>
      <c r="J222" s="91">
        <f>I222</f>
        <v>23.287304876571291</v>
      </c>
      <c r="K222" s="91">
        <f>J222</f>
        <v>23.287304876571291</v>
      </c>
    </row>
    <row r="223" spans="3:11" x14ac:dyDescent="0.25">
      <c r="C223" s="17" t="s">
        <v>199</v>
      </c>
      <c r="D223" s="91">
        <f t="shared" ref="D223:K223" si="60">D208/D18*365</f>
        <v>42.659357802197057</v>
      </c>
      <c r="E223" s="91">
        <f t="shared" si="60"/>
        <v>87.749683079266731</v>
      </c>
      <c r="F223" s="91">
        <f t="shared" si="60"/>
        <v>157.24749398032986</v>
      </c>
      <c r="G223" s="91">
        <f t="shared" si="60"/>
        <v>179.09336778383886</v>
      </c>
      <c r="H223" s="91">
        <f t="shared" si="60"/>
        <v>179.66401113647933</v>
      </c>
      <c r="I223" s="91">
        <f t="shared" si="60"/>
        <v>179.34668879275554</v>
      </c>
      <c r="J223" s="91">
        <f t="shared" si="60"/>
        <v>178.5576457162544</v>
      </c>
      <c r="K223" s="91">
        <f t="shared" si="60"/>
        <v>178.64671759635311</v>
      </c>
    </row>
    <row r="224" spans="3:11" x14ac:dyDescent="0.25">
      <c r="C224" s="17" t="s">
        <v>200</v>
      </c>
      <c r="D224" s="91">
        <f t="shared" ref="D224:K224" si="61">D213/-D20*365</f>
        <v>138.81123968524292</v>
      </c>
      <c r="E224" s="91">
        <f t="shared" si="61"/>
        <v>346.97244977619624</v>
      </c>
      <c r="F224" s="91">
        <f t="shared" si="61"/>
        <v>401.5219379072779</v>
      </c>
      <c r="G224" s="91">
        <f t="shared" si="61"/>
        <v>398.42759873251083</v>
      </c>
      <c r="H224" s="91">
        <f t="shared" si="61"/>
        <v>420.42747053667443</v>
      </c>
      <c r="I224" s="91">
        <f t="shared" si="61"/>
        <v>438.29883319179123</v>
      </c>
      <c r="J224" s="91">
        <f t="shared" si="61"/>
        <v>450.51641799977006</v>
      </c>
      <c r="K224" s="91">
        <f t="shared" si="61"/>
        <v>461.65048580072806</v>
      </c>
    </row>
    <row r="225" spans="3:11" x14ac:dyDescent="0.25">
      <c r="C225" s="17"/>
      <c r="D225" s="91"/>
      <c r="E225" s="91"/>
      <c r="F225" s="91"/>
      <c r="G225" s="106"/>
      <c r="H225" s="106"/>
      <c r="I225" s="106"/>
      <c r="J225" s="106"/>
      <c r="K225" s="106"/>
    </row>
    <row r="226" spans="3:11" x14ac:dyDescent="0.25">
      <c r="C226" s="13" t="s">
        <v>201</v>
      </c>
    </row>
    <row r="227" spans="3:11" x14ac:dyDescent="0.25">
      <c r="C227" s="47" t="s">
        <v>68</v>
      </c>
      <c r="D227" s="48">
        <f t="shared" ref="D227:K227" si="62">D$13</f>
        <v>2023</v>
      </c>
      <c r="E227" s="48">
        <f t="shared" si="62"/>
        <v>2024</v>
      </c>
      <c r="F227" s="48">
        <f t="shared" si="62"/>
        <v>2025</v>
      </c>
      <c r="G227" s="49">
        <f t="shared" si="62"/>
        <v>2026</v>
      </c>
      <c r="H227" s="49">
        <f t="shared" si="62"/>
        <v>2027</v>
      </c>
      <c r="I227" s="49">
        <f t="shared" si="62"/>
        <v>2028</v>
      </c>
      <c r="J227" s="49">
        <f t="shared" si="62"/>
        <v>2029</v>
      </c>
      <c r="K227" s="49">
        <f t="shared" si="62"/>
        <v>2030</v>
      </c>
    </row>
    <row r="228" spans="3:11" x14ac:dyDescent="0.25">
      <c r="C228" s="42" t="s">
        <v>69</v>
      </c>
      <c r="D228" s="86">
        <f t="shared" ref="D228:K228" si="63">D$14</f>
        <v>45291</v>
      </c>
      <c r="E228" s="86">
        <f t="shared" si="63"/>
        <v>45657</v>
      </c>
      <c r="F228" s="86">
        <f t="shared" si="63"/>
        <v>46022</v>
      </c>
      <c r="G228" s="86">
        <f t="shared" si="63"/>
        <v>46387</v>
      </c>
      <c r="H228" s="86">
        <f t="shared" si="63"/>
        <v>46752</v>
      </c>
      <c r="I228" s="86">
        <f t="shared" si="63"/>
        <v>47118</v>
      </c>
      <c r="J228" s="86">
        <f t="shared" si="63"/>
        <v>47483</v>
      </c>
      <c r="K228" s="86">
        <f t="shared" si="63"/>
        <v>47848</v>
      </c>
    </row>
    <row r="230" spans="3:11" x14ac:dyDescent="0.25">
      <c r="C230" s="13" t="s">
        <v>202</v>
      </c>
      <c r="D230" s="7"/>
    </row>
    <row r="231" spans="3:11" x14ac:dyDescent="0.25">
      <c r="C231" s="17" t="s">
        <v>203</v>
      </c>
      <c r="D231" s="59">
        <f>D66+D64</f>
        <v>1351415153</v>
      </c>
      <c r="E231" s="59">
        <f t="shared" ref="E231:K231" si="64">E66+E64+E365</f>
        <v>3387204870</v>
      </c>
      <c r="F231" s="59">
        <f t="shared" si="64"/>
        <v>10499227965</v>
      </c>
      <c r="G231" s="59">
        <f t="shared" ca="1" si="64"/>
        <v>9963103610.5039997</v>
      </c>
      <c r="H231" s="59">
        <f t="shared" ca="1" si="64"/>
        <v>11005055712.322453</v>
      </c>
      <c r="I231" s="59">
        <f t="shared" ca="1" si="64"/>
        <v>12027899396.034304</v>
      </c>
      <c r="J231" s="59">
        <f t="shared" ca="1" si="64"/>
        <v>12920741355.359474</v>
      </c>
      <c r="K231" s="59">
        <f t="shared" ca="1" si="64"/>
        <v>13839083925.767612</v>
      </c>
    </row>
    <row r="232" spans="3:11" x14ac:dyDescent="0.25">
      <c r="C232" s="17" t="s">
        <v>204</v>
      </c>
      <c r="D232" s="59"/>
      <c r="E232" s="59">
        <f>AVERAGE(D231,E231)</f>
        <v>2369310011.5</v>
      </c>
      <c r="F232" s="59">
        <f>AVERAGE(E231,F231)</f>
        <v>6943216417.5</v>
      </c>
      <c r="G232" s="59">
        <f ca="1">IF($D$301=1,IFERROR(AVERAGE(F231,G231),F231),F231)</f>
        <v>10231165787.751999</v>
      </c>
      <c r="H232" s="59">
        <f ca="1">IF($D$301=1,IFERROR(AVERAGE(G231,H231),G231),G231)</f>
        <v>10484079661.413227</v>
      </c>
      <c r="I232" s="59">
        <f ca="1">IF($D$301=1,IFERROR(AVERAGE(H231,I231),H231),H231)</f>
        <v>11516477554.178379</v>
      </c>
      <c r="J232" s="59">
        <f ca="1">IF($D$301=1,IFERROR(AVERAGE(I231,J231),I231),I231)</f>
        <v>12474320375.696888</v>
      </c>
      <c r="K232" s="59">
        <f ca="1">IF($D$301=1,IFERROR(AVERAGE(J231,K231),J231),J231)</f>
        <v>13379912640.563543</v>
      </c>
    </row>
    <row r="233" spans="3:11" x14ac:dyDescent="0.25">
      <c r="C233" s="17" t="s">
        <v>205</v>
      </c>
      <c r="D233" s="1"/>
      <c r="E233" s="1">
        <f>E236/E232</f>
        <v>0.14464674033223279</v>
      </c>
      <c r="F233" s="1">
        <f>F236/F232</f>
        <v>9.4476404818185256E-2</v>
      </c>
      <c r="G233" s="1">
        <f>$F$233*G304/$F$304</f>
        <v>7.496465235807917E-2</v>
      </c>
      <c r="H233" s="1">
        <f>$F$233*H304/$F$304</f>
        <v>7.4481355888721942E-2</v>
      </c>
      <c r="I233" s="1">
        <f>$F$233*I304/$F$304</f>
        <v>7.4481355888721942E-2</v>
      </c>
      <c r="J233" s="1">
        <f>$F$233*J304/$F$304</f>
        <v>7.4481355888721942E-2</v>
      </c>
      <c r="K233" s="1">
        <f>$F$233*K304/$F$304</f>
        <v>7.4481355888721942E-2</v>
      </c>
    </row>
    <row r="234" spans="3:11" x14ac:dyDescent="0.25">
      <c r="C234" s="6" t="s">
        <v>206</v>
      </c>
      <c r="D234" s="101"/>
      <c r="E234" s="272">
        <v>352614660</v>
      </c>
      <c r="F234" s="73"/>
      <c r="G234" s="74"/>
      <c r="H234" s="74"/>
      <c r="I234" s="74"/>
      <c r="J234" s="74"/>
      <c r="K234" s="74"/>
    </row>
    <row r="235" spans="3:11" x14ac:dyDescent="0.25">
      <c r="C235" s="6" t="s">
        <v>207</v>
      </c>
      <c r="D235" s="132">
        <f>D28</f>
        <v>-111537468</v>
      </c>
      <c r="E235" s="132">
        <f>E28</f>
        <v>-89305188</v>
      </c>
      <c r="F235" s="132">
        <f>F28</f>
        <v>-147537853</v>
      </c>
      <c r="G235" s="19">
        <f>-G264</f>
        <v>-144548530.55751172</v>
      </c>
      <c r="H235" s="19">
        <f>-H264</f>
        <v>-158127156.12429348</v>
      </c>
      <c r="I235" s="19">
        <f>-I264</f>
        <v>-173691337.32518303</v>
      </c>
      <c r="J235" s="19">
        <f>-J264</f>
        <v>-190927755.72010756</v>
      </c>
      <c r="K235" s="19">
        <f>-K264</f>
        <v>-209331634.5000771</v>
      </c>
    </row>
    <row r="236" spans="3:11" s="35" customFormat="1" x14ac:dyDescent="0.25">
      <c r="C236" s="35" t="s">
        <v>81</v>
      </c>
      <c r="D236" s="132">
        <f>D27</f>
        <v>299357186</v>
      </c>
      <c r="E236" s="19">
        <f>E27-E234</f>
        <v>342712970</v>
      </c>
      <c r="F236" s="132">
        <f>F27</f>
        <v>655970125</v>
      </c>
      <c r="G236" s="19">
        <f ca="1">G233*G232</f>
        <v>766975786.49670184</v>
      </c>
      <c r="H236" s="19">
        <f ca="1">H233*H232</f>
        <v>780868468.42743003</v>
      </c>
      <c r="I236" s="19">
        <f ca="1">I233*I232</f>
        <v>857762863.29723787</v>
      </c>
      <c r="J236" s="19">
        <f ca="1">J233*J232</f>
        <v>929104295.37221551</v>
      </c>
      <c r="K236" s="19">
        <f ca="1">K233*K232</f>
        <v>996554035.14182258</v>
      </c>
    </row>
    <row r="237" spans="3:11" x14ac:dyDescent="0.25">
      <c r="C237" s="6" t="s">
        <v>208</v>
      </c>
      <c r="D237" s="59">
        <f t="shared" ref="D237:K237" si="65">SUM(D235:D236)</f>
        <v>187819718</v>
      </c>
      <c r="E237" s="59">
        <f t="shared" si="65"/>
        <v>253407782</v>
      </c>
      <c r="F237" s="59">
        <f t="shared" si="65"/>
        <v>508432272</v>
      </c>
      <c r="G237" s="59">
        <f t="shared" ca="1" si="65"/>
        <v>622427255.93919015</v>
      </c>
      <c r="H237" s="59">
        <f t="shared" ca="1" si="65"/>
        <v>622741312.30313659</v>
      </c>
      <c r="I237" s="59">
        <f t="shared" ca="1" si="65"/>
        <v>684071525.97205484</v>
      </c>
      <c r="J237" s="59">
        <f t="shared" ca="1" si="65"/>
        <v>738176539.65210795</v>
      </c>
      <c r="K237" s="59">
        <f t="shared" ca="1" si="65"/>
        <v>787222400.64174545</v>
      </c>
    </row>
    <row r="239" spans="3:11" x14ac:dyDescent="0.25">
      <c r="C239" s="13" t="s">
        <v>209</v>
      </c>
    </row>
    <row r="240" spans="3:11" x14ac:dyDescent="0.25">
      <c r="C240" s="47" t="s">
        <v>68</v>
      </c>
      <c r="D240" s="48">
        <f t="shared" ref="D240:K240" si="66">D$13</f>
        <v>2023</v>
      </c>
      <c r="E240" s="48">
        <f t="shared" si="66"/>
        <v>2024</v>
      </c>
      <c r="F240" s="48">
        <f t="shared" si="66"/>
        <v>2025</v>
      </c>
      <c r="G240" s="49">
        <f t="shared" si="66"/>
        <v>2026</v>
      </c>
      <c r="H240" s="49">
        <f t="shared" si="66"/>
        <v>2027</v>
      </c>
      <c r="I240" s="49">
        <f t="shared" si="66"/>
        <v>2028</v>
      </c>
      <c r="J240" s="49">
        <f t="shared" si="66"/>
        <v>2029</v>
      </c>
      <c r="K240" s="49">
        <f t="shared" si="66"/>
        <v>2030</v>
      </c>
    </row>
    <row r="241" spans="3:11" x14ac:dyDescent="0.25">
      <c r="C241" s="42" t="s">
        <v>69</v>
      </c>
      <c r="D241" s="86">
        <f t="shared" ref="D241:K241" si="67">D$14</f>
        <v>45291</v>
      </c>
      <c r="E241" s="86">
        <f t="shared" si="67"/>
        <v>45657</v>
      </c>
      <c r="F241" s="86">
        <f t="shared" si="67"/>
        <v>46022</v>
      </c>
      <c r="G241" s="86">
        <f t="shared" si="67"/>
        <v>46387</v>
      </c>
      <c r="H241" s="86">
        <f t="shared" si="67"/>
        <v>46752</v>
      </c>
      <c r="I241" s="86">
        <f t="shared" si="67"/>
        <v>47118</v>
      </c>
      <c r="J241" s="86">
        <f t="shared" si="67"/>
        <v>47483</v>
      </c>
      <c r="K241" s="86">
        <f t="shared" si="67"/>
        <v>47848</v>
      </c>
    </row>
    <row r="243" spans="3:11" x14ac:dyDescent="0.25">
      <c r="C243" s="13" t="s">
        <v>138</v>
      </c>
    </row>
    <row r="244" spans="3:11" x14ac:dyDescent="0.25">
      <c r="C244" s="17" t="s">
        <v>168</v>
      </c>
      <c r="D244" s="19"/>
      <c r="E244" s="59">
        <f t="shared" ref="E244:K244" si="68">D247</f>
        <v>3902562714</v>
      </c>
      <c r="F244" s="59">
        <f t="shared" si="68"/>
        <v>4867805658</v>
      </c>
      <c r="G244" s="59">
        <f t="shared" si="68"/>
        <v>6518269201</v>
      </c>
      <c r="H244" s="59">
        <f t="shared" ca="1" si="68"/>
        <v>8151808741.9975529</v>
      </c>
      <c r="I244" s="59">
        <f t="shared" ca="1" si="68"/>
        <v>10259284872.207178</v>
      </c>
      <c r="J244" s="59">
        <f t="shared" ca="1" si="68"/>
        <v>12694674631.472486</v>
      </c>
      <c r="K244" s="59">
        <f t="shared" ca="1" si="68"/>
        <v>15492815693.536009</v>
      </c>
    </row>
    <row r="245" spans="3:11" x14ac:dyDescent="0.25">
      <c r="C245" s="17" t="s">
        <v>210</v>
      </c>
      <c r="D245" s="110">
        <f t="shared" ref="D245:K245" si="69">D35</f>
        <v>2241046074</v>
      </c>
      <c r="E245" s="110">
        <f t="shared" si="69"/>
        <v>1428051431</v>
      </c>
      <c r="F245" s="110">
        <f t="shared" si="69"/>
        <v>2018397923</v>
      </c>
      <c r="G245" s="110">
        <f t="shared" ca="1" si="69"/>
        <v>2016855214.1801429</v>
      </c>
      <c r="H245" s="110">
        <f t="shared" ca="1" si="69"/>
        <v>2490498826.2428308</v>
      </c>
      <c r="I245" s="110">
        <f t="shared" ca="1" si="69"/>
        <v>2908362518.1367617</v>
      </c>
      <c r="J245" s="110">
        <f t="shared" ca="1" si="69"/>
        <v>3350470671.5003076</v>
      </c>
      <c r="K245" s="110">
        <f t="shared" ca="1" si="69"/>
        <v>3915098385.4421186</v>
      </c>
    </row>
    <row r="246" spans="3:11" x14ac:dyDescent="0.25">
      <c r="C246" s="17" t="s">
        <v>211</v>
      </c>
      <c r="D246" s="90">
        <v>-444533688</v>
      </c>
      <c r="E246" s="61">
        <v>-462596577</v>
      </c>
      <c r="F246" s="90">
        <v>-247626655</v>
      </c>
      <c r="G246" s="59">
        <f>-G255*F245</f>
        <v>-383315673.18259084</v>
      </c>
      <c r="H246" s="59">
        <f ca="1">-H255*G245</f>
        <v>-383022696.03320432</v>
      </c>
      <c r="I246" s="59">
        <f ca="1">-I255*H245</f>
        <v>-472972758.87145418</v>
      </c>
      <c r="J246" s="59">
        <f ca="1">-J255*I245</f>
        <v>-552329609.43678486</v>
      </c>
      <c r="K246" s="59">
        <f ca="1">-K255*J245</f>
        <v>-636290746.38354528</v>
      </c>
    </row>
    <row r="247" spans="3:11" x14ac:dyDescent="0.25">
      <c r="C247" s="17" t="s">
        <v>212</v>
      </c>
      <c r="D247" s="19">
        <f>D109</f>
        <v>3902562714</v>
      </c>
      <c r="E247" s="19">
        <f>E109</f>
        <v>4867805658</v>
      </c>
      <c r="F247" s="19">
        <f>F109</f>
        <v>6518269201</v>
      </c>
      <c r="G247" s="19">
        <f ca="1">SUM(G244:G246)</f>
        <v>8151808741.9975529</v>
      </c>
      <c r="H247" s="19">
        <f ca="1">SUM(H244:H246)</f>
        <v>10259284872.207178</v>
      </c>
      <c r="I247" s="19">
        <f ca="1">SUM(I244:I246)</f>
        <v>12694674631.472486</v>
      </c>
      <c r="J247" s="19">
        <f ca="1">SUM(J244:J246)</f>
        <v>15492815693.536009</v>
      </c>
      <c r="K247" s="19">
        <f ca="1">SUM(K244:K246)</f>
        <v>18771623332.594582</v>
      </c>
    </row>
    <row r="248" spans="3:11" x14ac:dyDescent="0.25">
      <c r="C248" s="17"/>
      <c r="D248" s="19"/>
      <c r="E248" s="19"/>
      <c r="F248" s="19"/>
      <c r="G248" s="19"/>
      <c r="H248" s="19"/>
      <c r="I248" s="19"/>
      <c r="J248" s="19"/>
      <c r="K248" s="19"/>
    </row>
    <row r="249" spans="3:11" x14ac:dyDescent="0.25">
      <c r="C249" s="13" t="s">
        <v>213</v>
      </c>
      <c r="D249" s="59"/>
      <c r="E249" s="59"/>
      <c r="F249" s="59"/>
      <c r="G249" s="59"/>
      <c r="H249" s="59"/>
      <c r="I249" s="59"/>
      <c r="J249" s="59"/>
      <c r="K249" s="59"/>
    </row>
    <row r="250" spans="3:11" x14ac:dyDescent="0.25">
      <c r="C250" s="17" t="s">
        <v>168</v>
      </c>
      <c r="D250" s="59"/>
      <c r="E250" s="59">
        <f t="shared" ref="E250:K250" si="70">D253</f>
        <v>126112997</v>
      </c>
      <c r="F250" s="59">
        <f t="shared" si="70"/>
        <v>50965753</v>
      </c>
      <c r="G250" s="59">
        <f t="shared" si="70"/>
        <v>-5551093</v>
      </c>
      <c r="H250" s="59">
        <f t="shared" ca="1" si="70"/>
        <v>-5551093</v>
      </c>
      <c r="I250" s="59">
        <f t="shared" ca="1" si="70"/>
        <v>-5551093</v>
      </c>
      <c r="J250" s="59">
        <f t="shared" ca="1" si="70"/>
        <v>-5551093</v>
      </c>
      <c r="K250" s="59">
        <f t="shared" ca="1" si="70"/>
        <v>-5551093</v>
      </c>
    </row>
    <row r="251" spans="3:11" x14ac:dyDescent="0.25">
      <c r="C251" s="17" t="s">
        <v>214</v>
      </c>
      <c r="D251" s="59">
        <f>D36</f>
        <v>25557586</v>
      </c>
      <c r="E251" s="59">
        <f>E36</f>
        <v>-56242002</v>
      </c>
      <c r="F251" s="59">
        <f>F36</f>
        <v>-39999184</v>
      </c>
      <c r="G251" s="59">
        <f ca="1">G256*G34</f>
        <v>0</v>
      </c>
      <c r="H251" s="59">
        <f ca="1">H256*H34</f>
        <v>0</v>
      </c>
      <c r="I251" s="59">
        <f ca="1">I256*I34</f>
        <v>0</v>
      </c>
      <c r="J251" s="59">
        <f ca="1">J256*J34</f>
        <v>0</v>
      </c>
      <c r="K251" s="59">
        <f ca="1">K256*K34</f>
        <v>0</v>
      </c>
    </row>
    <row r="252" spans="3:11" x14ac:dyDescent="0.25">
      <c r="C252" s="17" t="s">
        <v>215</v>
      </c>
      <c r="D252" s="61">
        <v>-21272126</v>
      </c>
      <c r="E252" s="61">
        <v>-18905202</v>
      </c>
      <c r="F252" s="61">
        <v>0</v>
      </c>
      <c r="G252" s="59"/>
      <c r="H252" s="59"/>
      <c r="I252" s="59"/>
      <c r="J252" s="59"/>
      <c r="K252" s="59"/>
    </row>
    <row r="253" spans="3:11" x14ac:dyDescent="0.25">
      <c r="C253" s="17" t="s">
        <v>212</v>
      </c>
      <c r="D253" s="59">
        <f>D111</f>
        <v>126112997</v>
      </c>
      <c r="E253" s="59">
        <f>E111</f>
        <v>50965753</v>
      </c>
      <c r="F253" s="59">
        <f>F111</f>
        <v>-5551093</v>
      </c>
      <c r="G253" s="59">
        <f ca="1">SUM(G250:G252)</f>
        <v>-5551093</v>
      </c>
      <c r="H253" s="59">
        <f ca="1">SUM(H250:H252)</f>
        <v>-5551093</v>
      </c>
      <c r="I253" s="59">
        <f ca="1">SUM(I250:I252)</f>
        <v>-5551093</v>
      </c>
      <c r="J253" s="59">
        <f ca="1">SUM(J250:J252)</f>
        <v>-5551093</v>
      </c>
      <c r="K253" s="59">
        <f ca="1">SUM(K250:K252)</f>
        <v>-5551093</v>
      </c>
    </row>
    <row r="254" spans="3:11" x14ac:dyDescent="0.25">
      <c r="D254" s="59"/>
      <c r="E254" s="59"/>
      <c r="F254" s="59"/>
      <c r="G254" s="59"/>
      <c r="H254" s="59"/>
      <c r="I254" s="59"/>
      <c r="J254" s="59"/>
      <c r="K254" s="59"/>
    </row>
    <row r="255" spans="3:11" x14ac:dyDescent="0.25">
      <c r="C255" s="6" t="s">
        <v>216</v>
      </c>
      <c r="D255" s="1"/>
      <c r="E255" s="1">
        <f>-E246/D245</f>
        <v>0.20641993146277457</v>
      </c>
      <c r="F255" s="1">
        <f>-F246/E245</f>
        <v>0.17340177645184546</v>
      </c>
      <c r="G255" s="1">
        <f>AVERAGE(E255:F255)</f>
        <v>0.18991085395731</v>
      </c>
      <c r="H255" s="1">
        <f t="shared" ref="H255:K256" si="71">G255</f>
        <v>0.18991085395731</v>
      </c>
      <c r="I255" s="1">
        <f t="shared" si="71"/>
        <v>0.18991085395731</v>
      </c>
      <c r="J255" s="1">
        <f t="shared" si="71"/>
        <v>0.18991085395731</v>
      </c>
      <c r="K255" s="1">
        <f t="shared" si="71"/>
        <v>0.18991085395731</v>
      </c>
    </row>
    <row r="256" spans="3:11" x14ac:dyDescent="0.25">
      <c r="C256" s="6" t="s">
        <v>217</v>
      </c>
      <c r="D256" s="22">
        <f>D251/D34</f>
        <v>1.1275719020060172E-2</v>
      </c>
      <c r="E256" s="22">
        <f>E251/E34</f>
        <v>-4.0998407512768308E-2</v>
      </c>
      <c r="F256" s="22">
        <f>F251/F34</f>
        <v>-2.0217958701398059E-2</v>
      </c>
      <c r="G256" s="77">
        <v>0</v>
      </c>
      <c r="H256" s="77">
        <f t="shared" si="71"/>
        <v>0</v>
      </c>
      <c r="I256" s="77">
        <f t="shared" si="71"/>
        <v>0</v>
      </c>
      <c r="J256" s="77">
        <f t="shared" si="71"/>
        <v>0</v>
      </c>
      <c r="K256" s="77">
        <f t="shared" si="71"/>
        <v>0</v>
      </c>
    </row>
    <row r="257" spans="3:11" x14ac:dyDescent="0.25">
      <c r="D257" s="19"/>
      <c r="E257" s="19"/>
      <c r="F257" s="19"/>
      <c r="G257" s="59"/>
      <c r="H257" s="59"/>
      <c r="I257" s="59"/>
      <c r="J257" s="59"/>
      <c r="K257" s="59"/>
    </row>
    <row r="258" spans="3:11" x14ac:dyDescent="0.25">
      <c r="C258" s="13" t="s">
        <v>218</v>
      </c>
    </row>
    <row r="259" spans="3:11" x14ac:dyDescent="0.25">
      <c r="C259" s="47" t="s">
        <v>68</v>
      </c>
      <c r="D259" s="48">
        <f t="shared" ref="D259:K259" si="72">D$13</f>
        <v>2023</v>
      </c>
      <c r="E259" s="48">
        <f t="shared" si="72"/>
        <v>2024</v>
      </c>
      <c r="F259" s="48">
        <f t="shared" si="72"/>
        <v>2025</v>
      </c>
      <c r="G259" s="49">
        <f t="shared" si="72"/>
        <v>2026</v>
      </c>
      <c r="H259" s="49">
        <f t="shared" si="72"/>
        <v>2027</v>
      </c>
      <c r="I259" s="49">
        <f t="shared" si="72"/>
        <v>2028</v>
      </c>
      <c r="J259" s="49">
        <f t="shared" si="72"/>
        <v>2029</v>
      </c>
      <c r="K259" s="49">
        <f t="shared" si="72"/>
        <v>2030</v>
      </c>
    </row>
    <row r="260" spans="3:11" x14ac:dyDescent="0.25">
      <c r="C260" s="42" t="s">
        <v>69</v>
      </c>
      <c r="D260" s="86">
        <f t="shared" ref="D260:K260" si="73">D$14</f>
        <v>45291</v>
      </c>
      <c r="E260" s="86">
        <f t="shared" si="73"/>
        <v>45657</v>
      </c>
      <c r="F260" s="86">
        <f t="shared" si="73"/>
        <v>46022</v>
      </c>
      <c r="G260" s="86">
        <f t="shared" si="73"/>
        <v>46387</v>
      </c>
      <c r="H260" s="86">
        <f t="shared" si="73"/>
        <v>46752</v>
      </c>
      <c r="I260" s="86">
        <f t="shared" si="73"/>
        <v>47118</v>
      </c>
      <c r="J260" s="86">
        <f t="shared" si="73"/>
        <v>47483</v>
      </c>
      <c r="K260" s="86">
        <f t="shared" si="73"/>
        <v>47848</v>
      </c>
    </row>
    <row r="261" spans="3:11" x14ac:dyDescent="0.25">
      <c r="D261" s="19"/>
      <c r="E261" s="19"/>
      <c r="F261" s="19"/>
      <c r="G261" s="59"/>
      <c r="H261" s="59"/>
      <c r="I261" s="59"/>
      <c r="J261" s="59"/>
      <c r="K261" s="59"/>
    </row>
    <row r="262" spans="3:11" x14ac:dyDescent="0.25">
      <c r="C262" s="6" t="s">
        <v>219</v>
      </c>
      <c r="E262" s="59">
        <f t="shared" ref="E262:K262" si="74">D266</f>
        <v>829630278</v>
      </c>
      <c r="F262" s="59">
        <f t="shared" si="74"/>
        <v>907351776</v>
      </c>
      <c r="G262" s="59">
        <f t="shared" si="74"/>
        <v>1009659901</v>
      </c>
      <c r="H262" s="59">
        <f t="shared" si="74"/>
        <v>1104505512.3154206</v>
      </c>
      <c r="I262" s="59">
        <f t="shared" si="74"/>
        <v>1213220070.6013234</v>
      </c>
      <c r="J262" s="59">
        <f t="shared" si="74"/>
        <v>1333615071.6649277</v>
      </c>
      <c r="K262" s="59">
        <f t="shared" si="74"/>
        <v>1462164689.9511333</v>
      </c>
    </row>
    <row r="263" spans="3:11" x14ac:dyDescent="0.25">
      <c r="C263" s="17" t="s">
        <v>220</v>
      </c>
      <c r="D263" s="90">
        <v>623106746</v>
      </c>
      <c r="E263" s="90">
        <v>182425956</v>
      </c>
      <c r="F263" s="90">
        <f>197681575+32811166</f>
        <v>230492741</v>
      </c>
      <c r="G263" s="59">
        <f>G269*G$18</f>
        <v>226860092.49818832</v>
      </c>
      <c r="H263" s="59">
        <f>H269*H$18</f>
        <v>253130239.27651316</v>
      </c>
      <c r="I263" s="59">
        <f>I269*I$18</f>
        <v>279025266.58402789</v>
      </c>
      <c r="J263" s="59">
        <f>J269*J$18</f>
        <v>302921702.99412847</v>
      </c>
      <c r="K263" s="59">
        <f>K269*K$18</f>
        <v>326962602.42217618</v>
      </c>
    </row>
    <row r="264" spans="3:11" x14ac:dyDescent="0.25">
      <c r="C264" s="17" t="s">
        <v>221</v>
      </c>
      <c r="D264" s="61">
        <v>59014040</v>
      </c>
      <c r="E264" s="61">
        <v>89305188</v>
      </c>
      <c r="F264" s="61">
        <v>129901530</v>
      </c>
      <c r="G264" s="59">
        <f>G270*F266</f>
        <v>144548530.55751172</v>
      </c>
      <c r="H264" s="59">
        <f>H270*G266</f>
        <v>158127156.12429348</v>
      </c>
      <c r="I264" s="59">
        <f>I270*H266</f>
        <v>173691337.32518303</v>
      </c>
      <c r="J264" s="59">
        <f>J270*I266</f>
        <v>190927755.72010756</v>
      </c>
      <c r="K264" s="59">
        <f>K270*J266</f>
        <v>209331634.5000771</v>
      </c>
    </row>
    <row r="265" spans="3:11" x14ac:dyDescent="0.25">
      <c r="C265" s="17" t="s">
        <v>222</v>
      </c>
      <c r="D265" s="90">
        <v>-103883829</v>
      </c>
      <c r="E265" s="61">
        <v>-178547503</v>
      </c>
      <c r="F265" s="61">
        <v>-248539077</v>
      </c>
      <c r="G265" s="59">
        <f>-G271*F266</f>
        <v>-276563011.74027944</v>
      </c>
      <c r="H265" s="59">
        <f>-H271*G266</f>
        <v>-302542837.11490393</v>
      </c>
      <c r="I265" s="59">
        <f>-I271*H266</f>
        <v>-332321602.84560657</v>
      </c>
      <c r="J265" s="59">
        <f>-J271*I266</f>
        <v>-365299840.42803043</v>
      </c>
      <c r="K265" s="59">
        <f>-K271*J266</f>
        <v>-400511766.30137092</v>
      </c>
    </row>
    <row r="266" spans="3:11" x14ac:dyDescent="0.25">
      <c r="C266" s="6" t="s">
        <v>223</v>
      </c>
      <c r="D266" s="19">
        <f>D90+D99</f>
        <v>829630278</v>
      </c>
      <c r="E266" s="19">
        <f>E90+E99</f>
        <v>907351776</v>
      </c>
      <c r="F266" s="19">
        <f>F90+F99</f>
        <v>1009659901</v>
      </c>
      <c r="G266" s="59">
        <f>SUM(G262:G265)</f>
        <v>1104505512.3154206</v>
      </c>
      <c r="H266" s="59">
        <f>SUM(H262:H265)</f>
        <v>1213220070.6013234</v>
      </c>
      <c r="I266" s="59">
        <f>SUM(I262:I265)</f>
        <v>1333615071.6649277</v>
      </c>
      <c r="J266" s="59">
        <f>SUM(J262:J265)</f>
        <v>1462164689.9511333</v>
      </c>
      <c r="K266" s="59">
        <f>SUM(K262:K265)</f>
        <v>1597947160.5720155</v>
      </c>
    </row>
    <row r="267" spans="3:11" x14ac:dyDescent="0.25">
      <c r="C267" s="6" t="s">
        <v>224</v>
      </c>
      <c r="D267" s="101">
        <f>D90/D266</f>
        <v>0.19770556999849517</v>
      </c>
      <c r="E267" s="101">
        <f>E90/E266</f>
        <v>0.32787454752279011</v>
      </c>
      <c r="F267" s="101">
        <f>F90/F266</f>
        <v>0.32457296825933862</v>
      </c>
      <c r="G267" s="163">
        <f>F267</f>
        <v>0.32457296825933862</v>
      </c>
      <c r="H267" s="163">
        <f>G267</f>
        <v>0.32457296825933862</v>
      </c>
      <c r="I267" s="163">
        <f>H267</f>
        <v>0.32457296825933862</v>
      </c>
      <c r="J267" s="163">
        <f>I267</f>
        <v>0.32457296825933862</v>
      </c>
      <c r="K267" s="163">
        <f>J267</f>
        <v>0.32457296825933862</v>
      </c>
    </row>
    <row r="268" spans="3:11" x14ac:dyDescent="0.25">
      <c r="D268" s="101"/>
      <c r="E268" s="73"/>
      <c r="F268" s="73"/>
      <c r="G268" s="73"/>
      <c r="H268" s="73"/>
      <c r="I268" s="73"/>
      <c r="J268" s="73"/>
      <c r="K268" s="73"/>
    </row>
    <row r="269" spans="3:11" x14ac:dyDescent="0.25">
      <c r="C269" s="6" t="s">
        <v>225</v>
      </c>
      <c r="D269" s="22">
        <f>D263/D$18</f>
        <v>6.6202631222959635E-2</v>
      </c>
      <c r="E269" s="22">
        <f>E263/E$18</f>
        <v>1.3783700670999242E-2</v>
      </c>
      <c r="F269" s="22">
        <f>F263/F$18</f>
        <v>1.1634886812726989E-2</v>
      </c>
      <c r="G269" s="77">
        <f t="shared" ref="G269:K271" si="75">F269</f>
        <v>1.1634886812726989E-2</v>
      </c>
      <c r="H269" s="77">
        <f t="shared" si="75"/>
        <v>1.1634886812726989E-2</v>
      </c>
      <c r="I269" s="77">
        <f t="shared" si="75"/>
        <v>1.1634886812726989E-2</v>
      </c>
      <c r="J269" s="77">
        <f t="shared" si="75"/>
        <v>1.1634886812726989E-2</v>
      </c>
      <c r="K269" s="77">
        <f t="shared" si="75"/>
        <v>1.1634886812726989E-2</v>
      </c>
    </row>
    <row r="270" spans="3:11" x14ac:dyDescent="0.25">
      <c r="C270" s="6" t="s">
        <v>226</v>
      </c>
      <c r="D270" s="22"/>
      <c r="E270" s="22">
        <f>E264/D266</f>
        <v>0.10764456212385247</v>
      </c>
      <c r="F270" s="22">
        <f>F264/E266</f>
        <v>0.14316556536943395</v>
      </c>
      <c r="G270" s="77">
        <f t="shared" si="75"/>
        <v>0.14316556536943395</v>
      </c>
      <c r="H270" s="77">
        <f t="shared" si="75"/>
        <v>0.14316556536943395</v>
      </c>
      <c r="I270" s="77">
        <f t="shared" si="75"/>
        <v>0.14316556536943395</v>
      </c>
      <c r="J270" s="77">
        <f t="shared" si="75"/>
        <v>0.14316556536943395</v>
      </c>
      <c r="K270" s="77">
        <f t="shared" si="75"/>
        <v>0.14316556536943395</v>
      </c>
    </row>
    <row r="271" spans="3:11" x14ac:dyDescent="0.25">
      <c r="C271" s="6" t="s">
        <v>227</v>
      </c>
      <c r="D271" s="22"/>
      <c r="E271" s="22">
        <f>-E265/D266</f>
        <v>0.21521333988728891</v>
      </c>
      <c r="F271" s="22">
        <f>-F265/E266</f>
        <v>0.27391700063195779</v>
      </c>
      <c r="G271" s="77">
        <f t="shared" si="75"/>
        <v>0.27391700063195779</v>
      </c>
      <c r="H271" s="77">
        <f t="shared" si="75"/>
        <v>0.27391700063195779</v>
      </c>
      <c r="I271" s="77">
        <f t="shared" si="75"/>
        <v>0.27391700063195779</v>
      </c>
      <c r="J271" s="77">
        <f t="shared" si="75"/>
        <v>0.27391700063195779</v>
      </c>
      <c r="K271" s="77">
        <f t="shared" si="75"/>
        <v>0.27391700063195779</v>
      </c>
    </row>
    <row r="273" spans="3:11" x14ac:dyDescent="0.25">
      <c r="C273" s="13" t="s">
        <v>228</v>
      </c>
    </row>
    <row r="274" spans="3:11" x14ac:dyDescent="0.25">
      <c r="C274" s="47" t="s">
        <v>68</v>
      </c>
      <c r="D274" s="48">
        <f t="shared" ref="D274:K274" si="76">D$13</f>
        <v>2023</v>
      </c>
      <c r="E274" s="48">
        <f t="shared" si="76"/>
        <v>2024</v>
      </c>
      <c r="F274" s="48">
        <f t="shared" si="76"/>
        <v>2025</v>
      </c>
      <c r="G274" s="49">
        <f t="shared" si="76"/>
        <v>2026</v>
      </c>
      <c r="H274" s="49">
        <f t="shared" si="76"/>
        <v>2027</v>
      </c>
      <c r="I274" s="49">
        <f t="shared" si="76"/>
        <v>2028</v>
      </c>
      <c r="J274" s="49">
        <f t="shared" si="76"/>
        <v>2029</v>
      </c>
      <c r="K274" s="49">
        <f t="shared" si="76"/>
        <v>2030</v>
      </c>
    </row>
    <row r="275" spans="3:11" x14ac:dyDescent="0.25">
      <c r="C275" s="42" t="s">
        <v>69</v>
      </c>
      <c r="D275" s="86">
        <f t="shared" ref="D275:K275" si="77">D$14</f>
        <v>45291</v>
      </c>
      <c r="E275" s="86">
        <f t="shared" si="77"/>
        <v>45657</v>
      </c>
      <c r="F275" s="86">
        <f t="shared" si="77"/>
        <v>46022</v>
      </c>
      <c r="G275" s="86">
        <f t="shared" si="77"/>
        <v>46387</v>
      </c>
      <c r="H275" s="86">
        <f t="shared" si="77"/>
        <v>46752</v>
      </c>
      <c r="I275" s="86">
        <f t="shared" si="77"/>
        <v>47118</v>
      </c>
      <c r="J275" s="86">
        <f t="shared" si="77"/>
        <v>47483</v>
      </c>
      <c r="K275" s="86">
        <f t="shared" si="77"/>
        <v>47848</v>
      </c>
    </row>
    <row r="276" spans="3:11" x14ac:dyDescent="0.25">
      <c r="C276" s="164"/>
      <c r="D276" s="165"/>
      <c r="E276" s="166"/>
      <c r="F276" s="166"/>
      <c r="G276" s="166"/>
      <c r="H276" s="166"/>
      <c r="I276" s="166"/>
      <c r="J276" s="166"/>
      <c r="K276" s="166"/>
    </row>
    <row r="277" spans="3:11" x14ac:dyDescent="0.25">
      <c r="C277" s="6" t="s">
        <v>229</v>
      </c>
      <c r="D277" s="19"/>
      <c r="E277" s="59">
        <f t="shared" ref="E277:K277" si="78">D280</f>
        <v>385138334</v>
      </c>
      <c r="F277" s="59">
        <f t="shared" si="78"/>
        <v>461196600</v>
      </c>
      <c r="G277" s="59">
        <f t="shared" si="78"/>
        <v>550928126</v>
      </c>
      <c r="H277" s="59">
        <f t="shared" si="78"/>
        <v>630141992.65604234</v>
      </c>
      <c r="I277" s="59">
        <f t="shared" si="78"/>
        <v>714397050.99776709</v>
      </c>
      <c r="J277" s="59">
        <f t="shared" si="78"/>
        <v>801967165.16763163</v>
      </c>
      <c r="K277" s="59">
        <f t="shared" si="78"/>
        <v>889965324.42109132</v>
      </c>
    </row>
    <row r="278" spans="3:11" x14ac:dyDescent="0.25">
      <c r="C278" s="17" t="s">
        <v>230</v>
      </c>
      <c r="D278" s="160">
        <v>223106746</v>
      </c>
      <c r="E278" s="160">
        <v>182425956</v>
      </c>
      <c r="F278" s="160">
        <v>220381374</v>
      </c>
      <c r="G278" s="59">
        <f>G263</f>
        <v>226860092.49818832</v>
      </c>
      <c r="H278" s="59">
        <f>H263</f>
        <v>253130239.27651316</v>
      </c>
      <c r="I278" s="59">
        <f>I263</f>
        <v>279025266.58402789</v>
      </c>
      <c r="J278" s="59">
        <f>J263</f>
        <v>302921702.99412847</v>
      </c>
      <c r="K278" s="59">
        <f>K263</f>
        <v>326962602.42217618</v>
      </c>
    </row>
    <row r="279" spans="3:11" x14ac:dyDescent="0.25">
      <c r="C279" s="17" t="s">
        <v>231</v>
      </c>
      <c r="D279" s="160">
        <v>-72874111</v>
      </c>
      <c r="E279" s="160">
        <v>-97043818</v>
      </c>
      <c r="F279" s="160">
        <v>-123598586</v>
      </c>
      <c r="G279" s="59">
        <f>-G283*F280</f>
        <v>-147646225.84214592</v>
      </c>
      <c r="H279" s="59">
        <f>-H283*G280</f>
        <v>-168875180.93478835</v>
      </c>
      <c r="I279" s="59">
        <f>-I283*H280</f>
        <v>-191455152.41416329</v>
      </c>
      <c r="J279" s="59">
        <f>-J283*I280</f>
        <v>-214923543.74066877</v>
      </c>
      <c r="K279" s="59">
        <f>-K283*J280</f>
        <v>-238506649.19793025</v>
      </c>
    </row>
    <row r="280" spans="3:11" x14ac:dyDescent="0.25">
      <c r="C280" s="6" t="s">
        <v>232</v>
      </c>
      <c r="D280" s="19">
        <f>D71</f>
        <v>385138334</v>
      </c>
      <c r="E280" s="19">
        <f>E71</f>
        <v>461196600</v>
      </c>
      <c r="F280" s="19">
        <f>F71</f>
        <v>550928126</v>
      </c>
      <c r="G280" s="59">
        <f>SUM(G277:G279)</f>
        <v>630141992.65604234</v>
      </c>
      <c r="H280" s="59">
        <f>SUM(H277:H279)</f>
        <v>714397050.99776709</v>
      </c>
      <c r="I280" s="59">
        <f>SUM(I277:I279)</f>
        <v>801967165.16763163</v>
      </c>
      <c r="J280" s="59">
        <f>SUM(J277:J279)</f>
        <v>889965324.42109132</v>
      </c>
      <c r="K280" s="59">
        <f>SUM(K277:K279)</f>
        <v>978421277.64533722</v>
      </c>
    </row>
    <row r="281" spans="3:11" x14ac:dyDescent="0.25">
      <c r="D281" s="19"/>
      <c r="E281" s="19"/>
      <c r="F281" s="19"/>
      <c r="G281" s="59"/>
      <c r="H281" s="59"/>
      <c r="I281" s="59"/>
      <c r="J281" s="59"/>
      <c r="K281" s="59"/>
    </row>
    <row r="282" spans="3:11" x14ac:dyDescent="0.25">
      <c r="C282" s="6" t="s">
        <v>233</v>
      </c>
      <c r="D282" s="1">
        <f>D278/D18</f>
        <v>2.3704210752987936E-2</v>
      </c>
      <c r="E282" s="1">
        <f>E278/E18</f>
        <v>1.3783700670999242E-2</v>
      </c>
      <c r="F282" s="1">
        <f>F278/F18</f>
        <v>1.1124481972832518E-2</v>
      </c>
      <c r="G282" s="77">
        <f t="shared" ref="G282:K283" si="79">F282</f>
        <v>1.1124481972832518E-2</v>
      </c>
      <c r="H282" s="77">
        <f t="shared" si="79"/>
        <v>1.1124481972832518E-2</v>
      </c>
      <c r="I282" s="77">
        <f t="shared" si="79"/>
        <v>1.1124481972832518E-2</v>
      </c>
      <c r="J282" s="77">
        <f t="shared" si="79"/>
        <v>1.1124481972832518E-2</v>
      </c>
      <c r="K282" s="77">
        <f t="shared" si="79"/>
        <v>1.1124481972832518E-2</v>
      </c>
    </row>
    <row r="283" spans="3:11" x14ac:dyDescent="0.25">
      <c r="C283" s="6" t="s">
        <v>234</v>
      </c>
      <c r="D283" s="1"/>
      <c r="E283" s="1">
        <f>-E279/D280</f>
        <v>0.25197132934578254</v>
      </c>
      <c r="F283" s="1">
        <f>-F279/E280</f>
        <v>0.26799544055615326</v>
      </c>
      <c r="G283" s="77">
        <f t="shared" si="79"/>
        <v>0.26799544055615326</v>
      </c>
      <c r="H283" s="77">
        <f t="shared" si="79"/>
        <v>0.26799544055615326</v>
      </c>
      <c r="I283" s="77">
        <f t="shared" si="79"/>
        <v>0.26799544055615326</v>
      </c>
      <c r="J283" s="77">
        <f t="shared" si="79"/>
        <v>0.26799544055615326</v>
      </c>
      <c r="K283" s="77">
        <f t="shared" si="79"/>
        <v>0.26799544055615326</v>
      </c>
    </row>
    <row r="285" spans="3:11" x14ac:dyDescent="0.25">
      <c r="C285" s="13" t="s">
        <v>112</v>
      </c>
    </row>
    <row r="286" spans="3:11" x14ac:dyDescent="0.25">
      <c r="C286" s="47" t="s">
        <v>68</v>
      </c>
      <c r="D286" s="48">
        <f t="shared" ref="D286:K286" si="80">D$13</f>
        <v>2023</v>
      </c>
      <c r="E286" s="48">
        <f t="shared" si="80"/>
        <v>2024</v>
      </c>
      <c r="F286" s="48">
        <f t="shared" si="80"/>
        <v>2025</v>
      </c>
      <c r="G286" s="49">
        <f t="shared" si="80"/>
        <v>2026</v>
      </c>
      <c r="H286" s="49">
        <f t="shared" si="80"/>
        <v>2027</v>
      </c>
      <c r="I286" s="49">
        <f t="shared" si="80"/>
        <v>2028</v>
      </c>
      <c r="J286" s="49">
        <f t="shared" si="80"/>
        <v>2029</v>
      </c>
      <c r="K286" s="49">
        <f t="shared" si="80"/>
        <v>2030</v>
      </c>
    </row>
    <row r="287" spans="3:11" x14ac:dyDescent="0.25">
      <c r="C287" s="42" t="s">
        <v>69</v>
      </c>
      <c r="D287" s="86">
        <f t="shared" ref="D287:K287" si="81">D$14</f>
        <v>45291</v>
      </c>
      <c r="E287" s="86">
        <f t="shared" si="81"/>
        <v>45657</v>
      </c>
      <c r="F287" s="86">
        <f t="shared" si="81"/>
        <v>46022</v>
      </c>
      <c r="G287" s="86">
        <f t="shared" si="81"/>
        <v>46387</v>
      </c>
      <c r="H287" s="86">
        <f t="shared" si="81"/>
        <v>46752</v>
      </c>
      <c r="I287" s="86">
        <f t="shared" si="81"/>
        <v>47118</v>
      </c>
      <c r="J287" s="86">
        <f t="shared" si="81"/>
        <v>47483</v>
      </c>
      <c r="K287" s="86">
        <f t="shared" si="81"/>
        <v>47848</v>
      </c>
    </row>
    <row r="289" spans="3:17" x14ac:dyDescent="0.25">
      <c r="C289" s="6" t="s">
        <v>168</v>
      </c>
      <c r="D289" s="19"/>
      <c r="E289" s="59">
        <f t="shared" ref="E289:K289" si="82">D292</f>
        <v>21701220</v>
      </c>
      <c r="F289" s="59">
        <f t="shared" si="82"/>
        <v>21797152</v>
      </c>
      <c r="G289" s="59">
        <f t="shared" si="82"/>
        <v>540234310</v>
      </c>
      <c r="H289" s="59">
        <f t="shared" si="82"/>
        <v>472199191.66173577</v>
      </c>
      <c r="I289" s="59">
        <f t="shared" si="82"/>
        <v>400428946.93180323</v>
      </c>
      <c r="J289" s="59">
        <f t="shared" si="82"/>
        <v>323962391.23326641</v>
      </c>
      <c r="K289" s="59">
        <f t="shared" si="82"/>
        <v>241600073.74524707</v>
      </c>
    </row>
    <row r="290" spans="3:17" x14ac:dyDescent="0.25">
      <c r="C290" s="17" t="s">
        <v>235</v>
      </c>
      <c r="D290" s="90"/>
      <c r="E290" s="61">
        <v>465802</v>
      </c>
      <c r="F290" s="61">
        <f>482283564+47922100</f>
        <v>530205664</v>
      </c>
      <c r="G290" s="170">
        <f>G294*G18</f>
        <v>38996527.624150865</v>
      </c>
      <c r="H290" s="170">
        <f>H294*H18</f>
        <v>43512282.216552898</v>
      </c>
      <c r="I290" s="170">
        <f>I294*I18</f>
        <v>47963554.966226585</v>
      </c>
      <c r="J290" s="170">
        <f>J294*J18</f>
        <v>52071276.303740785</v>
      </c>
      <c r="K290" s="170">
        <f>K294*K18</f>
        <v>56203830.374099292</v>
      </c>
    </row>
    <row r="291" spans="3:17" x14ac:dyDescent="0.25">
      <c r="C291" s="17" t="s">
        <v>236</v>
      </c>
      <c r="D291" s="90"/>
      <c r="E291" s="61">
        <v>-369870</v>
      </c>
      <c r="F291" s="61">
        <v>-11768506</v>
      </c>
      <c r="G291" s="170">
        <f>-G380*(F378+G290/2)</f>
        <v>-107031645.9624151</v>
      </c>
      <c r="H291" s="170">
        <f>-H380*(G378+H290/2)</f>
        <v>-115282526.94648547</v>
      </c>
      <c r="I291" s="170">
        <f>-I380*(H378+I290/2)</f>
        <v>-124430110.66476341</v>
      </c>
      <c r="J291" s="170">
        <f>-J380*(I378+J290/2)</f>
        <v>-134433593.79176015</v>
      </c>
      <c r="K291" s="170">
        <f>-K380*(J378+K290/2)</f>
        <v>-145261104.45954415</v>
      </c>
    </row>
    <row r="292" spans="3:17" x14ac:dyDescent="0.25">
      <c r="C292" s="6" t="s">
        <v>171</v>
      </c>
      <c r="D292" s="19">
        <f>D73</f>
        <v>21701220</v>
      </c>
      <c r="E292" s="19">
        <f>E73</f>
        <v>21797152</v>
      </c>
      <c r="F292" s="19">
        <f>F73</f>
        <v>540234310</v>
      </c>
      <c r="G292" s="59">
        <f>SUM(G289:G291)</f>
        <v>472199191.66173577</v>
      </c>
      <c r="H292" s="59">
        <f>SUM(H289:H291)</f>
        <v>400428946.93180323</v>
      </c>
      <c r="I292" s="59">
        <f>SUM(I289:I291)</f>
        <v>323962391.23326641</v>
      </c>
      <c r="J292" s="59">
        <f>SUM(J289:J291)</f>
        <v>241600073.74524707</v>
      </c>
      <c r="K292" s="59">
        <f>SUM(K289:K291)</f>
        <v>152542799.65980223</v>
      </c>
    </row>
    <row r="293" spans="3:17" x14ac:dyDescent="0.25">
      <c r="D293" s="73"/>
      <c r="E293" s="73"/>
      <c r="F293" s="73"/>
      <c r="G293" s="74"/>
      <c r="H293" s="74"/>
      <c r="I293" s="74"/>
      <c r="J293" s="74"/>
      <c r="K293" s="74"/>
    </row>
    <row r="294" spans="3:17" x14ac:dyDescent="0.25">
      <c r="C294" s="6" t="s">
        <v>233</v>
      </c>
      <c r="D294" s="1"/>
      <c r="E294" s="1">
        <f>E290/E18</f>
        <v>3.5194966115199027E-5</v>
      </c>
      <c r="F294" s="1">
        <f>F290/F18</f>
        <v>2.6763892265512852E-2</v>
      </c>
      <c r="G294" s="77">
        <v>2E-3</v>
      </c>
      <c r="H294" s="77">
        <f>G294</f>
        <v>2E-3</v>
      </c>
      <c r="I294" s="77">
        <f>H294</f>
        <v>2E-3</v>
      </c>
      <c r="J294" s="77">
        <f>I294</f>
        <v>2E-3</v>
      </c>
      <c r="K294" s="77">
        <f>J294</f>
        <v>2E-3</v>
      </c>
    </row>
    <row r="295" spans="3:17" x14ac:dyDescent="0.25">
      <c r="C295" s="6" t="s">
        <v>237</v>
      </c>
      <c r="D295" s="1"/>
      <c r="E295" s="1">
        <f t="shared" ref="E295:K295" si="83">E291/E18</f>
        <v>-2.7946556942710991E-5</v>
      </c>
      <c r="F295" s="1">
        <f t="shared" si="83"/>
        <v>-5.9405443603492247E-4</v>
      </c>
      <c r="G295" s="1">
        <f t="shared" si="83"/>
        <v>-5.4892910976068309E-3</v>
      </c>
      <c r="H295" s="1">
        <f t="shared" si="83"/>
        <v>-5.2988499372542599E-3</v>
      </c>
      <c r="I295" s="1">
        <f t="shared" si="83"/>
        <v>-5.1885274455732294E-3</v>
      </c>
      <c r="J295" s="1">
        <f t="shared" si="83"/>
        <v>-5.1634453132120553E-3</v>
      </c>
      <c r="K295" s="1">
        <f t="shared" si="83"/>
        <v>-5.1690820178151272E-3</v>
      </c>
    </row>
    <row r="297" spans="3:17" s="13" customFormat="1" x14ac:dyDescent="0.25">
      <c r="C297" s="13" t="s">
        <v>238</v>
      </c>
      <c r="D297" s="258"/>
      <c r="N297" s="13" t="s">
        <v>239</v>
      </c>
    </row>
    <row r="298" spans="3:17" x14ac:dyDescent="0.25">
      <c r="C298" s="47" t="s">
        <v>68</v>
      </c>
      <c r="D298" s="48">
        <f t="shared" ref="D298:K298" si="84">D$13</f>
        <v>2023</v>
      </c>
      <c r="E298" s="48">
        <f t="shared" si="84"/>
        <v>2024</v>
      </c>
      <c r="F298" s="48">
        <f t="shared" si="84"/>
        <v>2025</v>
      </c>
      <c r="G298" s="49">
        <f t="shared" si="84"/>
        <v>2026</v>
      </c>
      <c r="H298" s="49">
        <f t="shared" si="84"/>
        <v>2027</v>
      </c>
      <c r="I298" s="49">
        <f t="shared" si="84"/>
        <v>2028</v>
      </c>
      <c r="J298" s="49">
        <f t="shared" si="84"/>
        <v>2029</v>
      </c>
      <c r="K298" s="49">
        <f t="shared" si="84"/>
        <v>2030</v>
      </c>
      <c r="N298" s="6" t="s">
        <v>240</v>
      </c>
      <c r="O298" s="6" t="s">
        <v>241</v>
      </c>
      <c r="P298" s="6" t="s">
        <v>242</v>
      </c>
      <c r="Q298" s="6" t="s">
        <v>243</v>
      </c>
    </row>
    <row r="299" spans="3:17" x14ac:dyDescent="0.25">
      <c r="C299" s="42" t="s">
        <v>69</v>
      </c>
      <c r="D299" s="86">
        <f t="shared" ref="D299:K299" si="85">D$14</f>
        <v>45291</v>
      </c>
      <c r="E299" s="86">
        <f t="shared" si="85"/>
        <v>45657</v>
      </c>
      <c r="F299" s="86">
        <f t="shared" si="85"/>
        <v>46022</v>
      </c>
      <c r="G299" s="86">
        <f t="shared" si="85"/>
        <v>46387</v>
      </c>
      <c r="H299" s="86">
        <f t="shared" si="85"/>
        <v>46752</v>
      </c>
      <c r="I299" s="86">
        <f t="shared" si="85"/>
        <v>47118</v>
      </c>
      <c r="J299" s="86">
        <f t="shared" si="85"/>
        <v>47483</v>
      </c>
      <c r="K299" s="86">
        <f t="shared" si="85"/>
        <v>47848</v>
      </c>
      <c r="N299" s="273">
        <v>45292</v>
      </c>
      <c r="O299" s="274">
        <v>0.20250000000000001</v>
      </c>
      <c r="P299" s="59">
        <f>N300-N299+1</f>
        <v>32</v>
      </c>
      <c r="Q299" s="274">
        <v>0.1925</v>
      </c>
    </row>
    <row r="300" spans="3:17" x14ac:dyDescent="0.25">
      <c r="N300" s="273">
        <v>45323</v>
      </c>
      <c r="O300" s="274">
        <v>0.2225</v>
      </c>
      <c r="P300" s="59">
        <f>N301-N300</f>
        <v>34</v>
      </c>
      <c r="Q300" s="274">
        <v>0.21249999999999999</v>
      </c>
    </row>
    <row r="301" spans="3:17" x14ac:dyDescent="0.25">
      <c r="C301" s="6" t="s">
        <v>244</v>
      </c>
      <c r="D301" s="97">
        <v>1</v>
      </c>
      <c r="N301" s="273">
        <v>45357</v>
      </c>
      <c r="O301" s="274">
        <v>0.28249999999999997</v>
      </c>
      <c r="P301" s="6">
        <f>DATE(2024,12,31)-N301</f>
        <v>300</v>
      </c>
      <c r="Q301" s="274">
        <v>0.27250000000000002</v>
      </c>
    </row>
    <row r="303" spans="3:17" x14ac:dyDescent="0.25">
      <c r="C303" s="6" t="s">
        <v>245</v>
      </c>
      <c r="D303" s="73"/>
      <c r="E303" s="260">
        <f>SUMPRODUCT(O299:O301,P299:P301)/SUM(P299:P301)</f>
        <v>0.26993169398907102</v>
      </c>
      <c r="F303" s="260">
        <f>SUMPRODUCT(O303:O308,P303:P308)/SUM(P303:P308)</f>
        <v>0.2510068493150685</v>
      </c>
      <c r="G303" s="257">
        <f>(45*21%+320*20%)/365</f>
        <v>0.20123287671232878</v>
      </c>
      <c r="H303" s="257">
        <v>0.2</v>
      </c>
      <c r="I303" s="257">
        <f t="shared" ref="I303:K305" si="86">H303</f>
        <v>0.2</v>
      </c>
      <c r="J303" s="257">
        <f t="shared" si="86"/>
        <v>0.2</v>
      </c>
      <c r="K303" s="257">
        <f t="shared" si="86"/>
        <v>0.2</v>
      </c>
      <c r="N303" s="273">
        <v>45658</v>
      </c>
      <c r="O303" s="274">
        <v>0.28249999999999997</v>
      </c>
      <c r="P303" s="6">
        <f>N304-N303+1</f>
        <v>107</v>
      </c>
      <c r="Q303" s="274">
        <v>0.27250000000000002</v>
      </c>
    </row>
    <row r="304" spans="3:17" x14ac:dyDescent="0.25">
      <c r="C304" s="6" t="s">
        <v>246</v>
      </c>
      <c r="D304" s="73"/>
      <c r="E304" s="260">
        <f>SUMPRODUCT(Q299:Q301,P299:P301)/SUM(P299:P301)</f>
        <v>0.25993169398907107</v>
      </c>
      <c r="F304" s="260">
        <f>SUMPRODUCT(Q303:Q308,P303:P308)/SUM(P303:P308)</f>
        <v>0.24100684931506849</v>
      </c>
      <c r="G304" s="257">
        <f>(45*20%+320*19%)/365</f>
        <v>0.19123287671232875</v>
      </c>
      <c r="H304" s="257">
        <v>0.19</v>
      </c>
      <c r="I304" s="257">
        <f t="shared" si="86"/>
        <v>0.19</v>
      </c>
      <c r="J304" s="257">
        <f t="shared" si="86"/>
        <v>0.19</v>
      </c>
      <c r="K304" s="257">
        <f t="shared" si="86"/>
        <v>0.19</v>
      </c>
      <c r="N304" s="273">
        <v>45764</v>
      </c>
      <c r="O304" s="274">
        <v>0.26</v>
      </c>
      <c r="P304" s="6">
        <f>N305-N304</f>
        <v>35</v>
      </c>
      <c r="Q304" s="274">
        <v>0.25</v>
      </c>
    </row>
    <row r="305" spans="3:17" x14ac:dyDescent="0.25">
      <c r="C305" s="6" t="s">
        <v>247</v>
      </c>
      <c r="D305" s="73"/>
      <c r="E305" s="255">
        <f>E306-E303</f>
        <v>5.3366222065221458E-3</v>
      </c>
      <c r="F305" s="255">
        <f>F306-F303</f>
        <v>4.4818624680722507E-2</v>
      </c>
      <c r="G305" s="255">
        <f>F305</f>
        <v>4.4818624680722507E-2</v>
      </c>
      <c r="H305" s="255">
        <f>G305</f>
        <v>4.4818624680722507E-2</v>
      </c>
      <c r="I305" s="255">
        <f t="shared" si="86"/>
        <v>4.4818624680722507E-2</v>
      </c>
      <c r="J305" s="255">
        <f t="shared" si="86"/>
        <v>4.4818624680722507E-2</v>
      </c>
      <c r="K305" s="255">
        <f t="shared" si="86"/>
        <v>4.4818624680722507E-2</v>
      </c>
      <c r="N305" s="273">
        <v>45799</v>
      </c>
      <c r="O305" s="274">
        <v>0.25</v>
      </c>
      <c r="P305" s="6">
        <f>N306-N305</f>
        <v>98</v>
      </c>
      <c r="Q305" s="274">
        <v>0.24</v>
      </c>
    </row>
    <row r="306" spans="3:17" x14ac:dyDescent="0.25">
      <c r="C306" s="6" t="s">
        <v>248</v>
      </c>
      <c r="E306" s="255">
        <f>-E19/E317</f>
        <v>0.27526831619559317</v>
      </c>
      <c r="F306" s="255">
        <f>-F19/F317</f>
        <v>0.29582547399579101</v>
      </c>
      <c r="G306" s="254">
        <f>G303+G305</f>
        <v>0.24605150139305129</v>
      </c>
      <c r="H306" s="254">
        <f>H303+H305</f>
        <v>0.24481862468072252</v>
      </c>
      <c r="I306" s="254">
        <f>I303+I305</f>
        <v>0.24481862468072252</v>
      </c>
      <c r="J306" s="254">
        <f>J303+J305</f>
        <v>0.24481862468072252</v>
      </c>
      <c r="K306" s="254">
        <f>K303+K305</f>
        <v>0.24481862468072252</v>
      </c>
      <c r="N306" s="273">
        <v>45897</v>
      </c>
      <c r="O306" s="274">
        <v>0.23</v>
      </c>
      <c r="P306" s="6">
        <f>N307-N306</f>
        <v>35</v>
      </c>
      <c r="Q306" s="274">
        <v>0.22</v>
      </c>
    </row>
    <row r="307" spans="3:17" x14ac:dyDescent="0.25">
      <c r="N307" s="273">
        <v>45932</v>
      </c>
      <c r="O307" s="274">
        <v>0.22</v>
      </c>
      <c r="P307" s="6">
        <f>N308-N307</f>
        <v>84</v>
      </c>
      <c r="Q307" s="274">
        <v>0.21</v>
      </c>
    </row>
    <row r="308" spans="3:17" s="13" customFormat="1" x14ac:dyDescent="0.25">
      <c r="C308" s="13" t="s">
        <v>249</v>
      </c>
      <c r="D308" s="258"/>
      <c r="N308" s="273">
        <v>46016</v>
      </c>
      <c r="O308" s="274">
        <v>0.21</v>
      </c>
      <c r="P308" s="6">
        <f>DATE(2025,12,31)-N308</f>
        <v>6</v>
      </c>
      <c r="Q308" s="274">
        <v>0.2</v>
      </c>
    </row>
    <row r="309" spans="3:17" x14ac:dyDescent="0.25">
      <c r="C309" s="6" t="s">
        <v>250</v>
      </c>
      <c r="D309" s="59"/>
      <c r="E309" s="59"/>
      <c r="F309" s="59"/>
      <c r="G309" s="59">
        <f>F311</f>
        <v>2489150170</v>
      </c>
      <c r="H309" s="59">
        <f>G311</f>
        <v>400231712</v>
      </c>
      <c r="I309" s="59">
        <f>H311</f>
        <v>400231712</v>
      </c>
      <c r="J309" s="59">
        <f>I311</f>
        <v>0</v>
      </c>
      <c r="K309" s="59">
        <f>J311</f>
        <v>0</v>
      </c>
    </row>
    <row r="310" spans="3:17" x14ac:dyDescent="0.25">
      <c r="C310" s="6" t="s">
        <v>251</v>
      </c>
      <c r="D310" s="59"/>
      <c r="E310" s="59"/>
      <c r="F310" s="59"/>
      <c r="G310" s="59">
        <f>-F86</f>
        <v>-2088918458</v>
      </c>
      <c r="H310" s="61">
        <v>0</v>
      </c>
      <c r="I310" s="59">
        <f>-H311</f>
        <v>-400231712</v>
      </c>
      <c r="J310" s="61">
        <v>0</v>
      </c>
      <c r="K310" s="61">
        <v>0</v>
      </c>
    </row>
    <row r="311" spans="3:17" x14ac:dyDescent="0.25">
      <c r="C311" s="6" t="s">
        <v>252</v>
      </c>
      <c r="D311" s="59"/>
      <c r="E311" s="59"/>
      <c r="F311" s="59">
        <f>F86+F96</f>
        <v>2489150170</v>
      </c>
      <c r="G311" s="59">
        <f>G309+G310</f>
        <v>400231712</v>
      </c>
      <c r="H311" s="59">
        <f>H309+H310</f>
        <v>400231712</v>
      </c>
      <c r="I311" s="59">
        <f>I309+I310</f>
        <v>0</v>
      </c>
      <c r="J311" s="59">
        <f>J309+J310</f>
        <v>0</v>
      </c>
      <c r="K311" s="59">
        <f>K309+K310</f>
        <v>0</v>
      </c>
    </row>
    <row r="312" spans="3:17" x14ac:dyDescent="0.25">
      <c r="D312" s="59"/>
      <c r="E312" s="59"/>
      <c r="F312" s="59"/>
      <c r="G312" s="59"/>
      <c r="H312" s="59"/>
      <c r="I312" s="59"/>
      <c r="J312" s="59"/>
      <c r="K312" s="59"/>
    </row>
    <row r="313" spans="3:17" x14ac:dyDescent="0.25">
      <c r="C313" s="6" t="s">
        <v>253</v>
      </c>
      <c r="D313" s="59"/>
      <c r="E313" s="59"/>
      <c r="F313" s="59"/>
      <c r="G313" s="59">
        <f>F315</f>
        <v>24205423454</v>
      </c>
      <c r="H313" s="59">
        <f ca="1">G315</f>
        <v>27824542844.227249</v>
      </c>
      <c r="I313" s="59">
        <f ca="1">H315</f>
        <v>30347405497.232681</v>
      </c>
      <c r="J313" s="59">
        <f ca="1">I315</f>
        <v>32809919771.241344</v>
      </c>
      <c r="K313" s="59">
        <f ca="1">J315</f>
        <v>34038777423.796741</v>
      </c>
    </row>
    <row r="314" spans="3:17" x14ac:dyDescent="0.25">
      <c r="C314" s="6" t="s">
        <v>254</v>
      </c>
      <c r="D314" s="59"/>
      <c r="E314" s="59"/>
      <c r="F314" s="59"/>
      <c r="G314" s="59">
        <f ca="1">G334</f>
        <v>3619119390.2272496</v>
      </c>
      <c r="H314" s="59">
        <f ca="1">H334</f>
        <v>2522862653.005434</v>
      </c>
      <c r="I314" s="59">
        <f ca="1">I334</f>
        <v>2462514274.0086641</v>
      </c>
      <c r="J314" s="59">
        <f ca="1">J334</f>
        <v>1228857652.5553963</v>
      </c>
      <c r="K314" s="59">
        <f ca="1">K334</f>
        <v>764411662.85628676</v>
      </c>
    </row>
    <row r="315" spans="3:17" x14ac:dyDescent="0.25">
      <c r="C315" s="6" t="s">
        <v>255</v>
      </c>
      <c r="D315" s="59"/>
      <c r="E315" s="59"/>
      <c r="F315" s="59">
        <f>F85+F95</f>
        <v>24205423454</v>
      </c>
      <c r="G315" s="59">
        <f ca="1">G313+G314</f>
        <v>27824542844.227249</v>
      </c>
      <c r="H315" s="59">
        <f ca="1">H313+H314</f>
        <v>30347405497.232681</v>
      </c>
      <c r="I315" s="59">
        <f ca="1">I313+I314</f>
        <v>32809919771.241344</v>
      </c>
      <c r="J315" s="59">
        <f ca="1">J313+J314</f>
        <v>34038777423.796741</v>
      </c>
      <c r="K315" s="59">
        <f ca="1">K313+K314</f>
        <v>34803189086.65303</v>
      </c>
    </row>
    <row r="316" spans="3:17" x14ac:dyDescent="0.25">
      <c r="C316" s="6" t="s">
        <v>256</v>
      </c>
      <c r="D316" s="18">
        <f>D85+D86+D95+D96+D97</f>
        <v>14518234266</v>
      </c>
      <c r="E316" s="18">
        <f>E85+E86+E95+E96+E97</f>
        <v>20386462427</v>
      </c>
      <c r="F316" s="18">
        <f>F85+F86+F95+F96+F97</f>
        <v>26694573624</v>
      </c>
      <c r="G316" s="18">
        <f ca="1">G311+G315+G97</f>
        <v>28224774556.227249</v>
      </c>
      <c r="H316" s="18">
        <f ca="1">H311+H315+H97</f>
        <v>30747637209.232681</v>
      </c>
      <c r="I316" s="18">
        <f ca="1">I311+I315+I97</f>
        <v>32809919771.241344</v>
      </c>
      <c r="J316" s="18">
        <f ca="1">J311+J315+J97</f>
        <v>34038777423.796741</v>
      </c>
      <c r="K316" s="18">
        <f ca="1">K311+K315+K97</f>
        <v>34803189086.65303</v>
      </c>
    </row>
    <row r="317" spans="3:17" x14ac:dyDescent="0.25">
      <c r="C317" s="6" t="s">
        <v>257</v>
      </c>
      <c r="D317" s="59"/>
      <c r="E317" s="59">
        <f>AVERAGE(D316,E316)</f>
        <v>17452348346.5</v>
      </c>
      <c r="F317" s="59">
        <f>AVERAGE(E316,F316)</f>
        <v>23540518025.5</v>
      </c>
      <c r="G317" s="59">
        <f ca="1">IF($D$301=1,IFERROR(AVERAGE(F316,G316),F316),F316)</f>
        <v>27459674090.113625</v>
      </c>
      <c r="H317" s="59">
        <f ca="1">IF($D$301=1,IFERROR(AVERAGE(G316,H316),G316),G316)</f>
        <v>29486205882.729965</v>
      </c>
      <c r="I317" s="59">
        <f ca="1">IF($D$301=1,IFERROR(AVERAGE(H316,I316),H316),H316)</f>
        <v>31778778490.237015</v>
      </c>
      <c r="J317" s="59">
        <f ca="1">IF($D$301=1,IFERROR(AVERAGE(I316,J316),I316),I316)</f>
        <v>33424348597.519043</v>
      </c>
      <c r="K317" s="59">
        <f ca="1">IF($D$301=1,IFERROR(AVERAGE(J316,K316),J316),J316)</f>
        <v>34420983255.224884</v>
      </c>
    </row>
    <row r="318" spans="3:17" x14ac:dyDescent="0.25">
      <c r="C318" s="6" t="s">
        <v>258</v>
      </c>
      <c r="D318" s="59">
        <f t="shared" ref="D318:K318" si="87">D306*D317</f>
        <v>0</v>
      </c>
      <c r="E318" s="59">
        <f t="shared" si="87"/>
        <v>4804078543</v>
      </c>
      <c r="F318" s="59">
        <f t="shared" si="87"/>
        <v>6963884903</v>
      </c>
      <c r="G318" s="59">
        <f t="shared" ca="1" si="87"/>
        <v>6756494037.6363268</v>
      </c>
      <c r="H318" s="59">
        <f t="shared" ca="1" si="87"/>
        <v>7218772371.2625799</v>
      </c>
      <c r="I318" s="59">
        <f t="shared" ca="1" si="87"/>
        <v>7780036844.0131531</v>
      </c>
      <c r="J318" s="59">
        <f t="shared" ca="1" si="87"/>
        <v>8182903054.4936485</v>
      </c>
      <c r="K318" s="59">
        <f t="shared" ca="1" si="87"/>
        <v>8426897780.7023354</v>
      </c>
    </row>
    <row r="319" spans="3:17" x14ac:dyDescent="0.25">
      <c r="C319" s="6" t="s">
        <v>259</v>
      </c>
      <c r="D319" s="73">
        <f t="shared" ref="D319:K319" si="88">D318/D172</f>
        <v>0</v>
      </c>
      <c r="E319" s="73">
        <f t="shared" si="88"/>
        <v>0.63737496344359779</v>
      </c>
      <c r="F319" s="73">
        <f t="shared" si="88"/>
        <v>0.70393414461570136</v>
      </c>
      <c r="G319" s="73">
        <f t="shared" ca="1" si="88"/>
        <v>0.75344962388894998</v>
      </c>
      <c r="H319" s="73">
        <f t="shared" ca="1" si="88"/>
        <v>0.71476413919916126</v>
      </c>
      <c r="I319" s="73">
        <f t="shared" ca="1" si="88"/>
        <v>0.69076448563951087</v>
      </c>
      <c r="J319" s="73">
        <f t="shared" ca="1" si="88"/>
        <v>0.66249084125306013</v>
      </c>
      <c r="K319" s="73">
        <f t="shared" ca="1" si="88"/>
        <v>0.62896014781518428</v>
      </c>
    </row>
    <row r="320" spans="3:17" x14ac:dyDescent="0.25">
      <c r="C320" s="6" t="s">
        <v>260</v>
      </c>
      <c r="D320" s="73"/>
      <c r="E320" s="73">
        <f t="shared" ref="E320:K320" si="89">D85/(D85+D95)</f>
        <v>0.51243741146408495</v>
      </c>
      <c r="F320" s="73">
        <f t="shared" si="89"/>
        <v>0.49337792772299799</v>
      </c>
      <c r="G320" s="73">
        <f t="shared" si="89"/>
        <v>0.39128564955697387</v>
      </c>
      <c r="H320" s="73">
        <f t="shared" ca="1" si="89"/>
        <v>0.39128564955697387</v>
      </c>
      <c r="I320" s="73">
        <f t="shared" ca="1" si="89"/>
        <v>0.39128564955697387</v>
      </c>
      <c r="J320" s="73">
        <f t="shared" ca="1" si="89"/>
        <v>0.39128564955697381</v>
      </c>
      <c r="K320" s="73">
        <f t="shared" ca="1" si="89"/>
        <v>0.39128564955697381</v>
      </c>
    </row>
    <row r="321" spans="3:11" x14ac:dyDescent="0.25">
      <c r="D321" s="73"/>
      <c r="E321" s="73"/>
      <c r="F321" s="73"/>
      <c r="G321" s="73"/>
      <c r="H321" s="73"/>
      <c r="I321" s="73"/>
      <c r="J321" s="73"/>
      <c r="K321" s="73"/>
    </row>
    <row r="322" spans="3:11" s="13" customFormat="1" x14ac:dyDescent="0.25">
      <c r="C322" s="13" t="s">
        <v>261</v>
      </c>
      <c r="D322" s="258"/>
    </row>
    <row r="323" spans="3:11" x14ac:dyDescent="0.25">
      <c r="C323" s="6" t="s">
        <v>262</v>
      </c>
      <c r="G323" s="27">
        <f>F335</f>
        <v>3458917393</v>
      </c>
      <c r="H323" s="27">
        <f ca="1">G335</f>
        <v>1866746452.704</v>
      </c>
      <c r="I323" s="27">
        <f ca="1">H335</f>
        <v>1937135695.5864532</v>
      </c>
      <c r="J323" s="27">
        <f ca="1">I335</f>
        <v>2053187377.6247032</v>
      </c>
      <c r="K323" s="27">
        <f ca="1">J335</f>
        <v>2148052375.4771018</v>
      </c>
    </row>
    <row r="324" spans="3:11" x14ac:dyDescent="0.25">
      <c r="C324" s="6" t="s">
        <v>263</v>
      </c>
      <c r="G324" s="256">
        <f ca="1">G131</f>
        <v>-1677563293.5874677</v>
      </c>
      <c r="H324" s="256">
        <f ca="1">H131</f>
        <v>-891083972.91663361</v>
      </c>
      <c r="I324" s="256">
        <f ca="1">I131</f>
        <v>-175516507.55458069</v>
      </c>
      <c r="J324" s="256">
        <f ca="1">J131</f>
        <v>831737841.08416653</v>
      </c>
      <c r="K324" s="256">
        <f ca="1">K131</f>
        <v>1460200221.1968632</v>
      </c>
    </row>
    <row r="325" spans="3:11" x14ac:dyDescent="0.25">
      <c r="C325" s="6" t="s">
        <v>264</v>
      </c>
      <c r="G325" s="256">
        <f>G136</f>
        <v>-784929894.01291192</v>
      </c>
      <c r="H325" s="256">
        <f>H136</f>
        <v>-875823904.05823898</v>
      </c>
      <c r="I325" s="256">
        <f>I136</f>
        <v>-965420010.69877267</v>
      </c>
      <c r="J325" s="256">
        <f>J136</f>
        <v>-1048101045.9223492</v>
      </c>
      <c r="K325" s="256">
        <f>K136</f>
        <v>-1131281919.3506858</v>
      </c>
    </row>
    <row r="326" spans="3:11" x14ac:dyDescent="0.25">
      <c r="C326" s="6" t="s">
        <v>265</v>
      </c>
      <c r="G326" s="256">
        <f>G139+G140+G310+G396</f>
        <v>-2748797142.9228702</v>
      </c>
      <c r="H326" s="256">
        <f ca="1">H139+H140+H310+H396</f>
        <v>-685565533.14810824</v>
      </c>
      <c r="I326" s="256">
        <f ca="1">I139+I140+I310+I396</f>
        <v>-1205526073.7170608</v>
      </c>
      <c r="J326" s="256">
        <f ca="1">J139+J140+J310+J396</f>
        <v>-917629449.86481524</v>
      </c>
      <c r="K326" s="256">
        <f ca="1">K139+K140+K310+K396</f>
        <v>-1036802512.6849163</v>
      </c>
    </row>
    <row r="327" spans="3:11" x14ac:dyDescent="0.25">
      <c r="C327" s="6" t="s">
        <v>266</v>
      </c>
      <c r="G327" s="27">
        <f ca="1">SUM(G323:G326)</f>
        <v>-1752372937.5232496</v>
      </c>
      <c r="H327" s="27">
        <f ca="1">SUM(H323:H326)</f>
        <v>-585726957.41898084</v>
      </c>
      <c r="I327" s="27">
        <f ca="1">SUM(I323:I326)</f>
        <v>-409326896.38396096</v>
      </c>
      <c r="J327" s="27">
        <f ca="1">SUM(J323:J326)</f>
        <v>919194722.92170548</v>
      </c>
      <c r="K327" s="27">
        <f ca="1">SUM(K323:K326)</f>
        <v>1440168164.6383631</v>
      </c>
    </row>
    <row r="328" spans="3:11" x14ac:dyDescent="0.25">
      <c r="C328" s="6" t="s">
        <v>267</v>
      </c>
      <c r="F328" s="61">
        <v>638796066</v>
      </c>
      <c r="G328" s="18">
        <f>F328</f>
        <v>638796066</v>
      </c>
      <c r="H328" s="18">
        <f>G328</f>
        <v>638796066</v>
      </c>
      <c r="I328" s="18">
        <f>H328</f>
        <v>638796066</v>
      </c>
      <c r="J328" s="18">
        <f>I328</f>
        <v>638796066</v>
      </c>
      <c r="K328" s="18">
        <f>J328</f>
        <v>638796066</v>
      </c>
    </row>
    <row r="329" spans="3:11" x14ac:dyDescent="0.25">
      <c r="C329" s="6" t="s">
        <v>268</v>
      </c>
      <c r="G329" s="257">
        <v>4.5999999999999999E-2</v>
      </c>
      <c r="H329" s="255">
        <f>G329</f>
        <v>4.5999999999999999E-2</v>
      </c>
      <c r="I329" s="255">
        <f>H329</f>
        <v>4.5999999999999999E-2</v>
      </c>
      <c r="J329" s="255">
        <f>I329</f>
        <v>4.5999999999999999E-2</v>
      </c>
      <c r="K329" s="255">
        <f>J329</f>
        <v>4.5999999999999999E-2</v>
      </c>
    </row>
    <row r="330" spans="3:11" x14ac:dyDescent="0.25">
      <c r="C330" s="6" t="s">
        <v>269</v>
      </c>
      <c r="G330" s="59">
        <f>G328+G329*F316</f>
        <v>1866746452.704</v>
      </c>
      <c r="H330" s="59">
        <f ca="1">H328+H329*G316</f>
        <v>1937135695.5864534</v>
      </c>
      <c r="I330" s="59">
        <f ca="1">I328+I329*H316</f>
        <v>2053187377.6247034</v>
      </c>
      <c r="J330" s="59">
        <f ca="1">J328+J329*I316</f>
        <v>2148052375.4771018</v>
      </c>
      <c r="K330" s="59">
        <f ca="1">K328+K329*J316</f>
        <v>2204579827.4946499</v>
      </c>
    </row>
    <row r="331" spans="3:11" x14ac:dyDescent="0.25">
      <c r="C331" s="6" t="s">
        <v>270</v>
      </c>
      <c r="G331" s="59">
        <f ca="1">G330-G327</f>
        <v>3619119390.2272496</v>
      </c>
      <c r="H331" s="59">
        <f ca="1">H330-H327</f>
        <v>2522862653.005434</v>
      </c>
      <c r="I331" s="59">
        <f ca="1">I330-I327</f>
        <v>2462514274.0086641</v>
      </c>
      <c r="J331" s="59">
        <f ca="1">J330-J327</f>
        <v>1228857652.5553963</v>
      </c>
      <c r="K331" s="59">
        <f ca="1">K330-K327</f>
        <v>764411662.85628676</v>
      </c>
    </row>
    <row r="332" spans="3:11" x14ac:dyDescent="0.25">
      <c r="C332" s="6" t="s">
        <v>271</v>
      </c>
      <c r="G332" s="59">
        <f>-G313</f>
        <v>-24205423454</v>
      </c>
      <c r="H332" s="59">
        <f ca="1">-H313</f>
        <v>-27824542844.227249</v>
      </c>
      <c r="I332" s="59">
        <f ca="1">-I313</f>
        <v>-30347405497.232681</v>
      </c>
      <c r="J332" s="59">
        <f ca="1">-J313</f>
        <v>-32809919771.241344</v>
      </c>
      <c r="K332" s="59">
        <f ca="1">-K313</f>
        <v>-34038777423.796741</v>
      </c>
    </row>
    <row r="334" spans="3:11" x14ac:dyDescent="0.25">
      <c r="C334" s="6" t="s">
        <v>254</v>
      </c>
      <c r="G334" s="18">
        <f ca="1">MAX(G331,G332)</f>
        <v>3619119390.2272496</v>
      </c>
      <c r="H334" s="18">
        <f ca="1">MAX(H331,H332)</f>
        <v>2522862653.005434</v>
      </c>
      <c r="I334" s="18">
        <f ca="1">MAX(I331,I332)</f>
        <v>2462514274.0086641</v>
      </c>
      <c r="J334" s="18">
        <f ca="1">MAX(J331,J332)</f>
        <v>1228857652.5553963</v>
      </c>
      <c r="K334" s="18">
        <f ca="1">MAX(K331,K332)</f>
        <v>764411662.85628676</v>
      </c>
    </row>
    <row r="335" spans="3:11" x14ac:dyDescent="0.25">
      <c r="C335" s="6" t="s">
        <v>272</v>
      </c>
      <c r="D335" s="27"/>
      <c r="E335" s="27"/>
      <c r="F335" s="27">
        <f>F66</f>
        <v>3458917393</v>
      </c>
      <c r="G335" s="27">
        <f ca="1">G327+G334</f>
        <v>1866746452.704</v>
      </c>
      <c r="H335" s="27">
        <f ca="1">H327+H334</f>
        <v>1937135695.5864532</v>
      </c>
      <c r="I335" s="27">
        <f ca="1">I327+I334</f>
        <v>2053187377.6247032</v>
      </c>
      <c r="J335" s="27">
        <f ca="1">J327+J334</f>
        <v>2148052375.4771018</v>
      </c>
      <c r="K335" s="27">
        <f ca="1">K327+K334</f>
        <v>2204579827.4946499</v>
      </c>
    </row>
    <row r="337" spans="3:11" x14ac:dyDescent="0.25">
      <c r="C337" s="6" t="s">
        <v>273</v>
      </c>
      <c r="G337" s="27">
        <f ca="1">G338-G315</f>
        <v>1775457155.7727509</v>
      </c>
      <c r="H337" s="27">
        <f ca="1">H338-H315</f>
        <v>-747405497.23268127</v>
      </c>
      <c r="I337" s="27">
        <f ca="1">I338-I315</f>
        <v>-3209919771.2413445</v>
      </c>
      <c r="J337" s="27">
        <f ca="1">J338-J315</f>
        <v>-4438777423.7967415</v>
      </c>
      <c r="K337" s="27">
        <f ca="1">K338-K315</f>
        <v>-5203189086.6530304</v>
      </c>
    </row>
    <row r="338" spans="3:11" x14ac:dyDescent="0.25">
      <c r="C338" s="6" t="s">
        <v>274</v>
      </c>
      <c r="F338" s="61">
        <v>29600000000</v>
      </c>
      <c r="G338" s="59">
        <f>F338</f>
        <v>29600000000</v>
      </c>
      <c r="H338" s="18">
        <f>G338</f>
        <v>29600000000</v>
      </c>
      <c r="I338" s="18">
        <f>H338</f>
        <v>29600000000</v>
      </c>
      <c r="J338" s="18">
        <f>I338</f>
        <v>29600000000</v>
      </c>
      <c r="K338" s="18">
        <f>J338</f>
        <v>29600000000</v>
      </c>
    </row>
    <row r="339" spans="3:11" x14ac:dyDescent="0.25">
      <c r="C339" s="6" t="s">
        <v>275</v>
      </c>
      <c r="G339" s="27">
        <f ca="1">G335-G146</f>
        <v>0</v>
      </c>
      <c r="H339" s="27">
        <f ca="1">H335-H146</f>
        <v>0</v>
      </c>
      <c r="I339" s="27">
        <f ca="1">I335-I146</f>
        <v>0</v>
      </c>
      <c r="J339" s="27">
        <f ca="1">J335-J146</f>
        <v>0</v>
      </c>
      <c r="K339" s="27">
        <f ca="1">K335-K146</f>
        <v>0</v>
      </c>
    </row>
    <row r="340" spans="3:11" x14ac:dyDescent="0.25">
      <c r="C340" s="6" t="s">
        <v>276</v>
      </c>
      <c r="G340" s="73">
        <f ca="1">(G316+G88+G89+G97-G66)/((G316+G88+G89+G97-G66)+G112)</f>
        <v>0.72996169982980197</v>
      </c>
      <c r="H340" s="73">
        <f ca="1">(H316+H88+H89+H97-H66)/((H316+H88+H89+H97-H66)+H112)</f>
        <v>0.70970557297674008</v>
      </c>
      <c r="I340" s="73">
        <f ca="1">(I316+I88+I89+I97-I66)/((I316+I88+I89+I97-I66)+I112)</f>
        <v>0.68554516510495622</v>
      </c>
      <c r="J340" s="73">
        <f ca="1">(J316+J88+J89+J97-J66)/((J316+J88+J89+J97-J66)+J112)</f>
        <v>0.65586628372295241</v>
      </c>
      <c r="K340" s="73">
        <f ca="1">(K316+K88+K89+K97-K66)/((K316+K88+K89+K97-K66)+K112)</f>
        <v>0.62261992268633937</v>
      </c>
    </row>
    <row r="342" spans="3:11" x14ac:dyDescent="0.25">
      <c r="C342" s="13" t="s">
        <v>277</v>
      </c>
    </row>
    <row r="343" spans="3:11" x14ac:dyDescent="0.25">
      <c r="C343" s="47" t="s">
        <v>68</v>
      </c>
      <c r="D343" s="48">
        <f t="shared" ref="D343:K343" si="90">D$13</f>
        <v>2023</v>
      </c>
      <c r="E343" s="48">
        <f t="shared" si="90"/>
        <v>2024</v>
      </c>
      <c r="F343" s="48">
        <f t="shared" si="90"/>
        <v>2025</v>
      </c>
      <c r="G343" s="49">
        <f t="shared" si="90"/>
        <v>2026</v>
      </c>
      <c r="H343" s="49">
        <f t="shared" si="90"/>
        <v>2027</v>
      </c>
      <c r="I343" s="49">
        <f t="shared" si="90"/>
        <v>2028</v>
      </c>
      <c r="J343" s="49">
        <f t="shared" si="90"/>
        <v>2029</v>
      </c>
      <c r="K343" s="49">
        <f t="shared" si="90"/>
        <v>2030</v>
      </c>
    </row>
    <row r="344" spans="3:11" x14ac:dyDescent="0.25">
      <c r="C344" s="42" t="s">
        <v>69</v>
      </c>
      <c r="D344" s="86">
        <f t="shared" ref="D344:K344" si="91">D$14</f>
        <v>45291</v>
      </c>
      <c r="E344" s="86">
        <f t="shared" si="91"/>
        <v>45657</v>
      </c>
      <c r="F344" s="86">
        <f t="shared" si="91"/>
        <v>46022</v>
      </c>
      <c r="G344" s="86">
        <f t="shared" si="91"/>
        <v>46387</v>
      </c>
      <c r="H344" s="86">
        <f t="shared" si="91"/>
        <v>46752</v>
      </c>
      <c r="I344" s="86">
        <f t="shared" si="91"/>
        <v>47118</v>
      </c>
      <c r="J344" s="86">
        <f t="shared" si="91"/>
        <v>47483</v>
      </c>
      <c r="K344" s="86">
        <f t="shared" si="91"/>
        <v>47848</v>
      </c>
    </row>
    <row r="346" spans="3:11" x14ac:dyDescent="0.25">
      <c r="C346" s="6" t="s">
        <v>278</v>
      </c>
      <c r="D346" s="59"/>
      <c r="E346" s="59">
        <f t="shared" ref="E346:K346" si="92">D351</f>
        <v>19354528310</v>
      </c>
      <c r="F346" s="59">
        <f t="shared" si="92"/>
        <v>26409721472</v>
      </c>
      <c r="G346" s="59">
        <f t="shared" si="92"/>
        <v>25104389751</v>
      </c>
      <c r="H346" s="59">
        <f t="shared" si="92"/>
        <v>28543306450.853317</v>
      </c>
      <c r="I346" s="59">
        <f t="shared" si="92"/>
        <v>32100864902.112148</v>
      </c>
      <c r="J346" s="59">
        <f t="shared" si="92"/>
        <v>35529250196.674515</v>
      </c>
      <c r="K346" s="59">
        <f t="shared" si="92"/>
        <v>38638652997.565468</v>
      </c>
    </row>
    <row r="347" spans="3:11" x14ac:dyDescent="0.25">
      <c r="C347" s="6" t="s">
        <v>279</v>
      </c>
      <c r="D347" s="61"/>
      <c r="E347" s="61">
        <f>32498201277+1278195379</f>
        <v>33776396656</v>
      </c>
      <c r="F347" s="61">
        <f>42759631426+305663238</f>
        <v>43065294664</v>
      </c>
      <c r="G347" s="59">
        <f>F347*(1+G354)</f>
        <v>49525088863.599998</v>
      </c>
      <c r="H347" s="59">
        <f>G347*(1+H354)</f>
        <v>55468099527.232002</v>
      </c>
      <c r="I347" s="59">
        <f>H347*(1+I354)</f>
        <v>61014909479.955208</v>
      </c>
      <c r="J347" s="59">
        <f>I347*(1+J354)</f>
        <v>65896102238.351631</v>
      </c>
      <c r="K347" s="59">
        <f>J347*(1+K354)</f>
        <v>71167790417.419769</v>
      </c>
    </row>
    <row r="348" spans="3:11" x14ac:dyDescent="0.25">
      <c r="C348" s="6" t="s">
        <v>280</v>
      </c>
      <c r="D348" s="61"/>
      <c r="E348" s="61">
        <f>-(13113533148+2008410781)</f>
        <v>-15121943929</v>
      </c>
      <c r="F348" s="61">
        <f>-(16349639016+1008748734)</f>
        <v>-17358387750</v>
      </c>
      <c r="G348" s="59">
        <f t="shared" ref="G348:K349" si="93">-G355*G346</f>
        <v>-16500428904.068373</v>
      </c>
      <c r="H348" s="59">
        <f t="shared" si="93"/>
        <v>-18760734813.74231</v>
      </c>
      <c r="I348" s="59">
        <f t="shared" si="93"/>
        <v>-21099020702.357693</v>
      </c>
      <c r="J348" s="59">
        <f t="shared" si="93"/>
        <v>-23352404607.315048</v>
      </c>
      <c r="K348" s="59">
        <f t="shared" si="93"/>
        <v>-25396130041.754997</v>
      </c>
    </row>
    <row r="349" spans="3:11" x14ac:dyDescent="0.25">
      <c r="C349" s="6" t="s">
        <v>281</v>
      </c>
      <c r="D349" s="61"/>
      <c r="E349" s="61">
        <v>-12693710038</v>
      </c>
      <c r="F349" s="61">
        <v>-25021554837</v>
      </c>
      <c r="G349" s="59">
        <f t="shared" si="93"/>
        <v>-28774788062.549999</v>
      </c>
      <c r="H349" s="59">
        <f t="shared" si="93"/>
        <v>-32227762630.056</v>
      </c>
      <c r="I349" s="59">
        <f t="shared" si="93"/>
        <v>-35450538893.0616</v>
      </c>
      <c r="J349" s="59">
        <f t="shared" si="93"/>
        <v>-38286582004.506538</v>
      </c>
      <c r="K349" s="59">
        <f t="shared" si="93"/>
        <v>-41349508564.867065</v>
      </c>
    </row>
    <row r="350" spans="3:11" x14ac:dyDescent="0.25">
      <c r="C350" s="6" t="s">
        <v>282</v>
      </c>
      <c r="D350" s="61"/>
      <c r="E350" s="170">
        <f>E351-SUM(E346:E349)</f>
        <v>1094450473</v>
      </c>
      <c r="F350" s="170">
        <f>F351-SUM(F346:F349)</f>
        <v>-1990683798</v>
      </c>
      <c r="G350" s="59">
        <f>G47+G391</f>
        <v>-810955197.12831402</v>
      </c>
      <c r="H350" s="59">
        <f>H47+H391</f>
        <v>-922043632.17487037</v>
      </c>
      <c r="I350" s="59">
        <f>I47+I391</f>
        <v>-1036964589.9735432</v>
      </c>
      <c r="J350" s="59">
        <f>J47+J391</f>
        <v>-1147712825.639096</v>
      </c>
      <c r="K350" s="59">
        <f>K47+K391</f>
        <v>-1248156866.9545162</v>
      </c>
    </row>
    <row r="351" spans="3:11" x14ac:dyDescent="0.25">
      <c r="C351" s="6" t="s">
        <v>283</v>
      </c>
      <c r="D351" s="59">
        <f>D65+D74</f>
        <v>19354528310</v>
      </c>
      <c r="E351" s="59">
        <f>E65+E74</f>
        <v>26409721472</v>
      </c>
      <c r="F351" s="59">
        <f>F65+F74</f>
        <v>25104389751</v>
      </c>
      <c r="G351" s="59">
        <f>SUM(G346:G350)</f>
        <v>28543306450.853317</v>
      </c>
      <c r="H351" s="59">
        <f>SUM(H346:H350)</f>
        <v>32100864902.112148</v>
      </c>
      <c r="I351" s="59">
        <f>SUM(I346:I350)</f>
        <v>35529250196.674515</v>
      </c>
      <c r="J351" s="59">
        <f>SUM(J346:J350)</f>
        <v>38638652997.565468</v>
      </c>
      <c r="K351" s="59">
        <f>SUM(K346:K350)</f>
        <v>41812647941.408646</v>
      </c>
    </row>
    <row r="352" spans="3:11" x14ac:dyDescent="0.25">
      <c r="C352" s="6" t="s">
        <v>284</v>
      </c>
      <c r="D352" s="73">
        <f>D65/D351</f>
        <v>0.63619142857840072</v>
      </c>
      <c r="E352" s="73">
        <f>E65/E351</f>
        <v>0.64509953957912003</v>
      </c>
      <c r="F352" s="73">
        <f>F65/F351</f>
        <v>0.65114541166446216</v>
      </c>
      <c r="G352" s="74">
        <f>F352</f>
        <v>0.65114541166446216</v>
      </c>
      <c r="H352" s="74">
        <f>G352</f>
        <v>0.65114541166446216</v>
      </c>
      <c r="I352" s="74">
        <f>H352</f>
        <v>0.65114541166446216</v>
      </c>
      <c r="J352" s="74">
        <f>I352</f>
        <v>0.65114541166446216</v>
      </c>
      <c r="K352" s="74">
        <f>J352</f>
        <v>0.65114541166446216</v>
      </c>
    </row>
    <row r="354" spans="3:11" x14ac:dyDescent="0.25">
      <c r="C354" s="6" t="s">
        <v>285</v>
      </c>
      <c r="D354" s="73"/>
      <c r="E354" s="73"/>
      <c r="F354" s="73">
        <f>F347/E347-1</f>
        <v>0.27501151477476893</v>
      </c>
      <c r="G354" s="74">
        <v>0.15</v>
      </c>
      <c r="H354" s="74">
        <v>0.12</v>
      </c>
      <c r="I354" s="74">
        <v>0.1</v>
      </c>
      <c r="J354" s="74">
        <v>0.08</v>
      </c>
      <c r="K354" s="74">
        <v>0.08</v>
      </c>
    </row>
    <row r="355" spans="3:11" x14ac:dyDescent="0.25">
      <c r="C355" s="6" t="s">
        <v>286</v>
      </c>
      <c r="D355" s="73"/>
      <c r="E355" s="73">
        <f>-E348/E346</f>
        <v>0.78131296649512616</v>
      </c>
      <c r="F355" s="73">
        <f>-F348/F346</f>
        <v>0.65727265501090704</v>
      </c>
      <c r="G355" s="73">
        <f t="shared" ref="G355:K356" si="94">F355</f>
        <v>0.65727265501090704</v>
      </c>
      <c r="H355" s="73">
        <f t="shared" si="94"/>
        <v>0.65727265501090704</v>
      </c>
      <c r="I355" s="73">
        <f t="shared" si="94"/>
        <v>0.65727265501090704</v>
      </c>
      <c r="J355" s="73">
        <f t="shared" si="94"/>
        <v>0.65727265501090704</v>
      </c>
      <c r="K355" s="73">
        <f t="shared" si="94"/>
        <v>0.65727265501090704</v>
      </c>
    </row>
    <row r="356" spans="3:11" x14ac:dyDescent="0.25">
      <c r="C356" s="6" t="s">
        <v>287</v>
      </c>
      <c r="D356" s="73"/>
      <c r="E356" s="73">
        <f>-E349/E347</f>
        <v>0.37581599266732629</v>
      </c>
      <c r="F356" s="73">
        <f>-F349/F347</f>
        <v>0.58101436509887661</v>
      </c>
      <c r="G356" s="73">
        <f t="shared" si="94"/>
        <v>0.58101436509887661</v>
      </c>
      <c r="H356" s="73">
        <f t="shared" si="94"/>
        <v>0.58101436509887661</v>
      </c>
      <c r="I356" s="73">
        <f t="shared" si="94"/>
        <v>0.58101436509887661</v>
      </c>
      <c r="J356" s="73">
        <f t="shared" si="94"/>
        <v>0.58101436509887661</v>
      </c>
      <c r="K356" s="73">
        <f t="shared" si="94"/>
        <v>0.58101436509887661</v>
      </c>
    </row>
    <row r="357" spans="3:11" x14ac:dyDescent="0.25">
      <c r="C357" s="6" t="s">
        <v>288</v>
      </c>
      <c r="D357" s="73"/>
      <c r="E357" s="73">
        <f t="shared" ref="E357:K357" si="95">E172/E347</f>
        <v>0.22315251350712348</v>
      </c>
      <c r="F357" s="73">
        <f t="shared" si="95"/>
        <v>0.22971646798622261</v>
      </c>
      <c r="G357" s="261">
        <f t="shared" si="95"/>
        <v>0.18106808729237875</v>
      </c>
      <c r="H357" s="261">
        <f t="shared" si="95"/>
        <v>0.18207792949954621</v>
      </c>
      <c r="I357" s="261">
        <f t="shared" si="95"/>
        <v>0.18459319269167007</v>
      </c>
      <c r="J357" s="261">
        <f t="shared" si="95"/>
        <v>0.18744238456428439</v>
      </c>
      <c r="K357" s="261">
        <f t="shared" si="95"/>
        <v>0.18826132678842533</v>
      </c>
    </row>
    <row r="358" spans="3:11" x14ac:dyDescent="0.25">
      <c r="C358" s="6" t="s">
        <v>289</v>
      </c>
      <c r="D358" s="73"/>
      <c r="E358" s="73">
        <f>E176/-E349</f>
        <v>0.193799562037861</v>
      </c>
      <c r="F358" s="73">
        <f>F176/-F349</f>
        <v>0.26494400428693871</v>
      </c>
      <c r="G358" s="73">
        <f>G395</f>
        <v>0.2418090702591148</v>
      </c>
      <c r="H358" s="73">
        <f>G358</f>
        <v>0.2418090702591148</v>
      </c>
      <c r="I358" s="73">
        <f>H358</f>
        <v>0.2418090702591148</v>
      </c>
      <c r="J358" s="73">
        <f>I358</f>
        <v>0.2418090702591148</v>
      </c>
      <c r="K358" s="73">
        <f>J358</f>
        <v>0.2418090702591148</v>
      </c>
    </row>
    <row r="359" spans="3:11" x14ac:dyDescent="0.25">
      <c r="C359" s="6" t="s">
        <v>290</v>
      </c>
      <c r="E359" s="73">
        <f>E172/AVERAGE(D351,E351)</f>
        <v>0.32939632341420211</v>
      </c>
      <c r="F359" s="73">
        <f>F172/AVERAGE(E351,F351)</f>
        <v>0.38408145450379289</v>
      </c>
      <c r="G359" s="1">
        <f>G303+G360</f>
        <v>0.33430748190105319</v>
      </c>
      <c r="H359" s="1">
        <f>H303+H360</f>
        <v>0.33307460518872439</v>
      </c>
      <c r="I359" s="1">
        <f>I303+I360</f>
        <v>0.33307460518872439</v>
      </c>
      <c r="J359" s="1">
        <f>J303+J360</f>
        <v>0.33307460518872439</v>
      </c>
      <c r="K359" s="1">
        <f>K303+K360</f>
        <v>0.33307460518872439</v>
      </c>
    </row>
    <row r="360" spans="3:11" x14ac:dyDescent="0.25">
      <c r="C360" s="6" t="s">
        <v>291</v>
      </c>
      <c r="E360" s="1">
        <f>E359-E303</f>
        <v>5.9464629425131088E-2</v>
      </c>
      <c r="F360" s="1">
        <f>F359-F303</f>
        <v>0.13307460518872438</v>
      </c>
      <c r="G360" s="1">
        <f>F360</f>
        <v>0.13307460518872438</v>
      </c>
      <c r="H360" s="1">
        <f>G360</f>
        <v>0.13307460518872438</v>
      </c>
      <c r="I360" s="1">
        <f>H360</f>
        <v>0.13307460518872438</v>
      </c>
      <c r="J360" s="1">
        <f>I360</f>
        <v>0.13307460518872438</v>
      </c>
      <c r="K360" s="1">
        <f>J360</f>
        <v>0.13307460518872438</v>
      </c>
    </row>
    <row r="361" spans="3:11" x14ac:dyDescent="0.25">
      <c r="C361" s="13" t="s">
        <v>292</v>
      </c>
    </row>
    <row r="362" spans="3:11" x14ac:dyDescent="0.25">
      <c r="C362" s="47" t="s">
        <v>68</v>
      </c>
      <c r="D362" s="48">
        <f t="shared" ref="D362:K362" si="96">D$13</f>
        <v>2023</v>
      </c>
      <c r="E362" s="48">
        <f t="shared" si="96"/>
        <v>2024</v>
      </c>
      <c r="F362" s="48">
        <f t="shared" si="96"/>
        <v>2025</v>
      </c>
      <c r="G362" s="49">
        <f t="shared" si="96"/>
        <v>2026</v>
      </c>
      <c r="H362" s="49">
        <f t="shared" si="96"/>
        <v>2027</v>
      </c>
      <c r="I362" s="49">
        <f t="shared" si="96"/>
        <v>2028</v>
      </c>
      <c r="J362" s="49">
        <f t="shared" si="96"/>
        <v>2029</v>
      </c>
      <c r="K362" s="49">
        <f t="shared" si="96"/>
        <v>2030</v>
      </c>
    </row>
    <row r="363" spans="3:11" x14ac:dyDescent="0.25">
      <c r="C363" s="42" t="s">
        <v>69</v>
      </c>
      <c r="D363" s="86">
        <f t="shared" ref="D363:K363" si="97">D$14</f>
        <v>45291</v>
      </c>
      <c r="E363" s="86">
        <f t="shared" si="97"/>
        <v>45657</v>
      </c>
      <c r="F363" s="86">
        <f t="shared" si="97"/>
        <v>46022</v>
      </c>
      <c r="G363" s="86">
        <f t="shared" si="97"/>
        <v>46387</v>
      </c>
      <c r="H363" s="86">
        <f t="shared" si="97"/>
        <v>46752</v>
      </c>
      <c r="I363" s="86">
        <f t="shared" si="97"/>
        <v>47118</v>
      </c>
      <c r="J363" s="86">
        <f t="shared" si="97"/>
        <v>47483</v>
      </c>
      <c r="K363" s="86">
        <f t="shared" si="97"/>
        <v>47848</v>
      </c>
    </row>
    <row r="365" spans="3:11" x14ac:dyDescent="0.25">
      <c r="C365" s="6" t="s">
        <v>293</v>
      </c>
      <c r="D365" s="59"/>
      <c r="E365" s="61">
        <v>1813914776</v>
      </c>
      <c r="F365" s="61">
        <v>7040310572</v>
      </c>
      <c r="G365" s="59">
        <f>G366*-G349</f>
        <v>8096357157.8000002</v>
      </c>
      <c r="H365" s="59">
        <f>H366*-H349</f>
        <v>9067920016.7360001</v>
      </c>
      <c r="I365" s="59">
        <f>I366*-I349</f>
        <v>9974712018.4096012</v>
      </c>
      <c r="J365" s="59">
        <f>J366*-J349</f>
        <v>10772688979.882372</v>
      </c>
      <c r="K365" s="59">
        <f>K366*-K349</f>
        <v>11634504098.272963</v>
      </c>
    </row>
    <row r="366" spans="3:11" x14ac:dyDescent="0.25">
      <c r="C366" s="6" t="s">
        <v>294</v>
      </c>
      <c r="D366" s="73"/>
      <c r="E366" s="73">
        <f>E365/-E349</f>
        <v>0.14289870893299508</v>
      </c>
      <c r="F366" s="73">
        <f>F365/-F349</f>
        <v>0.28136982764913221</v>
      </c>
      <c r="G366" s="254">
        <f>F366</f>
        <v>0.28136982764913221</v>
      </c>
      <c r="H366" s="254">
        <f>G366</f>
        <v>0.28136982764913221</v>
      </c>
      <c r="I366" s="254">
        <f>H366</f>
        <v>0.28136982764913221</v>
      </c>
      <c r="J366" s="254">
        <f>I366</f>
        <v>0.28136982764913221</v>
      </c>
      <c r="K366" s="254">
        <f>J366</f>
        <v>0.28136982764913221</v>
      </c>
    </row>
    <row r="367" spans="3:11" x14ac:dyDescent="0.25">
      <c r="C367" s="6" t="s">
        <v>295</v>
      </c>
      <c r="D367" s="27"/>
      <c r="E367" s="27">
        <f>E62-E365</f>
        <v>1367889709</v>
      </c>
      <c r="F367" s="27">
        <f>F62-F365</f>
        <v>1494344195</v>
      </c>
      <c r="G367" s="59">
        <f>G368*G18</f>
        <v>1470792793.0009334</v>
      </c>
      <c r="H367" s="59">
        <f>H368*H18</f>
        <v>1641108965.0837138</v>
      </c>
      <c r="I367" s="59">
        <f>I368*I18</f>
        <v>1808993140.3877468</v>
      </c>
      <c r="J367" s="59">
        <f>J368*J18</f>
        <v>1963919932.770421</v>
      </c>
      <c r="K367" s="59">
        <f>K368*K18</f>
        <v>2119783316.3503921</v>
      </c>
    </row>
    <row r="368" spans="3:11" x14ac:dyDescent="0.25">
      <c r="C368" s="6" t="s">
        <v>296</v>
      </c>
      <c r="E368" s="73">
        <f>E367/E18</f>
        <v>0.10335471285564352</v>
      </c>
      <c r="F368" s="73">
        <f>F367/F18</f>
        <v>7.5431987543940177E-2</v>
      </c>
      <c r="G368" s="73">
        <f>F368</f>
        <v>7.5431987543940177E-2</v>
      </c>
      <c r="H368" s="73">
        <f>G368</f>
        <v>7.5431987543940177E-2</v>
      </c>
      <c r="I368" s="73">
        <f>H368</f>
        <v>7.5431987543940177E-2</v>
      </c>
      <c r="J368" s="73">
        <f>I368</f>
        <v>7.5431987543940177E-2</v>
      </c>
      <c r="K368" s="73">
        <f>J368</f>
        <v>7.5431987543940177E-2</v>
      </c>
    </row>
    <row r="369" spans="3:11" x14ac:dyDescent="0.25">
      <c r="C369" s="6" t="s">
        <v>297</v>
      </c>
      <c r="E369" s="59">
        <f t="shared" ref="E369:K369" si="98">E365+E367</f>
        <v>3181804485</v>
      </c>
      <c r="F369" s="59">
        <f t="shared" si="98"/>
        <v>8534654767</v>
      </c>
      <c r="G369" s="59">
        <f t="shared" si="98"/>
        <v>9567149950.8009338</v>
      </c>
      <c r="H369" s="59">
        <f t="shared" si="98"/>
        <v>10709028981.819714</v>
      </c>
      <c r="I369" s="59">
        <f t="shared" si="98"/>
        <v>11783705158.797348</v>
      </c>
      <c r="J369" s="59">
        <f t="shared" si="98"/>
        <v>12736608912.652794</v>
      </c>
      <c r="K369" s="59">
        <f t="shared" si="98"/>
        <v>13754287414.623354</v>
      </c>
    </row>
    <row r="371" spans="3:11" x14ac:dyDescent="0.25">
      <c r="C371" s="6" t="s">
        <v>298</v>
      </c>
      <c r="E371" s="61">
        <v>708846873</v>
      </c>
      <c r="F371" s="61">
        <v>637382250</v>
      </c>
      <c r="G371" s="59">
        <f>G372*-G349</f>
        <v>732989587.49999988</v>
      </c>
      <c r="H371" s="59">
        <f>H372*-H349</f>
        <v>820948338</v>
      </c>
      <c r="I371" s="59">
        <f>I372*-I349</f>
        <v>903043171.79999995</v>
      </c>
      <c r="J371" s="59">
        <f>J372*-J349</f>
        <v>975286625.54400027</v>
      </c>
      <c r="K371" s="59">
        <f>K372*-K349</f>
        <v>1053309555.5875204</v>
      </c>
    </row>
    <row r="372" spans="3:11" x14ac:dyDescent="0.25">
      <c r="C372" s="6" t="s">
        <v>294</v>
      </c>
      <c r="D372" s="73"/>
      <c r="E372" s="73">
        <f>E371/-E349</f>
        <v>5.5842371605936317E-2</v>
      </c>
      <c r="F372" s="73">
        <f>F371/-F349</f>
        <v>2.5473327063491948E-2</v>
      </c>
      <c r="G372" s="254">
        <f>F372</f>
        <v>2.5473327063491948E-2</v>
      </c>
      <c r="H372" s="254">
        <f>G372</f>
        <v>2.5473327063491948E-2</v>
      </c>
      <c r="I372" s="254">
        <f>H372</f>
        <v>2.5473327063491948E-2</v>
      </c>
      <c r="J372" s="254">
        <f>I372</f>
        <v>2.5473327063491948E-2</v>
      </c>
      <c r="K372" s="254">
        <f>J372</f>
        <v>2.5473327063491948E-2</v>
      </c>
    </row>
    <row r="373" spans="3:11" x14ac:dyDescent="0.25">
      <c r="C373" s="6" t="s">
        <v>299</v>
      </c>
      <c r="E373" s="61">
        <f>E88-E371</f>
        <v>1495197421</v>
      </c>
      <c r="F373" s="61">
        <f>F88-F371</f>
        <v>1538120684</v>
      </c>
      <c r="G373" s="59">
        <f>G374*-(G46+G20)</f>
        <v>1533684645.230916</v>
      </c>
      <c r="H373" s="59">
        <f>H374*-(H46+H20)</f>
        <v>1690475878.321372</v>
      </c>
      <c r="I373" s="59">
        <f>I374*-(I46+I20)</f>
        <v>1846044601.5823247</v>
      </c>
      <c r="J373" s="59">
        <f>J374*-(J46+J20)</f>
        <v>1991717931.1021307</v>
      </c>
      <c r="K373" s="59">
        <f>K374*-(K46+K20)</f>
        <v>2139038141.931524</v>
      </c>
    </row>
    <row r="374" spans="3:11" x14ac:dyDescent="0.25">
      <c r="C374" s="6" t="s">
        <v>300</v>
      </c>
      <c r="D374" s="73"/>
      <c r="E374" s="73">
        <f>E373/-(E46+E20)</f>
        <v>0.2146908942844904</v>
      </c>
      <c r="F374" s="73">
        <f>F373/-(F46+F20)</f>
        <v>0.15229088422158973</v>
      </c>
      <c r="G374" s="254">
        <f>F374</f>
        <v>0.15229088422158973</v>
      </c>
      <c r="H374" s="254">
        <f>G374</f>
        <v>0.15229088422158973</v>
      </c>
      <c r="I374" s="254">
        <f>H374</f>
        <v>0.15229088422158973</v>
      </c>
      <c r="J374" s="254">
        <f>I374</f>
        <v>0.15229088422158973</v>
      </c>
      <c r="K374" s="254">
        <f>J374</f>
        <v>0.15229088422158973</v>
      </c>
    </row>
    <row r="375" spans="3:11" x14ac:dyDescent="0.25">
      <c r="C375" s="6" t="s">
        <v>301</v>
      </c>
      <c r="E375" s="59">
        <f t="shared" ref="E375:K375" si="99">E371+E373</f>
        <v>2204044294</v>
      </c>
      <c r="F375" s="59">
        <f t="shared" si="99"/>
        <v>2175502934</v>
      </c>
      <c r="G375" s="59">
        <f t="shared" si="99"/>
        <v>2266674232.730916</v>
      </c>
      <c r="H375" s="59">
        <f t="shared" si="99"/>
        <v>2511424216.321372</v>
      </c>
      <c r="I375" s="59">
        <f t="shared" si="99"/>
        <v>2749087773.3823247</v>
      </c>
      <c r="J375" s="59">
        <f t="shared" si="99"/>
        <v>2967004556.646131</v>
      </c>
      <c r="K375" s="59">
        <f t="shared" si="99"/>
        <v>3192347697.5190444</v>
      </c>
    </row>
    <row r="377" spans="3:11" s="13" customFormat="1" x14ac:dyDescent="0.25">
      <c r="C377" s="13" t="s">
        <v>302</v>
      </c>
      <c r="D377" s="258"/>
      <c r="F377" s="259"/>
      <c r="G377" s="259"/>
    </row>
    <row r="378" spans="3:11" x14ac:dyDescent="0.25">
      <c r="C378" s="6" t="s">
        <v>303</v>
      </c>
      <c r="F378" s="61">
        <v>515659966</v>
      </c>
      <c r="G378" s="59">
        <f>F378+G290</f>
        <v>554656493.62415087</v>
      </c>
      <c r="H378" s="59">
        <f>G378+H290</f>
        <v>598168775.84070373</v>
      </c>
      <c r="I378" s="59">
        <f>H378+I290</f>
        <v>646132330.8069303</v>
      </c>
      <c r="J378" s="59">
        <f>I378+J290</f>
        <v>698203607.11067104</v>
      </c>
      <c r="K378" s="59">
        <f>J378+K290</f>
        <v>754407437.4847703</v>
      </c>
    </row>
    <row r="379" spans="3:11" x14ac:dyDescent="0.25">
      <c r="C379" s="6" t="s">
        <v>304</v>
      </c>
      <c r="F379" s="61">
        <v>36923005</v>
      </c>
      <c r="G379" s="59">
        <f t="shared" ref="G379:K380" si="100">F379</f>
        <v>36923005</v>
      </c>
      <c r="H379" s="59">
        <f t="shared" si="100"/>
        <v>36923005</v>
      </c>
      <c r="I379" s="59">
        <f t="shared" si="100"/>
        <v>36923005</v>
      </c>
      <c r="J379" s="59">
        <f t="shared" si="100"/>
        <v>36923005</v>
      </c>
      <c r="K379" s="59">
        <f t="shared" si="100"/>
        <v>36923005</v>
      </c>
    </row>
    <row r="380" spans="3:11" x14ac:dyDescent="0.25">
      <c r="C380" s="6" t="s">
        <v>305</v>
      </c>
      <c r="F380" s="74">
        <v>0.2</v>
      </c>
      <c r="G380" s="73">
        <f t="shared" si="100"/>
        <v>0.2</v>
      </c>
      <c r="H380" s="73">
        <f t="shared" si="100"/>
        <v>0.2</v>
      </c>
      <c r="I380" s="73">
        <f t="shared" si="100"/>
        <v>0.2</v>
      </c>
      <c r="J380" s="73">
        <f t="shared" si="100"/>
        <v>0.2</v>
      </c>
      <c r="K380" s="73">
        <f t="shared" si="100"/>
        <v>0.2</v>
      </c>
    </row>
    <row r="381" spans="3:11" x14ac:dyDescent="0.25">
      <c r="C381" s="6" t="s">
        <v>306</v>
      </c>
      <c r="F381" s="59">
        <f>F73-F379</f>
        <v>503311305</v>
      </c>
      <c r="G381" s="59">
        <f>F381+G290+G291</f>
        <v>435276186.66173577</v>
      </c>
      <c r="H381" s="59">
        <f>G381+H290+H291</f>
        <v>363505941.93180323</v>
      </c>
      <c r="I381" s="59">
        <f>H381+I290+I291</f>
        <v>287039386.23326641</v>
      </c>
      <c r="J381" s="59">
        <f>I381+J290+J291</f>
        <v>204677068.74524707</v>
      </c>
      <c r="K381" s="59">
        <f>J381+K290+K291</f>
        <v>115619794.6598022</v>
      </c>
    </row>
    <row r="382" spans="3:11" x14ac:dyDescent="0.25">
      <c r="F382" s="59"/>
      <c r="G382" s="59"/>
      <c r="H382" s="59"/>
      <c r="I382" s="59"/>
      <c r="J382" s="59"/>
      <c r="K382" s="59"/>
    </row>
    <row r="383" spans="3:11" s="13" customFormat="1" x14ac:dyDescent="0.25">
      <c r="C383" s="63" t="s">
        <v>137</v>
      </c>
      <c r="D383" s="258"/>
    </row>
    <row r="384" spans="3:11" x14ac:dyDescent="0.25">
      <c r="C384" s="6" t="s">
        <v>307</v>
      </c>
      <c r="E384" s="1">
        <f>E385/-E46</f>
        <v>1.9120123507411029E-2</v>
      </c>
      <c r="F384" s="1">
        <f>F385/-F46</f>
        <v>1.6264696624731557E-2</v>
      </c>
      <c r="G384" s="255">
        <f>F384</f>
        <v>1.6264696624731557E-2</v>
      </c>
      <c r="H384" s="255">
        <f>G384</f>
        <v>1.6264696624731557E-2</v>
      </c>
      <c r="I384" s="255">
        <f>H384</f>
        <v>1.6264696624731557E-2</v>
      </c>
      <c r="J384" s="255">
        <f>I384</f>
        <v>1.6264696624731557E-2</v>
      </c>
      <c r="K384" s="255">
        <f>J384</f>
        <v>1.6264696624731557E-2</v>
      </c>
    </row>
    <row r="385" spans="3:11" x14ac:dyDescent="0.25">
      <c r="C385" s="6" t="s">
        <v>308</v>
      </c>
      <c r="E385" s="61">
        <v>88829420</v>
      </c>
      <c r="F385" s="61">
        <v>132106174</v>
      </c>
      <c r="G385" s="59">
        <f>G384*-G46</f>
        <v>130024133.18179838</v>
      </c>
      <c r="H385" s="59">
        <f>H384*-H46</f>
        <v>145080783.40968093</v>
      </c>
      <c r="I385" s="59">
        <f>I384*-I46</f>
        <v>159922435.11801517</v>
      </c>
      <c r="J385" s="59">
        <f>J384*-J46</f>
        <v>173618600.87437052</v>
      </c>
      <c r="K385" s="59">
        <f>K384*-K46</f>
        <v>187397565.14534587</v>
      </c>
    </row>
    <row r="387" spans="3:11" s="13" customFormat="1" x14ac:dyDescent="0.25">
      <c r="C387" s="13" t="s">
        <v>309</v>
      </c>
      <c r="D387" s="40"/>
      <c r="E387" s="40"/>
      <c r="F387" s="40"/>
      <c r="G387" s="41"/>
      <c r="H387" s="41"/>
      <c r="I387" s="41"/>
      <c r="J387" s="41"/>
      <c r="K387" s="41"/>
    </row>
    <row r="388" spans="3:11" x14ac:dyDescent="0.25">
      <c r="C388" s="47" t="s">
        <v>68</v>
      </c>
      <c r="D388" s="48">
        <f t="shared" ref="D388:K388" si="101">D$13</f>
        <v>2023</v>
      </c>
      <c r="E388" s="48">
        <f t="shared" si="101"/>
        <v>2024</v>
      </c>
      <c r="F388" s="48">
        <f t="shared" si="101"/>
        <v>2025</v>
      </c>
      <c r="G388" s="49">
        <f t="shared" si="101"/>
        <v>2026</v>
      </c>
      <c r="H388" s="49">
        <f t="shared" si="101"/>
        <v>2027</v>
      </c>
      <c r="I388" s="49">
        <f t="shared" si="101"/>
        <v>2028</v>
      </c>
      <c r="J388" s="49">
        <f t="shared" si="101"/>
        <v>2029</v>
      </c>
      <c r="K388" s="49">
        <f t="shared" si="101"/>
        <v>2030</v>
      </c>
    </row>
    <row r="389" spans="3:11" x14ac:dyDescent="0.25">
      <c r="C389" s="42" t="s">
        <v>69</v>
      </c>
      <c r="D389" s="86">
        <f t="shared" ref="D389:K389" si="102">D$14</f>
        <v>45291</v>
      </c>
      <c r="E389" s="86">
        <f t="shared" si="102"/>
        <v>45657</v>
      </c>
      <c r="F389" s="86">
        <f t="shared" si="102"/>
        <v>46022</v>
      </c>
      <c r="G389" s="86">
        <f t="shared" si="102"/>
        <v>46387</v>
      </c>
      <c r="H389" s="86">
        <f t="shared" si="102"/>
        <v>46752</v>
      </c>
      <c r="I389" s="86">
        <f t="shared" si="102"/>
        <v>47118</v>
      </c>
      <c r="J389" s="86">
        <f t="shared" si="102"/>
        <v>47483</v>
      </c>
      <c r="K389" s="86">
        <f t="shared" si="102"/>
        <v>47848</v>
      </c>
    </row>
    <row r="391" spans="3:11" x14ac:dyDescent="0.25">
      <c r="C391" s="6" t="s">
        <v>310</v>
      </c>
      <c r="D391" s="61"/>
      <c r="E391" s="61">
        <v>1492000356</v>
      </c>
      <c r="F391" s="61">
        <v>-1461453600</v>
      </c>
      <c r="G391" s="275">
        <v>0</v>
      </c>
      <c r="H391" s="111">
        <f>G391</f>
        <v>0</v>
      </c>
      <c r="I391" s="111">
        <f>H391</f>
        <v>0</v>
      </c>
      <c r="J391" s="111">
        <f>I391</f>
        <v>0</v>
      </c>
      <c r="K391" s="111">
        <f>J391</f>
        <v>0</v>
      </c>
    </row>
    <row r="392" spans="3:11" x14ac:dyDescent="0.25">
      <c r="C392" s="6" t="s">
        <v>311</v>
      </c>
      <c r="D392" s="61"/>
      <c r="E392" s="61">
        <v>-335700079</v>
      </c>
      <c r="F392" s="61">
        <v>328827058</v>
      </c>
      <c r="G392" s="59">
        <f>-G391*G393</f>
        <v>0</v>
      </c>
      <c r="H392" s="59">
        <f>-H391*H393</f>
        <v>0</v>
      </c>
      <c r="I392" s="59">
        <f>-I391*I393</f>
        <v>0</v>
      </c>
      <c r="J392" s="59">
        <f>-J391*J393</f>
        <v>0</v>
      </c>
      <c r="K392" s="59">
        <f>-K391*K393</f>
        <v>0</v>
      </c>
    </row>
    <row r="393" spans="3:11" x14ac:dyDescent="0.25">
      <c r="C393" s="6" t="s">
        <v>312</v>
      </c>
      <c r="D393" s="61"/>
      <c r="E393" s="61"/>
      <c r="F393" s="61"/>
      <c r="G393" s="257">
        <v>0.22500000000000001</v>
      </c>
      <c r="H393" s="257">
        <f>G393</f>
        <v>0.22500000000000001</v>
      </c>
      <c r="I393" s="257">
        <f>H393</f>
        <v>0.22500000000000001</v>
      </c>
      <c r="J393" s="257">
        <f>I393</f>
        <v>0.22500000000000001</v>
      </c>
      <c r="K393" s="257">
        <f>J393</f>
        <v>0.22500000000000001</v>
      </c>
    </row>
    <row r="394" spans="3:11" x14ac:dyDescent="0.25">
      <c r="C394" s="6" t="s">
        <v>313</v>
      </c>
      <c r="D394" s="61"/>
      <c r="E394" s="170">
        <f t="shared" ref="E394:K394" si="103">E391+E392</f>
        <v>1156300277</v>
      </c>
      <c r="F394" s="170">
        <f t="shared" si="103"/>
        <v>-1132626542</v>
      </c>
      <c r="G394" s="170">
        <f t="shared" si="103"/>
        <v>0</v>
      </c>
      <c r="H394" s="170">
        <f t="shared" si="103"/>
        <v>0</v>
      </c>
      <c r="I394" s="170">
        <f t="shared" si="103"/>
        <v>0</v>
      </c>
      <c r="J394" s="170">
        <f t="shared" si="103"/>
        <v>0</v>
      </c>
      <c r="K394" s="170">
        <f t="shared" si="103"/>
        <v>0</v>
      </c>
    </row>
    <row r="395" spans="3:11" x14ac:dyDescent="0.25">
      <c r="C395" s="6" t="s">
        <v>314</v>
      </c>
      <c r="D395" s="61"/>
      <c r="E395" s="73">
        <f>(E176+E391)/-E349</f>
        <v>0.31133811865633859</v>
      </c>
      <c r="F395" s="73">
        <f>(F176+F391)/-F349</f>
        <v>0.20653621909850942</v>
      </c>
      <c r="G395" s="73">
        <f>(E176+E391+F176+F391)/-(E349+F349)</f>
        <v>0.2418090702591148</v>
      </c>
    </row>
    <row r="396" spans="3:11" x14ac:dyDescent="0.25">
      <c r="C396" s="6" t="s">
        <v>315</v>
      </c>
      <c r="G396" s="276">
        <v>0</v>
      </c>
      <c r="H396" s="276">
        <v>0</v>
      </c>
      <c r="I396" s="276">
        <v>0</v>
      </c>
      <c r="J396" s="276">
        <v>0</v>
      </c>
      <c r="K396" s="276">
        <v>0</v>
      </c>
    </row>
    <row r="398" spans="3:11" s="13" customFormat="1" x14ac:dyDescent="0.25"/>
    <row r="399" spans="3:11" s="13" customFormat="1" x14ac:dyDescent="0.25"/>
    <row r="400" spans="3:11" s="13" customFormat="1" x14ac:dyDescent="0.25"/>
    <row r="427" s="13" customFormat="1" x14ac:dyDescent="0.25"/>
    <row r="433" s="13" customFormat="1" x14ac:dyDescent="0.25"/>
    <row r="449" s="13" customFormat="1" x14ac:dyDescent="0.25"/>
  </sheetData>
  <pageMargins left="0.7" right="0.7" top="0.75" bottom="0.75" header="0.511811023622047" footer="0.511811023622047"/>
  <pageSetup orientation="portrait" horizontalDpi="300" verticalDpi="300"/>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B5332-A1FA-4B22-AD45-528BD3992471}">
  <dimension ref="B1:M62"/>
  <sheetViews>
    <sheetView showGridLines="0" zoomScaleNormal="100" workbookViewId="0">
      <selection activeCell="H9" sqref="H9"/>
    </sheetView>
  </sheetViews>
  <sheetFormatPr defaultColWidth="9.140625" defaultRowHeight="15" x14ac:dyDescent="0.25"/>
  <cols>
    <col min="1" max="1" width="1.42578125" style="172" customWidth="1"/>
    <col min="2" max="2" width="54.42578125" style="172" customWidth="1"/>
    <col min="3" max="3" width="16.7109375" style="172" customWidth="1"/>
    <col min="4" max="4" width="15.5703125" style="172" bestFit="1" customWidth="1"/>
    <col min="5" max="9" width="16.42578125" style="172" customWidth="1"/>
    <col min="10" max="10" width="1.7109375" style="172" customWidth="1"/>
    <col min="11" max="11" width="12.140625" style="172" bestFit="1" customWidth="1"/>
    <col min="12" max="16" width="9.42578125" style="172" customWidth="1"/>
    <col min="17" max="18" width="9.140625" style="172" customWidth="1"/>
    <col min="19" max="16384" width="9.140625" style="172"/>
  </cols>
  <sheetData>
    <row r="1" spans="2:10" ht="15.75" customHeight="1" thickBot="1" x14ac:dyDescent="0.3"/>
    <row r="2" spans="2:10" ht="15.75" customHeight="1" thickBot="1" x14ac:dyDescent="0.3">
      <c r="B2" s="173" t="s">
        <v>0</v>
      </c>
      <c r="C2" s="174"/>
      <c r="D2" s="174"/>
      <c r="E2" s="174"/>
      <c r="F2" s="174"/>
      <c r="G2" s="174"/>
      <c r="H2" s="174"/>
      <c r="I2" s="174"/>
    </row>
    <row r="3" spans="2:10" x14ac:dyDescent="0.25">
      <c r="B3" s="175" t="s">
        <v>1</v>
      </c>
    </row>
    <row r="4" spans="2:10" x14ac:dyDescent="0.25">
      <c r="B4" s="172" t="s">
        <v>2</v>
      </c>
      <c r="C4" s="50"/>
      <c r="D4" s="50">
        <v>46022</v>
      </c>
      <c r="F4" s="172" t="s">
        <v>3</v>
      </c>
      <c r="H4" s="176">
        <f>+'Cost of equity (Ke​)'!C10</f>
        <v>0.28189999999999998</v>
      </c>
      <c r="I4" s="172" t="s">
        <v>4</v>
      </c>
    </row>
    <row r="5" spans="2:10" x14ac:dyDescent="0.25">
      <c r="B5" s="172" t="s">
        <v>5</v>
      </c>
      <c r="C5" s="51"/>
      <c r="D5" s="51">
        <f>EOMONTH(D4,12)</f>
        <v>46387</v>
      </c>
      <c r="F5" s="172" t="s">
        <v>6</v>
      </c>
      <c r="H5" s="128">
        <f>FSM!D7</f>
        <v>24.5</v>
      </c>
    </row>
    <row r="6" spans="2:10" x14ac:dyDescent="0.25">
      <c r="B6" s="172" t="s">
        <v>7</v>
      </c>
      <c r="C6" s="50"/>
      <c r="D6" s="277">
        <f>D4</f>
        <v>46022</v>
      </c>
      <c r="F6" s="172" t="s">
        <v>8</v>
      </c>
      <c r="H6" s="177">
        <v>46302</v>
      </c>
      <c r="J6" s="52"/>
    </row>
    <row r="7" spans="2:10" x14ac:dyDescent="0.25">
      <c r="B7" s="172" t="s">
        <v>9</v>
      </c>
      <c r="C7" s="50"/>
      <c r="D7" s="50">
        <v>46307</v>
      </c>
      <c r="E7" s="52"/>
      <c r="F7" s="172" t="s">
        <v>10</v>
      </c>
      <c r="G7" s="52"/>
      <c r="H7" s="127">
        <f ca="1">C49</f>
        <v>4.8622683153514137</v>
      </c>
      <c r="J7" s="131"/>
    </row>
    <row r="8" spans="2:10" x14ac:dyDescent="0.25">
      <c r="B8" s="172" t="s">
        <v>11</v>
      </c>
      <c r="C8" s="53"/>
      <c r="D8" s="53">
        <f>YEARFRAC(D7,D5)</f>
        <v>0.21944444444444444</v>
      </c>
      <c r="F8" s="172" t="s">
        <v>12</v>
      </c>
      <c r="H8" s="73">
        <f ca="1">H7/H5-1</f>
        <v>-0.80154006876116679</v>
      </c>
      <c r="I8" s="178" t="str">
        <f ca="1">IF(H8&gt;15%,"BUY",IF(H8&lt;-15%,"SELL","HOLD"))</f>
        <v>SELL</v>
      </c>
    </row>
    <row r="9" spans="2:10" x14ac:dyDescent="0.25">
      <c r="D9" s="179"/>
      <c r="F9" t="s">
        <v>13</v>
      </c>
      <c r="H9" s="92">
        <v>0</v>
      </c>
    </row>
    <row r="10" spans="2:10" x14ac:dyDescent="0.25">
      <c r="B10" s="180" t="s">
        <v>14</v>
      </c>
      <c r="C10" s="181"/>
      <c r="D10" s="182"/>
      <c r="F10" s="181"/>
      <c r="G10" s="181"/>
      <c r="H10" s="181"/>
      <c r="I10" s="181"/>
    </row>
    <row r="11" spans="2:10" ht="17.25" customHeight="1" x14ac:dyDescent="0.4">
      <c r="C11" s="183" t="s">
        <v>15</v>
      </c>
      <c r="D11" s="183" t="s">
        <v>16</v>
      </c>
      <c r="E11" s="184" t="s">
        <v>17</v>
      </c>
      <c r="F11" s="183"/>
      <c r="G11" s="183"/>
      <c r="H11" s="183"/>
      <c r="I11" s="183"/>
    </row>
    <row r="12" spans="2:10" x14ac:dyDescent="0.25">
      <c r="B12" s="185" t="s">
        <v>18</v>
      </c>
      <c r="C12" s="186">
        <f>D7</f>
        <v>46307</v>
      </c>
      <c r="D12" s="187">
        <f>D4</f>
        <v>46022</v>
      </c>
      <c r="E12" s="187">
        <f>EOMONTH(D12,12)</f>
        <v>46387</v>
      </c>
      <c r="F12" s="187">
        <f>EOMONTH(E12,12)</f>
        <v>46752</v>
      </c>
      <c r="G12" s="187">
        <f>EOMONTH(F12,12)</f>
        <v>47118</v>
      </c>
      <c r="H12" s="187">
        <f>EOMONTH(G12,12)</f>
        <v>47483</v>
      </c>
      <c r="I12" s="187">
        <f>EOMONTH(H12,12)</f>
        <v>47848</v>
      </c>
    </row>
    <row r="13" spans="2:10" x14ac:dyDescent="0.25">
      <c r="B13" s="185"/>
      <c r="D13" s="188"/>
      <c r="E13" s="189"/>
      <c r="F13" s="189"/>
      <c r="G13" s="189"/>
      <c r="H13" s="189"/>
      <c r="I13" s="190"/>
    </row>
    <row r="14" spans="2:10" x14ac:dyDescent="0.25">
      <c r="B14" s="172" t="s">
        <v>19</v>
      </c>
      <c r="C14" s="54"/>
      <c r="D14" s="191">
        <f>FSM!F110</f>
        <v>9115750503</v>
      </c>
      <c r="E14" s="191">
        <f>FSM!F110</f>
        <v>9115750503</v>
      </c>
      <c r="F14" s="191">
        <f ca="1">FSM!G110</f>
        <v>10879314177.179352</v>
      </c>
      <c r="G14" s="191">
        <f ca="1">FSM!H110</f>
        <v>13131871090.798656</v>
      </c>
      <c r="H14" s="191">
        <f ca="1">FSM!I110</f>
        <v>15727183285.18198</v>
      </c>
      <c r="I14" s="191">
        <f ca="1">FSM!J110</f>
        <v>18698942948.119873</v>
      </c>
    </row>
    <row r="15" spans="2:10" x14ac:dyDescent="0.25">
      <c r="B15" s="283" t="s">
        <v>20</v>
      </c>
      <c r="D15" s="192"/>
      <c r="E15" s="191">
        <f ca="1">FSM!G110</f>
        <v>10879314177.179352</v>
      </c>
      <c r="F15" s="191">
        <f ca="1">FSM!H110</f>
        <v>13131871090.798656</v>
      </c>
      <c r="G15" s="191">
        <f ca="1">FSM!I110</f>
        <v>15727183285.18198</v>
      </c>
      <c r="H15" s="191">
        <f ca="1">FSM!J110</f>
        <v>18698942948.119873</v>
      </c>
      <c r="I15" s="191">
        <f ca="1">FSM!K110</f>
        <v>22165148152.323792</v>
      </c>
    </row>
    <row r="16" spans="2:10" x14ac:dyDescent="0.25">
      <c r="B16" s="172" t="s">
        <v>21</v>
      </c>
      <c r="C16" s="54"/>
      <c r="D16" s="191">
        <f>FSM!F35</f>
        <v>2018397923</v>
      </c>
      <c r="E16" s="191">
        <f ca="1">FSM!G35</f>
        <v>2016855214.1801429</v>
      </c>
      <c r="F16" s="191">
        <f ca="1">FSM!H35</f>
        <v>2490498826.2428308</v>
      </c>
      <c r="G16" s="191">
        <f ca="1">FSM!I35</f>
        <v>2908362518.1367617</v>
      </c>
      <c r="H16" s="191">
        <f ca="1">FSM!J35</f>
        <v>3350470671.5003076</v>
      </c>
      <c r="I16" s="191">
        <f ca="1">FSM!K35</f>
        <v>3915098385.4421186</v>
      </c>
    </row>
    <row r="17" spans="2:13" x14ac:dyDescent="0.25">
      <c r="B17" s="193" t="s">
        <v>22</v>
      </c>
      <c r="D17" s="58"/>
      <c r="E17" s="58">
        <f ca="1">E16/D16-1</f>
        <v>-7.6432342813959053E-4</v>
      </c>
      <c r="F17" s="58">
        <f ca="1">F16/E16-1</f>
        <v>0.23484264449554226</v>
      </c>
      <c r="G17" s="58">
        <f ca="1">G16/F16-1</f>
        <v>0.167783131431674</v>
      </c>
      <c r="H17" s="58">
        <f ca="1">H16/G16-1</f>
        <v>0.15201273933580395</v>
      </c>
      <c r="I17" s="58">
        <f ca="1">I16/H16-1</f>
        <v>0.16852190909911058</v>
      </c>
    </row>
    <row r="18" spans="2:13" x14ac:dyDescent="0.25">
      <c r="B18" s="172" t="s">
        <v>23</v>
      </c>
      <c r="D18" s="58"/>
      <c r="E18" s="278">
        <f ca="1">E15-E14-FSM!G396</f>
        <v>1763563674.1793518</v>
      </c>
      <c r="F18" s="278">
        <f ca="1">F15-F14-FSM!H396</f>
        <v>2252556913.6193047</v>
      </c>
      <c r="G18" s="278">
        <f ca="1">G15-G14-FSM!I396</f>
        <v>2595312194.3833237</v>
      </c>
      <c r="H18" s="278">
        <f ca="1">H15-H14-FSM!J396</f>
        <v>2971759662.9378929</v>
      </c>
      <c r="I18" s="278">
        <f ca="1">I15-I14-FSM!K396</f>
        <v>3466205204.2039185</v>
      </c>
    </row>
    <row r="19" spans="2:13" x14ac:dyDescent="0.25">
      <c r="B19" s="194" t="s">
        <v>24</v>
      </c>
      <c r="D19" s="58"/>
      <c r="E19" s="58">
        <f ca="1">E18/E14</f>
        <v>0.1934633548383056</v>
      </c>
      <c r="F19" s="58">
        <f ca="1">F18/F14</f>
        <v>0.20704953243691676</v>
      </c>
      <c r="G19" s="58">
        <f ca="1">G18/G14</f>
        <v>0.19763460792741314</v>
      </c>
      <c r="H19" s="58">
        <f ca="1">H18/H14</f>
        <v>0.18895689132954022</v>
      </c>
      <c r="I19" s="58">
        <f ca="1">I18/I14</f>
        <v>0.185369045395822</v>
      </c>
    </row>
    <row r="20" spans="2:13" x14ac:dyDescent="0.25">
      <c r="B20" s="194"/>
      <c r="D20" s="58"/>
      <c r="E20" s="58"/>
      <c r="F20" s="58"/>
      <c r="G20" s="58"/>
      <c r="H20" s="58"/>
      <c r="I20" s="58"/>
    </row>
    <row r="21" spans="2:13" x14ac:dyDescent="0.25">
      <c r="B21" s="194" t="s">
        <v>3</v>
      </c>
      <c r="D21" s="58"/>
      <c r="E21" s="58">
        <f>$H$4</f>
        <v>0.28189999999999998</v>
      </c>
      <c r="F21" s="58">
        <f>$H$4</f>
        <v>0.28189999999999998</v>
      </c>
      <c r="G21" s="58">
        <f>$H$4</f>
        <v>0.28189999999999998</v>
      </c>
      <c r="H21" s="58">
        <f>$H$4</f>
        <v>0.28189999999999998</v>
      </c>
      <c r="I21" s="58">
        <f>$H$4</f>
        <v>0.28189999999999998</v>
      </c>
    </row>
    <row r="22" spans="2:13" x14ac:dyDescent="0.25">
      <c r="B22" s="194"/>
      <c r="D22" s="58"/>
      <c r="E22" s="58"/>
      <c r="F22" s="58"/>
      <c r="G22" s="58"/>
      <c r="H22" s="58"/>
      <c r="I22" s="58"/>
    </row>
    <row r="23" spans="2:13" x14ac:dyDescent="0.25">
      <c r="B23" s="194" t="s">
        <v>25</v>
      </c>
      <c r="D23" s="58"/>
      <c r="E23" s="58">
        <f ca="1">E19-E21</f>
        <v>-8.8436645161694388E-2</v>
      </c>
      <c r="F23" s="58">
        <f ca="1">F19-F21</f>
        <v>-7.4850467563083223E-2</v>
      </c>
      <c r="G23" s="58">
        <f ca="1">G19-G21</f>
        <v>-8.4265392072586848E-2</v>
      </c>
      <c r="H23" s="58">
        <f ca="1">H19-H21</f>
        <v>-9.2943108670459768E-2</v>
      </c>
      <c r="I23" s="58">
        <f ca="1">I19-I21</f>
        <v>-9.6530954604177988E-2</v>
      </c>
    </row>
    <row r="24" spans="2:13" x14ac:dyDescent="0.25">
      <c r="B24" s="194"/>
      <c r="D24" s="58"/>
      <c r="E24" s="58"/>
      <c r="F24" s="58"/>
      <c r="G24" s="58"/>
      <c r="H24" s="58"/>
      <c r="I24" s="58"/>
    </row>
    <row r="25" spans="2:13" x14ac:dyDescent="0.25">
      <c r="B25" s="194" t="s">
        <v>26</v>
      </c>
      <c r="D25" s="195"/>
      <c r="E25" s="195">
        <f>E14*E21</f>
        <v>2569730066.7957001</v>
      </c>
      <c r="F25" s="195">
        <f ca="1">F14*F21</f>
        <v>3066878666.5468593</v>
      </c>
      <c r="G25" s="195">
        <f ca="1">G14*G21</f>
        <v>3701874460.496141</v>
      </c>
      <c r="H25" s="195">
        <f ca="1">H14*H21</f>
        <v>4433492968.0928001</v>
      </c>
      <c r="I25" s="195">
        <f ca="1">I14*I21</f>
        <v>5271232017.0749922</v>
      </c>
    </row>
    <row r="26" spans="2:13" x14ac:dyDescent="0.25">
      <c r="D26" s="196"/>
      <c r="E26" s="197"/>
      <c r="F26" s="197"/>
      <c r="G26" s="197"/>
      <c r="H26" s="197"/>
      <c r="I26" s="197"/>
      <c r="J26" s="198"/>
      <c r="K26" s="199"/>
      <c r="M26" s="200"/>
    </row>
    <row r="27" spans="2:13" s="201" customFormat="1" x14ac:dyDescent="0.25">
      <c r="B27" s="201" t="s">
        <v>27</v>
      </c>
      <c r="D27" s="14"/>
      <c r="E27" s="14">
        <f ca="1">E18-E25</f>
        <v>-806166392.61634827</v>
      </c>
      <c r="F27" s="14">
        <f ca="1">F18-F25</f>
        <v>-814321752.92755461</v>
      </c>
      <c r="G27" s="14">
        <f ca="1">G18-G25</f>
        <v>-1106562266.1128173</v>
      </c>
      <c r="H27" s="14">
        <f ca="1">H18-H25</f>
        <v>-1461733305.1549072</v>
      </c>
      <c r="I27" s="14">
        <f ca="1">I18-I25</f>
        <v>-1805026812.8710737</v>
      </c>
      <c r="J27" s="202"/>
      <c r="K27" s="203"/>
      <c r="M27" s="204"/>
    </row>
    <row r="28" spans="2:13" x14ac:dyDescent="0.25">
      <c r="E28" s="200"/>
      <c r="F28" s="200"/>
      <c r="G28" s="200"/>
      <c r="H28" s="200"/>
      <c r="I28" s="200"/>
      <c r="J28" s="198"/>
      <c r="K28" s="199"/>
      <c r="M28" s="200"/>
    </row>
    <row r="29" spans="2:13" x14ac:dyDescent="0.25">
      <c r="B29" s="180" t="str">
        <f>"Present value of residual income at "&amp;TEXT(D6,"mmm dd, yyyy")&amp;" (base date)"</f>
        <v>Present value of residual income at Dec 31, 2025 (base date)</v>
      </c>
      <c r="C29" s="181"/>
      <c r="D29" s="205"/>
      <c r="E29" s="181"/>
      <c r="F29" s="205"/>
      <c r="G29" s="205"/>
      <c r="H29" s="205"/>
      <c r="I29" s="205"/>
      <c r="J29" s="198"/>
    </row>
    <row r="30" spans="2:13" ht="17.25" customHeight="1" x14ac:dyDescent="0.4">
      <c r="B30" s="201"/>
      <c r="D30" s="206" t="s">
        <v>28</v>
      </c>
      <c r="E30" s="206" t="s">
        <v>29</v>
      </c>
      <c r="F30" s="207" t="s">
        <v>30</v>
      </c>
      <c r="G30" s="207" t="s">
        <v>31</v>
      </c>
      <c r="H30" s="207" t="s">
        <v>32</v>
      </c>
      <c r="I30" s="207" t="s">
        <v>33</v>
      </c>
      <c r="J30" s="198"/>
    </row>
    <row r="31" spans="2:13" x14ac:dyDescent="0.25">
      <c r="B31" s="172" t="s">
        <v>34</v>
      </c>
      <c r="D31" s="208">
        <f>D6</f>
        <v>46022</v>
      </c>
      <c r="E31" s="55">
        <f>IF($H$9=1,AVERAGE(E12,D31),E12)</f>
        <v>46387</v>
      </c>
      <c r="F31" s="55">
        <f>IF($H$9=1,AVERAGE(F12,E12),F12)</f>
        <v>46752</v>
      </c>
      <c r="G31" s="55">
        <f>IF($H$9=1,AVERAGE(G12,F12),G12)</f>
        <v>47118</v>
      </c>
      <c r="H31" s="55">
        <f>IF($H$9=1,AVERAGE(H12,G12),H12)</f>
        <v>47483</v>
      </c>
      <c r="I31" s="55">
        <f>IF($H$9=1,AVERAGE(I12,H12),I12)</f>
        <v>47848</v>
      </c>
      <c r="J31" s="198"/>
    </row>
    <row r="32" spans="2:13" x14ac:dyDescent="0.25">
      <c r="B32" s="284" t="s">
        <v>388</v>
      </c>
      <c r="C32" s="285">
        <f>D8</f>
        <v>0.21944444444444444</v>
      </c>
      <c r="D32" s="286"/>
      <c r="E32" s="287">
        <f ca="1">E27</f>
        <v>-806166392.61634827</v>
      </c>
      <c r="F32" s="287">
        <f t="shared" ref="F32:I32" ca="1" si="0">F27</f>
        <v>-814321752.92755461</v>
      </c>
      <c r="G32" s="287">
        <f t="shared" ca="1" si="0"/>
        <v>-1106562266.1128173</v>
      </c>
      <c r="H32" s="287">
        <f t="shared" ca="1" si="0"/>
        <v>-1461733305.1549072</v>
      </c>
      <c r="I32" s="287">
        <f t="shared" ca="1" si="0"/>
        <v>-1805026812.8710737</v>
      </c>
      <c r="J32" s="210"/>
    </row>
    <row r="33" spans="2:10" x14ac:dyDescent="0.25">
      <c r="B33" s="201" t="s">
        <v>35</v>
      </c>
      <c r="E33" s="211">
        <f ca="1">E32/(1+$H$4)^((E31-$D$31)/365)</f>
        <v>-628883994.55210876</v>
      </c>
      <c r="F33" s="211">
        <f t="shared" ref="F33:I33" ca="1" si="1">F32/(1+$H$4)^((F31-$D$31)/365)</f>
        <v>-495550297.45128036</v>
      </c>
      <c r="G33" s="211">
        <f t="shared" ca="1" si="1"/>
        <v>-524949979.64639431</v>
      </c>
      <c r="H33" s="211">
        <f t="shared" ca="1" si="1"/>
        <v>-540948675.01565337</v>
      </c>
      <c r="I33" s="211">
        <f t="shared" ca="1" si="1"/>
        <v>-521095627.51608878</v>
      </c>
    </row>
    <row r="34" spans="2:10" x14ac:dyDescent="0.25">
      <c r="B34" s="201"/>
      <c r="E34" s="211"/>
      <c r="F34" s="211"/>
      <c r="G34" s="211"/>
      <c r="H34" s="211"/>
      <c r="I34" s="211"/>
    </row>
    <row r="35" spans="2:10" x14ac:dyDescent="0.25">
      <c r="B35" s="180" t="s">
        <v>36</v>
      </c>
      <c r="C35" s="180"/>
    </row>
    <row r="36" spans="2:10" x14ac:dyDescent="0.25">
      <c r="B36" s="172" t="s">
        <v>37</v>
      </c>
      <c r="C36" s="212">
        <v>0</v>
      </c>
      <c r="D36" s="279">
        <v>1</v>
      </c>
      <c r="E36" s="185" t="s">
        <v>38</v>
      </c>
    </row>
    <row r="37" spans="2:10" x14ac:dyDescent="0.25">
      <c r="B37" s="213" t="s">
        <v>39</v>
      </c>
      <c r="C37" s="209">
        <f ca="1">I27*(1+C36)</f>
        <v>-1805026812.8710737</v>
      </c>
      <c r="E37" s="214"/>
    </row>
    <row r="38" spans="2:10" x14ac:dyDescent="0.25">
      <c r="B38" s="172" t="str">
        <f>"Terminal value at end of "&amp;YEAR(I12)</f>
        <v>Terminal value at end of 2030</v>
      </c>
      <c r="C38" s="209">
        <f>IF($D$36=1,0,C37/($H$4-C36))</f>
        <v>0</v>
      </c>
      <c r="E38" s="209"/>
    </row>
    <row r="39" spans="2:10" x14ac:dyDescent="0.25">
      <c r="B39" s="172" t="s">
        <v>40</v>
      </c>
      <c r="C39" s="209">
        <f>C38/(1+$H$4)^YEARFRAC($D$31,$I$31)</f>
        <v>0</v>
      </c>
      <c r="E39" s="209"/>
    </row>
    <row r="40" spans="2:10" x14ac:dyDescent="0.25">
      <c r="B40" s="172" t="s">
        <v>41</v>
      </c>
      <c r="C40" s="210">
        <f ca="1">SUM(E33:I33)</f>
        <v>-2711428574.1815257</v>
      </c>
      <c r="E40" s="209"/>
    </row>
    <row r="41" spans="2:10" x14ac:dyDescent="0.25">
      <c r="B41" s="201" t="str">
        <f>"Equity value at "&amp;TEXT(D6,"dd mmm yyyy")&amp;" (book value + PV of residual income)"</f>
        <v>Equity value at 31 Dec 2025 (book value + PV of residual income)</v>
      </c>
      <c r="C41" s="215">
        <f ca="1">D14+C40+C39</f>
        <v>6404321928.8184738</v>
      </c>
      <c r="E41" s="215"/>
    </row>
    <row r="42" spans="2:10" x14ac:dyDescent="0.25">
      <c r="B42" s="201" t="str">
        <f>"Equity value at "&amp;TEXT(D7,"dd mmm yyyy")&amp;" (rolled forward at Ke)"</f>
        <v>Equity value at 12 Oct 2026 (rolled forward at Ke)</v>
      </c>
      <c r="C42" s="215">
        <f ca="1">C41*(1+$H$4)^YEARFRAC($D$6,$D$7)</f>
        <v>7779629304.5622616</v>
      </c>
      <c r="E42" s="215"/>
    </row>
    <row r="43" spans="2:10" s="269" customFormat="1" x14ac:dyDescent="0.25">
      <c r="B43" s="269" t="s">
        <v>42</v>
      </c>
      <c r="C43" s="280">
        <f ca="1">C42/D14</f>
        <v>0.85342718649462601</v>
      </c>
      <c r="E43" s="270"/>
    </row>
    <row r="45" spans="2:10" x14ac:dyDescent="0.25">
      <c r="B45" s="180" t="s">
        <v>43</v>
      </c>
      <c r="C45" s="216"/>
      <c r="E45" s="180" t="s">
        <v>44</v>
      </c>
      <c r="F45" s="181"/>
      <c r="G45" s="180"/>
      <c r="H45" s="181"/>
      <c r="I45" s="181"/>
    </row>
    <row r="46" spans="2:10" ht="17.25" customHeight="1" x14ac:dyDescent="0.4">
      <c r="C46" s="217"/>
      <c r="D46" s="217"/>
    </row>
    <row r="47" spans="2:10" x14ac:dyDescent="0.25">
      <c r="B47" s="172" t="s">
        <v>45</v>
      </c>
      <c r="C47" s="218">
        <f ca="1">C42</f>
        <v>7779629304.5622616</v>
      </c>
      <c r="D47" s="218"/>
      <c r="G47" s="219" t="s">
        <v>46</v>
      </c>
      <c r="H47" s="220" t="s">
        <v>47</v>
      </c>
      <c r="I47" s="220" t="s">
        <v>48</v>
      </c>
    </row>
    <row r="48" spans="2:10" x14ac:dyDescent="0.25">
      <c r="B48" s="172" t="s">
        <v>44</v>
      </c>
      <c r="C48" s="216">
        <f>I53</f>
        <v>1600000000</v>
      </c>
      <c r="D48" s="221"/>
      <c r="E48" s="172" t="s">
        <v>49</v>
      </c>
      <c r="G48" s="222" t="s">
        <v>50</v>
      </c>
      <c r="H48" s="177" t="s">
        <v>51</v>
      </c>
      <c r="I48" s="198">
        <v>1600000000</v>
      </c>
      <c r="J48" s="224"/>
    </row>
    <row r="49" spans="2:10" x14ac:dyDescent="0.25">
      <c r="B49" s="201" t="s">
        <v>52</v>
      </c>
      <c r="C49" s="127">
        <f ca="1">C47/C48</f>
        <v>4.8622683153514137</v>
      </c>
      <c r="D49" s="225"/>
      <c r="E49" s="194" t="s">
        <v>53</v>
      </c>
      <c r="G49" s="222"/>
      <c r="H49" s="177"/>
      <c r="I49" s="223"/>
      <c r="J49" s="226"/>
    </row>
    <row r="50" spans="2:10" x14ac:dyDescent="0.25">
      <c r="B50" s="201" t="s">
        <v>389</v>
      </c>
      <c r="C50" s="288">
        <f ca="1">C49/C51</f>
        <v>9.7245366307028278E-2</v>
      </c>
      <c r="D50" s="225"/>
      <c r="E50" s="194" t="s">
        <v>54</v>
      </c>
      <c r="G50" s="177"/>
      <c r="H50" s="177"/>
      <c r="I50" s="223"/>
    </row>
    <row r="51" spans="2:10" ht="15" customHeight="1" x14ac:dyDescent="0.25">
      <c r="B51" s="201" t="s">
        <v>390</v>
      </c>
      <c r="C51" s="127">
        <v>50</v>
      </c>
      <c r="D51" s="127"/>
      <c r="E51" s="172" t="s">
        <v>56</v>
      </c>
      <c r="G51" s="177"/>
      <c r="H51" s="177"/>
      <c r="I51" s="223"/>
    </row>
    <row r="52" spans="2:10" x14ac:dyDescent="0.25">
      <c r="E52" s="172" t="s">
        <v>57</v>
      </c>
      <c r="G52" s="177"/>
      <c r="H52" s="177"/>
      <c r="I52" s="223"/>
    </row>
    <row r="53" spans="2:10" ht="15" customHeight="1" x14ac:dyDescent="0.25">
      <c r="B53" s="269" t="s">
        <v>55</v>
      </c>
      <c r="C53" s="111">
        <f ca="1">(I19-$C$36)/(I21-$C$36)</f>
        <v>0.65757022134026966</v>
      </c>
      <c r="E53" s="227" t="s">
        <v>58</v>
      </c>
      <c r="I53" s="228">
        <f>SUM(I48:I52)</f>
        <v>1600000000</v>
      </c>
      <c r="J53" s="229"/>
    </row>
    <row r="55" spans="2:10" x14ac:dyDescent="0.25">
      <c r="B55" s="145" t="s">
        <v>59</v>
      </c>
      <c r="C55" s="262"/>
      <c r="D55" s="262"/>
      <c r="E55" s="262"/>
      <c r="F55" s="262"/>
      <c r="G55" s="262"/>
      <c r="H55" s="262"/>
      <c r="I55" s="262"/>
    </row>
    <row r="57" spans="2:10" x14ac:dyDescent="0.25">
      <c r="C57" s="263">
        <f ca="1">C49</f>
        <v>4.8622683153514137</v>
      </c>
      <c r="D57" s="268">
        <f>E57-0.5%</f>
        <v>-0.01</v>
      </c>
      <c r="E57" s="268">
        <f>F57-0.5%</f>
        <v>-5.0000000000000001E-3</v>
      </c>
      <c r="F57" s="266">
        <v>0</v>
      </c>
      <c r="G57" s="268">
        <f>F57+0.5%</f>
        <v>5.0000000000000001E-3</v>
      </c>
      <c r="H57" s="268">
        <f>G57+0.5%</f>
        <v>0.01</v>
      </c>
    </row>
    <row r="58" spans="2:10" x14ac:dyDescent="0.25">
      <c r="C58" s="264">
        <f>C59-0.5%</f>
        <v>0.27189999999999998</v>
      </c>
      <c r="D58" s="267">
        <f t="dataTable" ref="D58:H62" dt2D="1" dtr="1" r1="C36" r2="H4" ca="1"/>
        <v>5.0253922522953465</v>
      </c>
      <c r="E58" s="267">
        <v>5.0253922522953465</v>
      </c>
      <c r="F58" s="267">
        <v>5.0253922522953465</v>
      </c>
      <c r="G58" s="267">
        <v>5.0253922522953465</v>
      </c>
      <c r="H58" s="267">
        <v>5.0253922522953465</v>
      </c>
    </row>
    <row r="59" spans="2:10" x14ac:dyDescent="0.25">
      <c r="C59" s="264">
        <f>C60-0.5%</f>
        <v>0.27689999999999998</v>
      </c>
      <c r="D59" s="267">
        <v>4.9429967174992351</v>
      </c>
      <c r="E59" s="267">
        <v>4.9429967174992351</v>
      </c>
      <c r="F59" s="267">
        <v>4.9429967174992351</v>
      </c>
      <c r="G59" s="267">
        <v>4.9429967174992351</v>
      </c>
      <c r="H59" s="267">
        <v>4.9429967174992351</v>
      </c>
    </row>
    <row r="60" spans="2:10" x14ac:dyDescent="0.25">
      <c r="C60" s="265">
        <v>0.28189999999999998</v>
      </c>
      <c r="D60" s="267">
        <v>4.8622683153514137</v>
      </c>
      <c r="E60" s="267">
        <v>4.8622683153514137</v>
      </c>
      <c r="F60" s="267">
        <v>4.8622683153514137</v>
      </c>
      <c r="G60" s="267">
        <v>4.8622683153514137</v>
      </c>
      <c r="H60" s="267">
        <v>4.8622683153514137</v>
      </c>
    </row>
    <row r="61" spans="2:10" x14ac:dyDescent="0.25">
      <c r="C61" s="264">
        <f>C60+0.5%</f>
        <v>0.28689999999999999</v>
      </c>
      <c r="D61" s="267">
        <v>4.7831670068067593</v>
      </c>
      <c r="E61" s="267">
        <v>4.7831670068067593</v>
      </c>
      <c r="F61" s="267">
        <v>4.7831670068067593</v>
      </c>
      <c r="G61" s="267">
        <v>4.7831670068067593</v>
      </c>
      <c r="H61" s="267">
        <v>4.7831670068067593</v>
      </c>
    </row>
    <row r="62" spans="2:10" x14ac:dyDescent="0.25">
      <c r="C62" s="264">
        <f>C61+0.5%</f>
        <v>0.29189999999999999</v>
      </c>
      <c r="D62" s="267">
        <v>4.7056538646885393</v>
      </c>
      <c r="E62" s="267">
        <v>4.7056538646885393</v>
      </c>
      <c r="F62" s="267">
        <v>4.7056538646885393</v>
      </c>
      <c r="G62" s="267">
        <v>4.7056538646885393</v>
      </c>
      <c r="H62" s="267">
        <v>4.7056538646885393</v>
      </c>
    </row>
  </sheetData>
  <conditionalFormatting sqref="I8">
    <cfRule type="expression" dxfId="3" priority="1">
      <formula>$I8="SELL"</formula>
    </cfRule>
    <cfRule type="expression" dxfId="2" priority="2">
      <formula>$I8="HOLD"</formula>
    </cfRule>
    <cfRule type="expression" dxfId="1" priority="3">
      <formula>$I8="BUY"</formula>
    </cfRule>
  </conditionalFormatting>
  <dataValidations count="1">
    <dataValidation type="list" allowBlank="1" showInputMessage="1" showErrorMessage="1" sqref="H9" xr:uid="{90B36CEF-4479-48A6-BC8C-E180D56E9342}">
      <formula1>"0,1"</formula1>
    </dataValidation>
  </dataValidations>
  <pageMargins left="0.7" right="0.7" top="0.75" bottom="0.75" header="0.3" footer="0.3"/>
  <pageSetup orientation="portrait"/>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I24"/>
  <sheetViews>
    <sheetView zoomScaleNormal="100" workbookViewId="0">
      <selection activeCell="C21" sqref="C21"/>
    </sheetView>
  </sheetViews>
  <sheetFormatPr defaultColWidth="9.140625" defaultRowHeight="15" x14ac:dyDescent="0.25"/>
  <cols>
    <col min="1" max="1" width="1.42578125" style="172" customWidth="1"/>
    <col min="2" max="2" width="50.28515625" style="172" customWidth="1"/>
    <col min="3" max="3" width="15.5703125" style="172" bestFit="1" customWidth="1"/>
    <col min="4" max="4" width="12.7109375" style="172" customWidth="1"/>
    <col min="5" max="5" width="16.85546875" style="172" customWidth="1"/>
    <col min="6" max="6" width="18" style="172" bestFit="1" customWidth="1"/>
    <col min="7" max="9" width="12.7109375" style="172" customWidth="1"/>
    <col min="10" max="10" width="1.7109375" style="172" customWidth="1"/>
    <col min="11" max="11" width="11" style="172" bestFit="1" customWidth="1"/>
    <col min="12" max="16" width="9.42578125" style="172" customWidth="1"/>
    <col min="17" max="18" width="9.140625" style="172" customWidth="1"/>
    <col min="19" max="16384" width="9.140625" style="172"/>
  </cols>
  <sheetData>
    <row r="1" spans="2:9" ht="15.75" customHeight="1" thickBot="1" x14ac:dyDescent="0.3"/>
    <row r="2" spans="2:9" ht="15.75" customHeight="1" thickBot="1" x14ac:dyDescent="0.3">
      <c r="B2" s="173" t="s">
        <v>3</v>
      </c>
      <c r="C2" s="174"/>
      <c r="D2" s="174"/>
      <c r="E2" s="174"/>
      <c r="F2" s="174"/>
      <c r="G2" s="174"/>
      <c r="H2" s="174"/>
      <c r="I2" s="174"/>
    </row>
    <row r="3" spans="2:9" x14ac:dyDescent="0.25">
      <c r="B3" s="230" t="s">
        <v>1</v>
      </c>
    </row>
    <row r="4" spans="2:9" ht="15" customHeight="1" x14ac:dyDescent="0.25">
      <c r="B4" s="231" t="s">
        <v>316</v>
      </c>
      <c r="C4" s="232"/>
      <c r="D4" s="232"/>
      <c r="E4" s="233"/>
      <c r="F4" s="234"/>
    </row>
    <row r="5" spans="2:9" x14ac:dyDescent="0.25">
      <c r="E5" s="219"/>
    </row>
    <row r="6" spans="2:9" x14ac:dyDescent="0.25">
      <c r="B6" s="172" t="s">
        <v>317</v>
      </c>
      <c r="C6" s="235">
        <v>0.2334</v>
      </c>
      <c r="D6" s="73"/>
      <c r="E6" s="73"/>
    </row>
    <row r="7" spans="2:9" x14ac:dyDescent="0.25">
      <c r="B7" s="172" t="s">
        <v>318</v>
      </c>
      <c r="C7" s="253">
        <f>IF(C21="Blume-adjusted",C24,C23)</f>
        <v>0.97</v>
      </c>
    </row>
    <row r="8" spans="2:9" ht="15" customHeight="1" x14ac:dyDescent="0.25">
      <c r="B8" s="172" t="s">
        <v>319</v>
      </c>
      <c r="C8" s="236">
        <v>0.05</v>
      </c>
      <c r="D8" s="73"/>
    </row>
    <row r="10" spans="2:9" x14ac:dyDescent="0.25">
      <c r="B10" s="237" t="s">
        <v>320</v>
      </c>
      <c r="C10" s="238">
        <f>C6+C7*C8</f>
        <v>0.28189999999999998</v>
      </c>
    </row>
    <row r="11" spans="2:9" x14ac:dyDescent="0.25">
      <c r="B11" s="193"/>
      <c r="C11" s="226"/>
    </row>
    <row r="12" spans="2:9" x14ac:dyDescent="0.25">
      <c r="B12" s="38" t="s">
        <v>321</v>
      </c>
      <c r="C12" s="39"/>
      <c r="D12" s="39"/>
      <c r="E12" s="39"/>
      <c r="F12" s="39"/>
    </row>
    <row r="13" spans="2:9" x14ac:dyDescent="0.25">
      <c r="D13" s="112" t="s">
        <v>322</v>
      </c>
      <c r="E13" s="113"/>
      <c r="F13" s="112"/>
    </row>
    <row r="14" spans="2:9" x14ac:dyDescent="0.25">
      <c r="C14" s="114">
        <f>C10</f>
        <v>0.28189999999999998</v>
      </c>
      <c r="D14" s="115">
        <f>E14-0.1</f>
        <v>0.87</v>
      </c>
      <c r="E14" s="116">
        <v>0.97</v>
      </c>
      <c r="F14" s="117">
        <f>E14+0.1</f>
        <v>1.07</v>
      </c>
    </row>
    <row r="15" spans="2:9" x14ac:dyDescent="0.25">
      <c r="C15" s="118">
        <f>C16-0.005</f>
        <v>4.0000000000000008E-2</v>
      </c>
      <c r="D15" s="119">
        <f t="dataTable" ref="D15:F19" dt2D="1" dtr="1" r1="C7" r2="C8"/>
        <v>0.26819999999999999</v>
      </c>
      <c r="E15" s="120">
        <v>0.2722</v>
      </c>
      <c r="F15" s="120">
        <v>0.2762</v>
      </c>
    </row>
    <row r="16" spans="2:9" x14ac:dyDescent="0.25">
      <c r="B16" s="121" t="s">
        <v>323</v>
      </c>
      <c r="C16" s="118">
        <f>C17-0.005</f>
        <v>4.5000000000000005E-2</v>
      </c>
      <c r="D16" s="120">
        <v>0.27255000000000001</v>
      </c>
      <c r="E16" s="120">
        <v>0.27705000000000002</v>
      </c>
      <c r="F16" s="120">
        <v>0.28155000000000002</v>
      </c>
    </row>
    <row r="17" spans="2:6" x14ac:dyDescent="0.25">
      <c r="B17" s="121" t="s">
        <v>324</v>
      </c>
      <c r="C17" s="122">
        <v>0.05</v>
      </c>
      <c r="D17" s="120">
        <v>0.27689999999999998</v>
      </c>
      <c r="E17" s="120">
        <v>0.28189999999999998</v>
      </c>
      <c r="F17" s="120">
        <v>0.28689999999999999</v>
      </c>
    </row>
    <row r="18" spans="2:6" x14ac:dyDescent="0.25">
      <c r="B18" s="121" t="s">
        <v>325</v>
      </c>
      <c r="C18" s="118">
        <f>C17+0.005</f>
        <v>5.5E-2</v>
      </c>
      <c r="D18" s="120">
        <v>0.28125</v>
      </c>
      <c r="E18" s="120">
        <v>0.28675</v>
      </c>
      <c r="F18" s="120">
        <v>0.29225000000000001</v>
      </c>
    </row>
    <row r="19" spans="2:6" x14ac:dyDescent="0.25">
      <c r="C19" s="118">
        <f>C18+0.005</f>
        <v>0.06</v>
      </c>
      <c r="D19" s="120">
        <v>0.28559999999999997</v>
      </c>
      <c r="E19" s="120">
        <v>0.29159999999999997</v>
      </c>
      <c r="F19" s="120">
        <v>0.29759999999999998</v>
      </c>
    </row>
    <row r="20" spans="2:6" x14ac:dyDescent="0.25">
      <c r="C20" s="123"/>
      <c r="D20" s="120"/>
      <c r="E20" s="120"/>
      <c r="F20" s="120"/>
    </row>
    <row r="21" spans="2:6" x14ac:dyDescent="0.25">
      <c r="B21" t="s">
        <v>326</v>
      </c>
      <c r="C21" s="124" t="s">
        <v>327</v>
      </c>
    </row>
    <row r="23" spans="2:6" x14ac:dyDescent="0.25">
      <c r="B23" s="125" t="s">
        <v>328</v>
      </c>
      <c r="C23" s="126">
        <v>0.97</v>
      </c>
    </row>
    <row r="24" spans="2:6" x14ac:dyDescent="0.25">
      <c r="B24" s="125" t="s">
        <v>329</v>
      </c>
      <c r="C24" s="126">
        <f>2/3*C23+1/3</f>
        <v>0.98</v>
      </c>
    </row>
  </sheetData>
  <conditionalFormatting sqref="B11:C13">
    <cfRule type="expression" dxfId="0" priority="1">
      <formula>#REF!="Industry"</formula>
    </cfRule>
  </conditionalFormatting>
  <dataValidations count="1">
    <dataValidation type="list" sqref="C21" xr:uid="{00000000-0002-0000-0300-000000000000}">
      <formula1>"Industry,Blume-adjusted"</formula1>
    </dataValidation>
  </dataValidations>
  <pageMargins left="0.7" right="0.7" top="0.75" bottom="0.75" header="0.3" footer="0.3"/>
  <pageSetup orientation="portrait"/>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I70"/>
  <sheetViews>
    <sheetView showGridLines="0" zoomScaleNormal="100" workbookViewId="0">
      <selection activeCell="C12" sqref="C12"/>
    </sheetView>
  </sheetViews>
  <sheetFormatPr defaultRowHeight="15" x14ac:dyDescent="0.25"/>
  <cols>
    <col min="1" max="1" width="2" style="6" customWidth="1"/>
    <col min="2" max="2" width="38" style="6" customWidth="1"/>
    <col min="3" max="7" width="18.7109375" style="6" customWidth="1"/>
    <col min="8" max="8" width="2" style="6" customWidth="1"/>
    <col min="9" max="9" width="46" style="6" customWidth="1"/>
    <col min="10" max="10" width="9.140625" style="6" customWidth="1"/>
    <col min="11" max="16384" width="9.140625" style="6"/>
  </cols>
  <sheetData>
    <row r="1" spans="2:9" ht="15.75" customHeight="1" thickBot="1" x14ac:dyDescent="0.3"/>
    <row r="2" spans="2:9" s="241" customFormat="1" ht="15.75" customHeight="1" thickBot="1" x14ac:dyDescent="0.3">
      <c r="B2" s="239" t="s">
        <v>330</v>
      </c>
      <c r="C2" s="240"/>
    </row>
    <row r="3" spans="2:9" x14ac:dyDescent="0.25">
      <c r="B3" s="143"/>
    </row>
    <row r="4" spans="2:9" x14ac:dyDescent="0.25">
      <c r="B4" s="44" t="s">
        <v>331</v>
      </c>
      <c r="C4" s="144">
        <v>46307</v>
      </c>
      <c r="I4" s="143"/>
    </row>
    <row r="6" spans="2:9" x14ac:dyDescent="0.25">
      <c r="B6" s="145" t="s">
        <v>332</v>
      </c>
      <c r="C6" s="146"/>
      <c r="D6" s="146"/>
      <c r="E6" s="146"/>
      <c r="F6" s="146"/>
      <c r="G6" s="146"/>
    </row>
    <row r="7" spans="2:9" x14ac:dyDescent="0.25">
      <c r="B7" s="35" t="s">
        <v>62</v>
      </c>
      <c r="C7" s="242" t="s">
        <v>333</v>
      </c>
      <c r="D7" s="242" t="s">
        <v>334</v>
      </c>
      <c r="E7" s="242" t="s">
        <v>335</v>
      </c>
      <c r="F7" s="242" t="s">
        <v>336</v>
      </c>
      <c r="G7" s="242" t="s">
        <v>63</v>
      </c>
    </row>
    <row r="8" spans="2:9" x14ac:dyDescent="0.25">
      <c r="B8" s="35" t="s">
        <v>337</v>
      </c>
      <c r="C8" s="243" t="s">
        <v>338</v>
      </c>
      <c r="D8" s="243" t="s">
        <v>339</v>
      </c>
      <c r="E8" s="243" t="s">
        <v>340</v>
      </c>
      <c r="F8" s="243" t="s">
        <v>341</v>
      </c>
      <c r="G8" s="243" t="s">
        <v>342</v>
      </c>
    </row>
    <row r="9" spans="2:9" x14ac:dyDescent="0.25">
      <c r="B9" s="35" t="s">
        <v>343</v>
      </c>
      <c r="C9" s="242" t="s">
        <v>344</v>
      </c>
      <c r="D9" s="242" t="s">
        <v>344</v>
      </c>
      <c r="E9" s="242" t="s">
        <v>344</v>
      </c>
      <c r="F9" s="242" t="s">
        <v>344</v>
      </c>
      <c r="G9" s="242" t="s">
        <v>344</v>
      </c>
    </row>
    <row r="10" spans="2:9" x14ac:dyDescent="0.25">
      <c r="B10" s="35" t="s">
        <v>345</v>
      </c>
      <c r="C10" s="144">
        <v>46022</v>
      </c>
      <c r="D10" s="144">
        <v>46022</v>
      </c>
      <c r="E10" s="144">
        <v>46022</v>
      </c>
      <c r="F10" s="144">
        <v>46022</v>
      </c>
      <c r="G10" s="144">
        <v>46022</v>
      </c>
    </row>
    <row r="11" spans="2:9" x14ac:dyDescent="0.25">
      <c r="B11" s="35" t="s">
        <v>346</v>
      </c>
      <c r="C11" s="253">
        <v>18.7</v>
      </c>
      <c r="D11" s="253">
        <v>24.1</v>
      </c>
      <c r="E11" s="253">
        <v>3.92</v>
      </c>
      <c r="F11" s="253">
        <v>11.3</v>
      </c>
      <c r="G11" s="253">
        <v>24.5</v>
      </c>
      <c r="I11" s="143"/>
    </row>
    <row r="12" spans="2:9" x14ac:dyDescent="0.25">
      <c r="B12" s="244" t="s">
        <v>347</v>
      </c>
      <c r="C12" s="245">
        <f>$C$4</f>
        <v>46307</v>
      </c>
      <c r="D12" s="245">
        <f>$C$4</f>
        <v>46307</v>
      </c>
      <c r="E12" s="245">
        <f>$C$4</f>
        <v>46307</v>
      </c>
      <c r="F12" s="245">
        <f>$C$4</f>
        <v>46307</v>
      </c>
      <c r="G12" s="245">
        <v>46302</v>
      </c>
    </row>
    <row r="13" spans="2:9" x14ac:dyDescent="0.25">
      <c r="B13" s="281"/>
    </row>
    <row r="14" spans="2:9" x14ac:dyDescent="0.25">
      <c r="B14" s="145" t="s">
        <v>348</v>
      </c>
      <c r="C14" s="146"/>
      <c r="D14" s="146"/>
      <c r="E14" s="146"/>
      <c r="F14" s="146"/>
      <c r="G14" s="146"/>
    </row>
    <row r="15" spans="2:9" x14ac:dyDescent="0.25">
      <c r="B15" s="35" t="s">
        <v>349</v>
      </c>
      <c r="C15" s="246">
        <v>3406523244</v>
      </c>
      <c r="D15" s="246">
        <v>3466666667</v>
      </c>
      <c r="E15" s="246">
        <v>1196974000</v>
      </c>
      <c r="F15" s="246">
        <v>1000000000</v>
      </c>
      <c r="G15" s="147">
        <f>FSM!D10</f>
        <v>1600000000</v>
      </c>
    </row>
    <row r="16" spans="2:9" x14ac:dyDescent="0.25">
      <c r="B16" s="35" t="s">
        <v>350</v>
      </c>
      <c r="C16" s="252">
        <v>0</v>
      </c>
      <c r="D16" s="252">
        <v>0</v>
      </c>
      <c r="E16" s="252">
        <v>0</v>
      </c>
      <c r="F16" s="252">
        <v>0</v>
      </c>
      <c r="G16" s="289">
        <f>'Residual Income'!I49</f>
        <v>0</v>
      </c>
      <c r="I16" s="143"/>
    </row>
    <row r="17" spans="2:7" x14ac:dyDescent="0.25">
      <c r="B17" s="44" t="s">
        <v>351</v>
      </c>
      <c r="C17" s="148">
        <f>SUM(C15:C16)</f>
        <v>3406523244</v>
      </c>
      <c r="D17" s="148">
        <f>SUM(D15:D16)</f>
        <v>3466666667</v>
      </c>
      <c r="E17" s="148">
        <f>SUM(E15:E16)</f>
        <v>1196974000</v>
      </c>
      <c r="F17" s="148">
        <f>SUM(F15:F16)</f>
        <v>1000000000</v>
      </c>
      <c r="G17" s="148">
        <f>SUM(G15:G16)</f>
        <v>1600000000</v>
      </c>
    </row>
    <row r="19" spans="2:7" x14ac:dyDescent="0.25">
      <c r="B19" s="145" t="s">
        <v>352</v>
      </c>
      <c r="C19" s="146"/>
      <c r="D19" s="146"/>
      <c r="E19" s="146"/>
      <c r="F19" s="146"/>
      <c r="G19" s="146"/>
    </row>
    <row r="20" spans="2:7" x14ac:dyDescent="0.25">
      <c r="B20" s="35" t="s">
        <v>353</v>
      </c>
      <c r="C20" s="250">
        <f>C17*C11</f>
        <v>63701984662.799995</v>
      </c>
      <c r="D20" s="250">
        <f>D17*D11</f>
        <v>83546666674.700012</v>
      </c>
      <c r="E20" s="250">
        <f>E17*E11</f>
        <v>4692138080</v>
      </c>
      <c r="F20" s="250">
        <f>F17*F11</f>
        <v>11300000000</v>
      </c>
      <c r="G20" s="250">
        <f>G17*G11</f>
        <v>39200000000</v>
      </c>
    </row>
    <row r="22" spans="2:7" x14ac:dyDescent="0.25">
      <c r="B22" s="145" t="s">
        <v>354</v>
      </c>
      <c r="C22" s="146"/>
      <c r="D22" s="146"/>
      <c r="E22" s="146"/>
      <c r="F22" s="146"/>
      <c r="G22" s="146"/>
    </row>
    <row r="23" spans="2:7" x14ac:dyDescent="0.25">
      <c r="B23" s="35" t="s">
        <v>355</v>
      </c>
      <c r="C23" s="251">
        <v>2889189159</v>
      </c>
      <c r="D23" s="251">
        <v>2405402468</v>
      </c>
      <c r="E23" s="251">
        <v>345095303</v>
      </c>
      <c r="F23" s="251">
        <v>1613087731</v>
      </c>
      <c r="G23" s="147">
        <f>FSM!F35</f>
        <v>2018397923</v>
      </c>
    </row>
    <row r="24" spans="2:7" x14ac:dyDescent="0.25">
      <c r="B24" s="35" t="s">
        <v>356</v>
      </c>
      <c r="C24" s="251">
        <v>7730539324</v>
      </c>
      <c r="D24" s="251">
        <v>8626198716</v>
      </c>
      <c r="E24" s="251">
        <v>4418892184</v>
      </c>
      <c r="F24" s="251">
        <v>7881594898</v>
      </c>
      <c r="G24" s="147">
        <f>FSM!F110</f>
        <v>9115750503</v>
      </c>
    </row>
    <row r="25" spans="2:7" x14ac:dyDescent="0.25">
      <c r="B25" s="35" t="s">
        <v>357</v>
      </c>
      <c r="C25" s="252">
        <v>-91606292</v>
      </c>
      <c r="D25" s="252">
        <v>0</v>
      </c>
      <c r="E25" s="252">
        <v>-32216199</v>
      </c>
      <c r="F25" s="252">
        <v>-383036441</v>
      </c>
      <c r="G25" s="282">
        <f>-FSM!F379</f>
        <v>-36923005</v>
      </c>
    </row>
    <row r="26" spans="2:7" x14ac:dyDescent="0.25">
      <c r="B26" s="35" t="s">
        <v>358</v>
      </c>
      <c r="C26" s="252">
        <v>-1488621582</v>
      </c>
      <c r="D26" s="252">
        <v>-167040739</v>
      </c>
      <c r="E26" s="252">
        <v>-78979915</v>
      </c>
      <c r="F26" s="252">
        <v>-62575556</v>
      </c>
      <c r="G26" s="282">
        <f>-FSM!F381</f>
        <v>-503311305</v>
      </c>
    </row>
    <row r="27" spans="2:7" s="35" customFormat="1" x14ac:dyDescent="0.25">
      <c r="B27" s="35" t="s">
        <v>359</v>
      </c>
      <c r="C27" s="151">
        <f>SUM(C24:C26)</f>
        <v>6150311450</v>
      </c>
      <c r="D27" s="151">
        <f>SUM(D24:D26)</f>
        <v>8459157977</v>
      </c>
      <c r="E27" s="151">
        <f>SUM(E24:E26)</f>
        <v>4307696070</v>
      </c>
      <c r="F27" s="151">
        <f>SUM(F24:F26)</f>
        <v>7435982901</v>
      </c>
      <c r="G27" s="151">
        <f>SUM(G24:G26)</f>
        <v>8575516193</v>
      </c>
    </row>
    <row r="29" spans="2:7" x14ac:dyDescent="0.25">
      <c r="B29" s="145" t="s">
        <v>360</v>
      </c>
      <c r="C29" s="146"/>
      <c r="D29" s="146"/>
      <c r="E29" s="146"/>
      <c r="F29" s="146"/>
      <c r="G29" s="146"/>
    </row>
    <row r="30" spans="2:7" x14ac:dyDescent="0.25">
      <c r="B30" s="44" t="s">
        <v>361</v>
      </c>
      <c r="C30" s="150">
        <f>C20/C23</f>
        <v>22.0483952960866</v>
      </c>
      <c r="D30" s="150">
        <f>D20/D23</f>
        <v>34.732926313227686</v>
      </c>
      <c r="E30" s="150">
        <f>E20/E23</f>
        <v>13.596644286984109</v>
      </c>
      <c r="F30" s="150">
        <f>F20/F23</f>
        <v>7.0051986527693701</v>
      </c>
      <c r="G30" s="150">
        <f>G20/G23</f>
        <v>19.421343806049883</v>
      </c>
    </row>
    <row r="31" spans="2:7" x14ac:dyDescent="0.25">
      <c r="B31" s="44" t="s">
        <v>362</v>
      </c>
      <c r="C31" s="150">
        <f>C20/C24</f>
        <v>8.2403027774572895</v>
      </c>
      <c r="D31" s="150">
        <f>D20/D24</f>
        <v>9.6852239816521308</v>
      </c>
      <c r="E31" s="150">
        <f>E20/E24</f>
        <v>1.0618358368166061</v>
      </c>
      <c r="F31" s="150">
        <f>F20/F24</f>
        <v>1.4337199699095724</v>
      </c>
      <c r="G31" s="150">
        <f>G20/G24</f>
        <v>4.3002493307708729</v>
      </c>
    </row>
    <row r="32" spans="2:7" x14ac:dyDescent="0.25">
      <c r="B32" s="44" t="s">
        <v>363</v>
      </c>
      <c r="C32" s="150">
        <f>C20/C27</f>
        <v>10.357521758154215</v>
      </c>
      <c r="D32" s="150">
        <f>D20/D27</f>
        <v>9.8764755194144556</v>
      </c>
      <c r="E32" s="150">
        <f>E20/E27</f>
        <v>1.089245388660858</v>
      </c>
      <c r="F32" s="150">
        <f>F20/F27</f>
        <v>1.5196377063320523</v>
      </c>
      <c r="G32" s="150">
        <f>G20/G27</f>
        <v>4.5711533997216485</v>
      </c>
    </row>
    <row r="33" spans="2:7" x14ac:dyDescent="0.25">
      <c r="B33" s="44" t="s">
        <v>364</v>
      </c>
      <c r="C33" s="247">
        <f>C23/C24</f>
        <v>0.37373707550135737</v>
      </c>
      <c r="D33" s="247">
        <f>D23/D24</f>
        <v>0.27884848786736438</v>
      </c>
      <c r="E33" s="247">
        <f>E23/E24</f>
        <v>7.8095434020664031E-2</v>
      </c>
      <c r="F33" s="247">
        <f>F23/F24</f>
        <v>0.20466514098679828</v>
      </c>
      <c r="G33" s="247">
        <f>G23/G24</f>
        <v>0.22141873259209363</v>
      </c>
    </row>
    <row r="35" spans="2:7" x14ac:dyDescent="0.25">
      <c r="B35" s="145" t="s">
        <v>365</v>
      </c>
      <c r="C35" s="146"/>
      <c r="D35" s="146"/>
      <c r="E35" s="146"/>
      <c r="F35" s="146"/>
      <c r="G35" s="146"/>
    </row>
    <row r="36" spans="2:7" x14ac:dyDescent="0.25">
      <c r="C36" s="44" t="s">
        <v>366</v>
      </c>
      <c r="D36" s="44" t="s">
        <v>367</v>
      </c>
      <c r="E36" s="44" t="s">
        <v>368</v>
      </c>
      <c r="F36" s="44" t="s">
        <v>369</v>
      </c>
      <c r="G36" s="44"/>
    </row>
    <row r="37" spans="2:7" x14ac:dyDescent="0.25">
      <c r="C37" s="44"/>
      <c r="D37" s="44"/>
      <c r="E37" s="44"/>
      <c r="F37" s="44"/>
      <c r="G37" s="44"/>
    </row>
    <row r="38" spans="2:7" x14ac:dyDescent="0.25">
      <c r="B38" s="35" t="s">
        <v>370</v>
      </c>
      <c r="C38" s="149">
        <f>AVERAGE(C30:F30)</f>
        <v>19.345791137266943</v>
      </c>
      <c r="D38" s="149">
        <f>AVERAGE(E31:F31)</f>
        <v>1.2477779033630894</v>
      </c>
      <c r="E38" s="149">
        <f>AVERAGE(E32:F32)</f>
        <v>1.304441547496455</v>
      </c>
      <c r="F38" s="1">
        <f>AVERAGE(C33:F33)</f>
        <v>0.23383653459404602</v>
      </c>
      <c r="G38" s="73"/>
    </row>
    <row r="39" spans="2:7" s="13" customFormat="1" x14ac:dyDescent="0.25">
      <c r="B39" s="44" t="s">
        <v>371</v>
      </c>
      <c r="C39" s="150">
        <f>MEDIAN(C30:F30)</f>
        <v>17.822519791535356</v>
      </c>
      <c r="D39" s="150">
        <f>MEDIAN(E31:F31)</f>
        <v>1.2477779033630894</v>
      </c>
      <c r="E39" s="150">
        <f>MEDIAN(E32:F32)</f>
        <v>1.304441547496455</v>
      </c>
      <c r="F39" s="167">
        <f>MEDIAN(C33:F33)</f>
        <v>0.24175681442708133</v>
      </c>
      <c r="G39" s="247"/>
    </row>
    <row r="40" spans="2:7" x14ac:dyDescent="0.25">
      <c r="B40" s="35" t="s">
        <v>372</v>
      </c>
      <c r="C40" s="149">
        <f>MAX(C30:F30)</f>
        <v>34.732926313227686</v>
      </c>
      <c r="D40" s="149">
        <f>MAX(E31:F31)</f>
        <v>1.4337199699095724</v>
      </c>
      <c r="E40" s="149">
        <f>MAX(E32:F32)</f>
        <v>1.5196377063320523</v>
      </c>
      <c r="F40" s="1">
        <f>MAX(C33:F33)</f>
        <v>0.37373707550135737</v>
      </c>
      <c r="G40" s="73"/>
    </row>
    <row r="41" spans="2:7" x14ac:dyDescent="0.25">
      <c r="B41" s="35" t="s">
        <v>373</v>
      </c>
      <c r="C41" s="149">
        <f>MIN(C30:F30)</f>
        <v>7.0051986527693701</v>
      </c>
      <c r="D41" s="149">
        <f>MIN(E31:F31)</f>
        <v>1.0618358368166061</v>
      </c>
      <c r="E41" s="149">
        <f>MIN(E32:F32)</f>
        <v>1.089245388660858</v>
      </c>
      <c r="F41" s="1">
        <f>MIN(C33:F33)</f>
        <v>7.8095434020664031E-2</v>
      </c>
      <c r="G41" s="73"/>
    </row>
    <row r="43" spans="2:7" x14ac:dyDescent="0.25">
      <c r="B43" s="145" t="s">
        <v>374</v>
      </c>
      <c r="C43" s="146"/>
      <c r="D43" s="146"/>
      <c r="E43" s="146"/>
      <c r="F43" s="146"/>
      <c r="G43" s="146"/>
    </row>
    <row r="44" spans="2:7" x14ac:dyDescent="0.25">
      <c r="B44" s="44" t="s">
        <v>375</v>
      </c>
    </row>
    <row r="45" spans="2:7" x14ac:dyDescent="0.25">
      <c r="B45" s="35" t="s">
        <v>376</v>
      </c>
      <c r="C45" s="149">
        <f>C39</f>
        <v>17.822519791535356</v>
      </c>
    </row>
    <row r="46" spans="2:7" x14ac:dyDescent="0.25">
      <c r="B46" s="35" t="s">
        <v>377</v>
      </c>
      <c r="C46" s="151">
        <f>$G$23</f>
        <v>2018397923</v>
      </c>
    </row>
    <row r="47" spans="2:7" x14ac:dyDescent="0.25">
      <c r="B47" s="35" t="s">
        <v>378</v>
      </c>
      <c r="C47" s="151">
        <f>C45*C46</f>
        <v>35972936929.861359</v>
      </c>
    </row>
    <row r="48" spans="2:7" x14ac:dyDescent="0.25">
      <c r="B48" s="35" t="s">
        <v>351</v>
      </c>
      <c r="C48" s="248">
        <f>$G$15</f>
        <v>1600000000</v>
      </c>
    </row>
    <row r="49" spans="2:3" x14ac:dyDescent="0.25">
      <c r="B49" s="44" t="s">
        <v>379</v>
      </c>
      <c r="C49" s="249">
        <f>C47/C48</f>
        <v>22.483085581163348</v>
      </c>
    </row>
    <row r="51" spans="2:3" x14ac:dyDescent="0.25">
      <c r="B51" s="44" t="s">
        <v>380</v>
      </c>
    </row>
    <row r="52" spans="2:3" x14ac:dyDescent="0.25">
      <c r="B52" s="35" t="s">
        <v>381</v>
      </c>
      <c r="C52" s="149">
        <f>D39</f>
        <v>1.2477779033630894</v>
      </c>
    </row>
    <row r="53" spans="2:3" x14ac:dyDescent="0.25">
      <c r="B53" s="35" t="s">
        <v>382</v>
      </c>
      <c r="C53" s="151">
        <f>G24</f>
        <v>9115750503</v>
      </c>
    </row>
    <row r="54" spans="2:3" x14ac:dyDescent="0.25">
      <c r="B54" s="35" t="s">
        <v>378</v>
      </c>
      <c r="C54" s="151">
        <f>C52*C53</f>
        <v>11374432050.214367</v>
      </c>
    </row>
    <row r="55" spans="2:3" x14ac:dyDescent="0.25">
      <c r="B55" s="35" t="s">
        <v>351</v>
      </c>
      <c r="C55" s="248">
        <f>C48</f>
        <v>1600000000</v>
      </c>
    </row>
    <row r="56" spans="2:3" x14ac:dyDescent="0.25">
      <c r="B56" s="44" t="s">
        <v>379</v>
      </c>
      <c r="C56" s="249">
        <f>C54/C55</f>
        <v>7.1090200313839791</v>
      </c>
    </row>
    <row r="57" spans="2:3" x14ac:dyDescent="0.25">
      <c r="B57" s="44"/>
      <c r="C57" s="249"/>
    </row>
    <row r="58" spans="2:3" x14ac:dyDescent="0.25">
      <c r="B58" s="44" t="s">
        <v>383</v>
      </c>
    </row>
    <row r="59" spans="2:3" x14ac:dyDescent="0.25">
      <c r="B59" s="35" t="s">
        <v>384</v>
      </c>
      <c r="C59" s="149">
        <f>E39</f>
        <v>1.304441547496455</v>
      </c>
    </row>
    <row r="60" spans="2:3" x14ac:dyDescent="0.25">
      <c r="B60" s="35" t="s">
        <v>385</v>
      </c>
      <c r="C60" s="151">
        <f>G27</f>
        <v>8575516193</v>
      </c>
    </row>
    <row r="61" spans="2:3" x14ac:dyDescent="0.25">
      <c r="B61" s="35" t="s">
        <v>378</v>
      </c>
      <c r="C61" s="151">
        <f>C59*C60</f>
        <v>11186259613.377829</v>
      </c>
    </row>
    <row r="62" spans="2:3" x14ac:dyDescent="0.25">
      <c r="B62" s="35" t="s">
        <v>351</v>
      </c>
      <c r="C62" s="248">
        <f>C55</f>
        <v>1600000000</v>
      </c>
    </row>
    <row r="63" spans="2:3" x14ac:dyDescent="0.25">
      <c r="B63" s="44" t="s">
        <v>379</v>
      </c>
      <c r="C63" s="249">
        <f>C61/C62</f>
        <v>6.9914122583611427</v>
      </c>
    </row>
    <row r="65" spans="2:3" x14ac:dyDescent="0.25">
      <c r="B65" s="44" t="s">
        <v>386</v>
      </c>
    </row>
    <row r="66" spans="2:3" x14ac:dyDescent="0.25">
      <c r="B66" s="35" t="s">
        <v>387</v>
      </c>
      <c r="C66" s="149">
        <f>MEDIAN(E30:F30)</f>
        <v>10.300921469876739</v>
      </c>
    </row>
    <row r="67" spans="2:3" x14ac:dyDescent="0.25">
      <c r="B67" s="35" t="s">
        <v>377</v>
      </c>
      <c r="C67" s="151">
        <f>G23</f>
        <v>2018397923</v>
      </c>
    </row>
    <row r="68" spans="2:3" x14ac:dyDescent="0.25">
      <c r="B68" s="35" t="s">
        <v>378</v>
      </c>
      <c r="C68" s="151">
        <f>C66*C67</f>
        <v>20791358499.785316</v>
      </c>
    </row>
    <row r="69" spans="2:3" x14ac:dyDescent="0.25">
      <c r="B69" s="35" t="s">
        <v>351</v>
      </c>
      <c r="C69" s="248">
        <f>C62</f>
        <v>1600000000</v>
      </c>
    </row>
    <row r="70" spans="2:3" x14ac:dyDescent="0.25">
      <c r="B70" s="44" t="s">
        <v>379</v>
      </c>
      <c r="C70" s="249">
        <f>C68/C69</f>
        <v>12.994599062365824</v>
      </c>
    </row>
  </sheetData>
  <pageMargins left="0.75" right="0.75" top="1" bottom="1" header="0.5" footer="0.5"/>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D5D4C3B-4CE7-4A4C-8F9E-30B1479E940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FSM</vt:lpstr>
      <vt:lpstr>Residual Income</vt:lpstr>
      <vt:lpstr>Cost of equity (Ke​)</vt:lpstr>
      <vt:lpstr>Trading Comps</vt:lpstr>
      <vt:lpstr>FSM!Company_Name</vt:lpstr>
      <vt:lpstr>Company_Name</vt:lpstr>
      <vt:lpstr>Hist_Yr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Ahmed WAEL</dc:creator>
  <cp:lastModifiedBy>Ahmed Wael</cp:lastModifiedBy>
  <cp:revision>0</cp:revision>
  <dcterms:created xsi:type="dcterms:W3CDTF">2015-06-05T18:17:20Z</dcterms:created>
  <dcterms:modified xsi:type="dcterms:W3CDTF">2026-10-14T18:24:57Z</dcterms:modified>
  <dc:language>en-US</dc:language>
</cp:coreProperties>
</file>