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7\MFPC - CA\"/>
    </mc:Choice>
  </mc:AlternateContent>
  <xr:revisionPtr revIDLastSave="0" documentId="13_ncr:1_{AF86FFD5-4131-456B-9713-1632BBE61D0F}" xr6:coauthVersionLast="47" xr6:coauthVersionMax="47" xr10:uidLastSave="{00000000-0000-0000-0000-000000000000}"/>
  <bookViews>
    <workbookView xWindow="-120" yWindow="-120" windowWidth="29040" windowHeight="15840" tabRatio="646" activeTab="1" xr2:uid="{00000000-000D-0000-FFFF-FFFF00000000}"/>
  </bookViews>
  <sheets>
    <sheet name="FSM" sheetId="1" r:id="rId1"/>
    <sheet name="DCF" sheetId="2" r:id="rId2"/>
    <sheet name="WACC" sheetId="3" r:id="rId3"/>
    <sheet name="Trading Comps &quot;Subjective&quot;" sheetId="7" r:id="rId4"/>
    <sheet name="Transaction Comps" sheetId="5" r:id="rId5"/>
    <sheet name="Accretion Dilution" sheetId="6" r:id="rId6"/>
    <sheet name="Trading Comps" sheetId="4" r:id="rId7"/>
  </sheets>
  <definedNames>
    <definedName name="CIQWBGuid" localSheetId="1" hidden="1">"DCF_complete.xlsx"</definedName>
    <definedName name="CIQWBGuid" localSheetId="2" hidden="1">"DCF_complete.xlsx"</definedName>
    <definedName name="CIQWBGuid" hidden="1">"a611639b-bab1-425e-aaa5-008c326fdfdb"</definedName>
    <definedName name="Company_Name" localSheetId="0">FSM!$D$5</definedName>
    <definedName name="Company_Name">#REF!</definedName>
    <definedName name="Hist_Yr" localSheetId="0">FSM!#REF!</definedName>
    <definedName name="Hist_Yr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43549.6880671296</definedName>
    <definedName name="IQ_NAMES_REVISION_DATE_" localSheetId="2" hidden="1">43549.6880671296</definedName>
    <definedName name="IQ_NAMES_REVISION_DATE_" hidden="1">43588.5561574074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841c85bef3244d5c8fb6b3f84988d79e" localSheetId="1" hidden="1">#REF!</definedName>
    <definedName name="MLNK841c85bef3244d5c8fb6b3f84988d79e" localSheetId="2" hidden="1">#REF!</definedName>
    <definedName name="MLNK841c85bef3244d5c8fb6b3f84988d79e" hidden="1">#REF!</definedName>
    <definedName name="MLNKa7775792bf444a4785f8ed5c82461a24" localSheetId="1" hidden="1">#REF!</definedName>
    <definedName name="MLNKa7775792bf444a4785f8ed5c82461a24" localSheetId="2" hidden="1">#REF!</definedName>
    <definedName name="MLNKa7775792bf444a4785f8ed5c82461a24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7" l="1"/>
  <c r="F23" i="7"/>
  <c r="E23" i="7"/>
  <c r="G35" i="7"/>
  <c r="F35" i="7"/>
  <c r="E35" i="7"/>
  <c r="D31" i="7"/>
  <c r="D20" i="7"/>
  <c r="G17" i="7"/>
  <c r="G26" i="7" s="1"/>
  <c r="F17" i="7"/>
  <c r="F26" i="7" s="1"/>
  <c r="F42" i="7" s="1"/>
  <c r="E17" i="7"/>
  <c r="E26" i="7" s="1"/>
  <c r="D15" i="7"/>
  <c r="D17" i="7" s="1"/>
  <c r="D74" i="7" s="1"/>
  <c r="D11" i="7"/>
  <c r="D11" i="4"/>
  <c r="D58" i="7" l="1"/>
  <c r="D65" i="7"/>
  <c r="D26" i="7"/>
  <c r="G42" i="7"/>
  <c r="G27" i="7"/>
  <c r="E42" i="7"/>
  <c r="E27" i="7"/>
  <c r="F27" i="7"/>
  <c r="M86" i="6"/>
  <c r="L86" i="6"/>
  <c r="M85" i="6"/>
  <c r="L85" i="6"/>
  <c r="M84" i="6"/>
  <c r="L84" i="6"/>
  <c r="M83" i="6"/>
  <c r="L83" i="6"/>
  <c r="M82" i="6"/>
  <c r="L82" i="6"/>
  <c r="M81" i="6"/>
  <c r="L81" i="6"/>
  <c r="M80" i="6"/>
  <c r="L80" i="6"/>
  <c r="M79" i="6"/>
  <c r="L79" i="6"/>
  <c r="M78" i="6"/>
  <c r="L78" i="6"/>
  <c r="M77" i="6"/>
  <c r="L77" i="6"/>
  <c r="M76" i="6"/>
  <c r="L76" i="6"/>
  <c r="M75" i="6"/>
  <c r="L75" i="6"/>
  <c r="M74" i="6"/>
  <c r="L74" i="6"/>
  <c r="M73" i="6"/>
  <c r="L73" i="6"/>
  <c r="M72" i="6"/>
  <c r="L72" i="6"/>
  <c r="M71" i="6"/>
  <c r="L71" i="6"/>
  <c r="M70" i="6"/>
  <c r="L70" i="6"/>
  <c r="M69" i="6"/>
  <c r="L69" i="6"/>
  <c r="M68" i="6"/>
  <c r="L68" i="6"/>
  <c r="M67" i="6"/>
  <c r="L67" i="6"/>
  <c r="M66" i="6"/>
  <c r="L66" i="6"/>
  <c r="M65" i="6"/>
  <c r="L65" i="6"/>
  <c r="M64" i="6"/>
  <c r="L64" i="6"/>
  <c r="M63" i="6"/>
  <c r="L63" i="6"/>
  <c r="M62" i="6"/>
  <c r="L62" i="6"/>
  <c r="G39" i="6"/>
  <c r="G38" i="6"/>
  <c r="G27" i="6"/>
  <c r="C27" i="6"/>
  <c r="G25" i="6"/>
  <c r="C25" i="6"/>
  <c r="C20" i="6"/>
  <c r="G34" i="6" s="1"/>
  <c r="C15" i="6"/>
  <c r="C11" i="6"/>
  <c r="G28" i="6" s="1"/>
  <c r="C7" i="6"/>
  <c r="E18" i="5"/>
  <c r="E25" i="5" s="1"/>
  <c r="G16" i="5"/>
  <c r="G18" i="5" s="1"/>
  <c r="G26" i="5" s="1"/>
  <c r="F16" i="5"/>
  <c r="F18" i="5" s="1"/>
  <c r="E16" i="5"/>
  <c r="D16" i="5"/>
  <c r="D18" i="5" s="1"/>
  <c r="G35" i="4"/>
  <c r="F35" i="4"/>
  <c r="E35" i="4"/>
  <c r="D31" i="4"/>
  <c r="G53" i="6" s="1"/>
  <c r="H53" i="6" s="1"/>
  <c r="G23" i="4"/>
  <c r="F23" i="4"/>
  <c r="E23" i="4"/>
  <c r="D20" i="4"/>
  <c r="G17" i="4"/>
  <c r="G26" i="4" s="1"/>
  <c r="G42" i="4" s="1"/>
  <c r="F17" i="4"/>
  <c r="F26" i="4" s="1"/>
  <c r="E17" i="4"/>
  <c r="C18" i="6" s="1"/>
  <c r="B43" i="3"/>
  <c r="B46" i="3" s="1"/>
  <c r="I42" i="3"/>
  <c r="F42" i="3"/>
  <c r="F41" i="3"/>
  <c r="I41" i="3" s="1"/>
  <c r="I40" i="3"/>
  <c r="C45" i="3" s="1"/>
  <c r="F40" i="3"/>
  <c r="C12" i="3"/>
  <c r="C28" i="3" s="1"/>
  <c r="C27" i="3" s="1"/>
  <c r="C26" i="3" s="1"/>
  <c r="C11" i="3"/>
  <c r="E25" i="3" s="1"/>
  <c r="C10" i="3"/>
  <c r="H308" i="1"/>
  <c r="I308" i="1" s="1"/>
  <c r="J308" i="1" s="1"/>
  <c r="F307" i="1"/>
  <c r="G307" i="1" s="1"/>
  <c r="H307" i="1" s="1"/>
  <c r="I307" i="1" s="1"/>
  <c r="J307" i="1" s="1"/>
  <c r="K307" i="1" s="1"/>
  <c r="E307" i="1"/>
  <c r="D307" i="1"/>
  <c r="F306" i="1"/>
  <c r="E306" i="1"/>
  <c r="F303" i="1" s="1"/>
  <c r="D306" i="1"/>
  <c r="F305" i="1"/>
  <c r="E305" i="1"/>
  <c r="D305" i="1"/>
  <c r="F304" i="1"/>
  <c r="F308" i="1" s="1"/>
  <c r="E304" i="1"/>
  <c r="D304" i="1"/>
  <c r="G303" i="1"/>
  <c r="E303" i="1"/>
  <c r="F297" i="1"/>
  <c r="G297" i="1" s="1"/>
  <c r="E297" i="1"/>
  <c r="D297" i="1"/>
  <c r="F296" i="1"/>
  <c r="G296" i="1" s="1"/>
  <c r="E296" i="1"/>
  <c r="D296" i="1"/>
  <c r="F294" i="1"/>
  <c r="G291" i="1" s="1"/>
  <c r="E294" i="1"/>
  <c r="F291" i="1" s="1"/>
  <c r="D294" i="1"/>
  <c r="E291" i="1"/>
  <c r="F285" i="1"/>
  <c r="E285" i="1"/>
  <c r="D285" i="1"/>
  <c r="F284" i="1"/>
  <c r="E284" i="1"/>
  <c r="G284" i="1" s="1"/>
  <c r="H284" i="1" s="1"/>
  <c r="I284" i="1" s="1"/>
  <c r="J284" i="1" s="1"/>
  <c r="K284" i="1" s="1"/>
  <c r="D284" i="1"/>
  <c r="F281" i="1"/>
  <c r="G281" i="1" s="1"/>
  <c r="E281" i="1"/>
  <c r="D281" i="1"/>
  <c r="F280" i="1"/>
  <c r="E280" i="1"/>
  <c r="F276" i="1" s="1"/>
  <c r="D280" i="1"/>
  <c r="E276" i="1" s="1"/>
  <c r="F277" i="1"/>
  <c r="E277" i="1"/>
  <c r="D277" i="1"/>
  <c r="G276" i="1"/>
  <c r="G280" i="1" s="1"/>
  <c r="H276" i="1" s="1"/>
  <c r="H280" i="1" s="1"/>
  <c r="F270" i="1"/>
  <c r="E270" i="1"/>
  <c r="D270" i="1"/>
  <c r="F267" i="1"/>
  <c r="G264" i="1" s="1"/>
  <c r="G267" i="1" s="1"/>
  <c r="E267" i="1"/>
  <c r="F264" i="1" s="1"/>
  <c r="D267" i="1"/>
  <c r="E264" i="1" s="1"/>
  <c r="D258" i="1"/>
  <c r="F255" i="1"/>
  <c r="G251" i="1" s="1"/>
  <c r="E255" i="1"/>
  <c r="F251" i="1" s="1"/>
  <c r="D255" i="1"/>
  <c r="E251" i="1" s="1"/>
  <c r="F243" i="1"/>
  <c r="F240" i="1" s="1"/>
  <c r="E243" i="1"/>
  <c r="D243" i="1"/>
  <c r="F242" i="1"/>
  <c r="E242" i="1"/>
  <c r="E244" i="1" s="1"/>
  <c r="D242" i="1"/>
  <c r="F238" i="1"/>
  <c r="E238" i="1"/>
  <c r="F239" i="1" s="1"/>
  <c r="D238" i="1"/>
  <c r="F233" i="1"/>
  <c r="G232" i="1" s="1"/>
  <c r="E233" i="1"/>
  <c r="F232" i="1" s="1"/>
  <c r="F234" i="1" s="1"/>
  <c r="D233" i="1"/>
  <c r="E232" i="1" s="1"/>
  <c r="G224" i="1"/>
  <c r="F215" i="1"/>
  <c r="E215" i="1"/>
  <c r="D215" i="1"/>
  <c r="F214" i="1"/>
  <c r="E214" i="1"/>
  <c r="D214" i="1"/>
  <c r="F213" i="1"/>
  <c r="E213" i="1"/>
  <c r="D213" i="1"/>
  <c r="F212" i="1"/>
  <c r="F225" i="1" s="1"/>
  <c r="E212" i="1"/>
  <c r="D212" i="1"/>
  <c r="D216" i="1" s="1"/>
  <c r="F208" i="1"/>
  <c r="E208" i="1"/>
  <c r="D208" i="1"/>
  <c r="F207" i="1"/>
  <c r="E207" i="1"/>
  <c r="D207" i="1"/>
  <c r="F206" i="1"/>
  <c r="E206" i="1"/>
  <c r="D206" i="1"/>
  <c r="F205" i="1"/>
  <c r="F224" i="1" s="1"/>
  <c r="E205" i="1"/>
  <c r="E224" i="1" s="1"/>
  <c r="D205" i="1"/>
  <c r="D224" i="1" s="1"/>
  <c r="F204" i="1"/>
  <c r="F223" i="1" s="1"/>
  <c r="E204" i="1"/>
  <c r="D204" i="1"/>
  <c r="F197" i="1"/>
  <c r="E197" i="1"/>
  <c r="F196" i="1"/>
  <c r="E196" i="1"/>
  <c r="F193" i="1"/>
  <c r="E193" i="1"/>
  <c r="F192" i="1"/>
  <c r="E192" i="1"/>
  <c r="F189" i="1"/>
  <c r="E189" i="1"/>
  <c r="F188" i="1"/>
  <c r="E188" i="1"/>
  <c r="F182" i="1"/>
  <c r="E182" i="1"/>
  <c r="D182" i="1"/>
  <c r="G181" i="1"/>
  <c r="H181" i="1" s="1"/>
  <c r="I181" i="1" s="1"/>
  <c r="J181" i="1" s="1"/>
  <c r="K181" i="1" s="1"/>
  <c r="G180" i="1"/>
  <c r="F177" i="1"/>
  <c r="E177" i="1"/>
  <c r="D177" i="1"/>
  <c r="G176" i="1"/>
  <c r="G175" i="1"/>
  <c r="H175" i="1" s="1"/>
  <c r="I175" i="1" s="1"/>
  <c r="F172" i="1"/>
  <c r="E172" i="1"/>
  <c r="D172" i="1"/>
  <c r="G171" i="1"/>
  <c r="H171" i="1" s="1"/>
  <c r="I171" i="1" s="1"/>
  <c r="G170" i="1"/>
  <c r="F164" i="1"/>
  <c r="F166" i="1" s="1"/>
  <c r="E164" i="1"/>
  <c r="E166" i="1" s="1"/>
  <c r="D164" i="1"/>
  <c r="D166" i="1" s="1"/>
  <c r="F153" i="1"/>
  <c r="F155" i="1" s="1"/>
  <c r="E153" i="1"/>
  <c r="E155" i="1" s="1"/>
  <c r="D153" i="1"/>
  <c r="D155" i="1" s="1"/>
  <c r="D149" i="1"/>
  <c r="F148" i="1"/>
  <c r="E148" i="1"/>
  <c r="D148" i="1"/>
  <c r="F146" i="1"/>
  <c r="G143" i="1" s="1"/>
  <c r="E146" i="1"/>
  <c r="F143" i="1" s="1"/>
  <c r="F149" i="1" s="1"/>
  <c r="D146" i="1"/>
  <c r="E143" i="1" s="1"/>
  <c r="E149" i="1" s="1"/>
  <c r="G134" i="1"/>
  <c r="F101" i="1"/>
  <c r="E101" i="1"/>
  <c r="D101" i="1"/>
  <c r="G99" i="1"/>
  <c r="H99" i="1" s="1"/>
  <c r="I99" i="1" s="1"/>
  <c r="J99" i="1" s="1"/>
  <c r="K99" i="1" s="1"/>
  <c r="G98" i="1"/>
  <c r="H98" i="1" s="1"/>
  <c r="I98" i="1" s="1"/>
  <c r="J98" i="1" s="1"/>
  <c r="K98" i="1" s="1"/>
  <c r="G97" i="1"/>
  <c r="H97" i="1" s="1"/>
  <c r="I96" i="1"/>
  <c r="J96" i="1" s="1"/>
  <c r="K96" i="1" s="1"/>
  <c r="G96" i="1"/>
  <c r="H96" i="1" s="1"/>
  <c r="F91" i="1"/>
  <c r="E91" i="1"/>
  <c r="D91" i="1"/>
  <c r="G89" i="1"/>
  <c r="H89" i="1" s="1"/>
  <c r="I89" i="1" s="1"/>
  <c r="J89" i="1" s="1"/>
  <c r="K89" i="1" s="1"/>
  <c r="F85" i="1"/>
  <c r="F93" i="1" s="1"/>
  <c r="E85" i="1"/>
  <c r="D85" i="1"/>
  <c r="G78" i="1"/>
  <c r="H78" i="1" s="1"/>
  <c r="I78" i="1" s="1"/>
  <c r="F71" i="1"/>
  <c r="E71" i="1"/>
  <c r="D71" i="1"/>
  <c r="G70" i="1"/>
  <c r="H70" i="1" s="1"/>
  <c r="I70" i="1" s="1"/>
  <c r="J70" i="1" s="1"/>
  <c r="K70" i="1" s="1"/>
  <c r="G69" i="1"/>
  <c r="H69" i="1" s="1"/>
  <c r="I69" i="1" s="1"/>
  <c r="J69" i="1" s="1"/>
  <c r="K69" i="1" s="1"/>
  <c r="G68" i="1"/>
  <c r="H68" i="1" s="1"/>
  <c r="I68" i="1" s="1"/>
  <c r="J68" i="1" s="1"/>
  <c r="K68" i="1" s="1"/>
  <c r="F62" i="1"/>
  <c r="E62" i="1"/>
  <c r="D62" i="1"/>
  <c r="D73" i="1" s="1"/>
  <c r="H57" i="1"/>
  <c r="I57" i="1" s="1"/>
  <c r="J57" i="1" s="1"/>
  <c r="K57" i="1" s="1"/>
  <c r="G57" i="1"/>
  <c r="G56" i="1"/>
  <c r="H46" i="1"/>
  <c r="I46" i="1" s="1"/>
  <c r="J46" i="1" s="1"/>
  <c r="K46" i="1" s="1"/>
  <c r="I22" i="2" s="1"/>
  <c r="F45" i="1"/>
  <c r="E45" i="1"/>
  <c r="D45" i="1"/>
  <c r="F44" i="1"/>
  <c r="E44" i="1"/>
  <c r="D44" i="1"/>
  <c r="F43" i="1"/>
  <c r="E43" i="1"/>
  <c r="D43" i="1"/>
  <c r="F41" i="1"/>
  <c r="E41" i="1"/>
  <c r="D41" i="1"/>
  <c r="H34" i="1"/>
  <c r="I34" i="1" s="1"/>
  <c r="J34" i="1" s="1"/>
  <c r="K34" i="1" s="1"/>
  <c r="H31" i="1"/>
  <c r="I31" i="1" s="1"/>
  <c r="J31" i="1" s="1"/>
  <c r="K31" i="1" s="1"/>
  <c r="H29" i="1"/>
  <c r="I29" i="1" s="1"/>
  <c r="J29" i="1" s="1"/>
  <c r="K29" i="1" s="1"/>
  <c r="H25" i="1"/>
  <c r="I25" i="1" s="1"/>
  <c r="J25" i="1" s="1"/>
  <c r="K25" i="1" s="1"/>
  <c r="H24" i="1"/>
  <c r="I24" i="1" s="1"/>
  <c r="J24" i="1" s="1"/>
  <c r="K24" i="1" s="1"/>
  <c r="G23" i="1"/>
  <c r="H23" i="1" s="1"/>
  <c r="I23" i="1" s="1"/>
  <c r="J23" i="1" s="1"/>
  <c r="K23" i="1" s="1"/>
  <c r="H22" i="1"/>
  <c r="I22" i="1" s="1"/>
  <c r="J22" i="1" s="1"/>
  <c r="K22" i="1" s="1"/>
  <c r="F18" i="1"/>
  <c r="F26" i="1" s="1"/>
  <c r="D33" i="7" s="1"/>
  <c r="E18" i="1"/>
  <c r="E26" i="1" s="1"/>
  <c r="D18" i="1"/>
  <c r="D26" i="1" s="1"/>
  <c r="D30" i="1" s="1"/>
  <c r="D32" i="1" s="1"/>
  <c r="D46" i="1" s="1"/>
  <c r="F14" i="1"/>
  <c r="F201" i="1" s="1"/>
  <c r="F13" i="1"/>
  <c r="F158" i="1" s="1"/>
  <c r="C2" i="1"/>
  <c r="Q130" i="2"/>
  <c r="O130" i="2"/>
  <c r="D130" i="2"/>
  <c r="Q129" i="2"/>
  <c r="O129" i="2"/>
  <c r="E129" i="2"/>
  <c r="C129" i="2"/>
  <c r="Q128" i="2"/>
  <c r="O128" i="2"/>
  <c r="E128" i="2"/>
  <c r="C128" i="2"/>
  <c r="O99" i="2"/>
  <c r="P99" i="2" s="1"/>
  <c r="Q99" i="2" s="1"/>
  <c r="G99" i="2"/>
  <c r="H99" i="2" s="1"/>
  <c r="I99" i="2" s="1"/>
  <c r="O90" i="2"/>
  <c r="P90" i="2" s="1"/>
  <c r="Q90" i="2" s="1"/>
  <c r="G90" i="2"/>
  <c r="H90" i="2" s="1"/>
  <c r="I90" i="2" s="1"/>
  <c r="C64" i="2"/>
  <c r="C63" i="2"/>
  <c r="C62" i="2"/>
  <c r="I61" i="2"/>
  <c r="D72" i="2" s="1"/>
  <c r="C57" i="2"/>
  <c r="C38" i="2"/>
  <c r="D37" i="2"/>
  <c r="B35" i="2"/>
  <c r="H22" i="2"/>
  <c r="E22" i="2"/>
  <c r="D14" i="2"/>
  <c r="D12" i="2"/>
  <c r="E12" i="2" s="1"/>
  <c r="C12" i="2"/>
  <c r="D8" i="2"/>
  <c r="D5" i="2"/>
  <c r="B3" i="2"/>
  <c r="B3" i="3" s="1"/>
  <c r="E13" i="1" l="1"/>
  <c r="E49" i="1" s="1"/>
  <c r="F49" i="1"/>
  <c r="F22" i="2"/>
  <c r="E73" i="1"/>
  <c r="E105" i="1" s="1"/>
  <c r="E154" i="1"/>
  <c r="G285" i="1"/>
  <c r="H285" i="1" s="1"/>
  <c r="I285" i="1" s="1"/>
  <c r="J285" i="1" s="1"/>
  <c r="K285" i="1" s="1"/>
  <c r="G22" i="2"/>
  <c r="D93" i="1"/>
  <c r="D103" i="1" s="1"/>
  <c r="F154" i="1"/>
  <c r="D244" i="1"/>
  <c r="H281" i="1"/>
  <c r="G88" i="1"/>
  <c r="G79" i="1"/>
  <c r="F141" i="1"/>
  <c r="G14" i="1"/>
  <c r="G262" i="1" s="1"/>
  <c r="G43" i="1"/>
  <c r="H43" i="1" s="1"/>
  <c r="I43" i="1" s="1"/>
  <c r="J43" i="1" s="1"/>
  <c r="K43" i="1" s="1"/>
  <c r="F73" i="1"/>
  <c r="E93" i="1"/>
  <c r="E103" i="1" s="1"/>
  <c r="F159" i="1"/>
  <c r="G163" i="1"/>
  <c r="G177" i="1"/>
  <c r="D209" i="1"/>
  <c r="D218" i="1" s="1"/>
  <c r="E216" i="1"/>
  <c r="D225" i="1"/>
  <c r="F235" i="1"/>
  <c r="F244" i="1"/>
  <c r="G13" i="1"/>
  <c r="G261" i="1" s="1"/>
  <c r="F103" i="1"/>
  <c r="D184" i="1"/>
  <c r="E184" i="1"/>
  <c r="E209" i="1"/>
  <c r="G270" i="1"/>
  <c r="H270" i="1" s="1"/>
  <c r="I270" i="1" s="1"/>
  <c r="J270" i="1" s="1"/>
  <c r="K270" i="1" s="1"/>
  <c r="F200" i="1"/>
  <c r="E14" i="1"/>
  <c r="E201" i="1" s="1"/>
  <c r="D42" i="1"/>
  <c r="G44" i="1"/>
  <c r="H44" i="1" s="1"/>
  <c r="I44" i="1" s="1"/>
  <c r="J44" i="1" s="1"/>
  <c r="K44" i="1" s="1"/>
  <c r="G45" i="1"/>
  <c r="H45" i="1" s="1"/>
  <c r="I45" i="1" s="1"/>
  <c r="J45" i="1" s="1"/>
  <c r="K45" i="1" s="1"/>
  <c r="F50" i="1"/>
  <c r="F184" i="1"/>
  <c r="E234" i="1"/>
  <c r="E235" i="1" s="1"/>
  <c r="E239" i="1"/>
  <c r="E240" i="1" s="1"/>
  <c r="G240" i="1" s="1"/>
  <c r="G243" i="1" s="1"/>
  <c r="G27" i="1" s="1"/>
  <c r="E26" i="4"/>
  <c r="D25" i="5"/>
  <c r="D26" i="5"/>
  <c r="E26" i="5"/>
  <c r="E40" i="7"/>
  <c r="E39" i="7"/>
  <c r="E41" i="7"/>
  <c r="F39" i="7"/>
  <c r="F40" i="7"/>
  <c r="F41" i="7"/>
  <c r="G46" i="7"/>
  <c r="G49" i="7"/>
  <c r="G48" i="7"/>
  <c r="G47" i="7"/>
  <c r="D62" i="7" s="1"/>
  <c r="G40" i="7"/>
  <c r="G41" i="7"/>
  <c r="G39" i="7"/>
  <c r="C13" i="3"/>
  <c r="F90" i="2"/>
  <c r="E90" i="2" s="1"/>
  <c r="D128" i="2"/>
  <c r="D129" i="2"/>
  <c r="N99" i="2"/>
  <c r="M99" i="2" s="1"/>
  <c r="F99" i="2"/>
  <c r="E99" i="2" s="1"/>
  <c r="G27" i="4"/>
  <c r="G41" i="4" s="1"/>
  <c r="P130" i="2"/>
  <c r="P129" i="2"/>
  <c r="N90" i="2"/>
  <c r="M90" i="2" s="1"/>
  <c r="D35" i="1"/>
  <c r="D252" i="1" s="1"/>
  <c r="D33" i="4"/>
  <c r="F30" i="1"/>
  <c r="F32" i="1" s="1"/>
  <c r="F46" i="1" s="1"/>
  <c r="F37" i="1"/>
  <c r="D32" i="7" s="1"/>
  <c r="D70" i="7" s="1"/>
  <c r="D18" i="2"/>
  <c r="C29" i="6"/>
  <c r="H240" i="1"/>
  <c r="E30" i="1"/>
  <c r="E32" i="1" s="1"/>
  <c r="E46" i="1" s="1"/>
  <c r="E37" i="1"/>
  <c r="E38" i="1" s="1"/>
  <c r="H170" i="1"/>
  <c r="G162" i="1"/>
  <c r="G164" i="1" s="1"/>
  <c r="G172" i="1"/>
  <c r="E37" i="2"/>
  <c r="F12" i="2"/>
  <c r="G108" i="1"/>
  <c r="G288" i="1"/>
  <c r="G200" i="1"/>
  <c r="G140" i="1"/>
  <c r="H13" i="1"/>
  <c r="G300" i="1"/>
  <c r="H264" i="1"/>
  <c r="H267" i="1" s="1"/>
  <c r="G67" i="1"/>
  <c r="C19" i="3"/>
  <c r="C65" i="2"/>
  <c r="D22" i="7" s="1"/>
  <c r="D23" i="7" s="1"/>
  <c r="D72" i="7" s="1"/>
  <c r="C72" i="2"/>
  <c r="P128" i="2"/>
  <c r="J175" i="1"/>
  <c r="D37" i="1"/>
  <c r="D38" i="1" s="1"/>
  <c r="E42" i="1"/>
  <c r="G149" i="1"/>
  <c r="F42" i="1"/>
  <c r="G42" i="1" s="1"/>
  <c r="H42" i="1" s="1"/>
  <c r="I42" i="1" s="1"/>
  <c r="J42" i="1" s="1"/>
  <c r="K42" i="1" s="1"/>
  <c r="E273" i="1"/>
  <c r="E247" i="1"/>
  <c r="E300" i="1"/>
  <c r="E200" i="1"/>
  <c r="E140" i="1"/>
  <c r="E228" i="1"/>
  <c r="E261" i="1"/>
  <c r="E288" i="1"/>
  <c r="E158" i="1"/>
  <c r="D13" i="1"/>
  <c r="H56" i="1"/>
  <c r="J78" i="1"/>
  <c r="I97" i="1"/>
  <c r="J97" i="1" s="1"/>
  <c r="K97" i="1" s="1"/>
  <c r="F209" i="1"/>
  <c r="F218" i="1" s="1"/>
  <c r="I276" i="1"/>
  <c r="I280" i="1" s="1"/>
  <c r="H79" i="1"/>
  <c r="E43" i="3"/>
  <c r="F43" i="3" s="1"/>
  <c r="C18" i="3"/>
  <c r="D105" i="1"/>
  <c r="K308" i="1"/>
  <c r="G182" i="1"/>
  <c r="H180" i="1"/>
  <c r="C6" i="3"/>
  <c r="C8" i="3" s="1"/>
  <c r="G235" i="1"/>
  <c r="H296" i="1"/>
  <c r="F25" i="5"/>
  <c r="D33" i="5" s="1"/>
  <c r="F26" i="5"/>
  <c r="E31" i="5" s="1"/>
  <c r="D36" i="5" s="1"/>
  <c r="J171" i="1"/>
  <c r="F216" i="1"/>
  <c r="E42" i="4"/>
  <c r="E27" i="4"/>
  <c r="F288" i="1"/>
  <c r="F228" i="1"/>
  <c r="F261" i="1"/>
  <c r="F300" i="1"/>
  <c r="F273" i="1"/>
  <c r="F247" i="1"/>
  <c r="F289" i="1"/>
  <c r="F301" i="1"/>
  <c r="F229" i="1"/>
  <c r="F274" i="1"/>
  <c r="F248" i="1"/>
  <c r="F262" i="1"/>
  <c r="F140" i="1"/>
  <c r="H176" i="1"/>
  <c r="E308" i="1"/>
  <c r="D219" i="1"/>
  <c r="H224" i="1"/>
  <c r="H297" i="1"/>
  <c r="F42" i="4"/>
  <c r="F27" i="4"/>
  <c r="D154" i="1"/>
  <c r="G304" i="1"/>
  <c r="G114" i="1" s="1"/>
  <c r="D223" i="1"/>
  <c r="C29" i="3"/>
  <c r="C30" i="3" s="1"/>
  <c r="N85" i="6"/>
  <c r="E223" i="1"/>
  <c r="G223" i="1" s="1"/>
  <c r="E225" i="1"/>
  <c r="G225" i="1" s="1"/>
  <c r="E309" i="1"/>
  <c r="F309" i="1"/>
  <c r="G309" i="1" s="1"/>
  <c r="G25" i="5"/>
  <c r="N66" i="6"/>
  <c r="N70" i="6"/>
  <c r="N74" i="6"/>
  <c r="O74" i="6" s="1"/>
  <c r="N78" i="6"/>
  <c r="O78" i="6" s="1"/>
  <c r="N82" i="6"/>
  <c r="N86" i="6"/>
  <c r="O86" i="6" s="1"/>
  <c r="N65" i="6"/>
  <c r="N64" i="6"/>
  <c r="O64" i="6" s="1"/>
  <c r="N67" i="6"/>
  <c r="P67" i="6" s="1"/>
  <c r="N71" i="6"/>
  <c r="P71" i="6" s="1"/>
  <c r="N75" i="6"/>
  <c r="P75" i="6" s="1"/>
  <c r="N79" i="6"/>
  <c r="N83" i="6"/>
  <c r="C17" i="6"/>
  <c r="N63" i="6"/>
  <c r="N62" i="6"/>
  <c r="N68" i="6"/>
  <c r="N72" i="6"/>
  <c r="P72" i="6" s="1"/>
  <c r="N76" i="6"/>
  <c r="O76" i="6" s="1"/>
  <c r="N80" i="6"/>
  <c r="O80" i="6" s="1"/>
  <c r="N84" i="6"/>
  <c r="O84" i="6" s="1"/>
  <c r="N69" i="6"/>
  <c r="N73" i="6"/>
  <c r="N77" i="6"/>
  <c r="N81" i="6"/>
  <c r="D30" i="5" l="1"/>
  <c r="E32" i="5"/>
  <c r="D31" i="5"/>
  <c r="E301" i="1"/>
  <c r="G229" i="1"/>
  <c r="G159" i="1"/>
  <c r="D56" i="7"/>
  <c r="E248" i="1"/>
  <c r="G141" i="1"/>
  <c r="G248" i="1"/>
  <c r="E274" i="1"/>
  <c r="E262" i="1"/>
  <c r="E229" i="1"/>
  <c r="E218" i="1"/>
  <c r="E141" i="1"/>
  <c r="G201" i="1"/>
  <c r="G274" i="1"/>
  <c r="G49" i="1"/>
  <c r="G247" i="1"/>
  <c r="G158" i="1"/>
  <c r="E289" i="1"/>
  <c r="G289" i="1"/>
  <c r="G228" i="1"/>
  <c r="G273" i="1"/>
  <c r="D54" i="7"/>
  <c r="D35" i="7"/>
  <c r="F105" i="1"/>
  <c r="D14" i="1"/>
  <c r="E159" i="1"/>
  <c r="E50" i="1"/>
  <c r="G50" i="1"/>
  <c r="G301" i="1"/>
  <c r="G109" i="1"/>
  <c r="H14" i="1"/>
  <c r="I281" i="1"/>
  <c r="J281" i="1" s="1"/>
  <c r="K281" i="1" s="1"/>
  <c r="H88" i="1"/>
  <c r="D22" i="4"/>
  <c r="D27" i="7"/>
  <c r="D40" i="7" s="1"/>
  <c r="F46" i="7"/>
  <c r="F49" i="7"/>
  <c r="F48" i="7"/>
  <c r="F47" i="7"/>
  <c r="D48" i="7"/>
  <c r="D47" i="7"/>
  <c r="D46" i="7"/>
  <c r="D49" i="7"/>
  <c r="D69" i="7"/>
  <c r="E48" i="7"/>
  <c r="E47" i="7"/>
  <c r="D53" i="7" s="1"/>
  <c r="D55" i="7" s="1"/>
  <c r="E49" i="7"/>
  <c r="E46" i="7"/>
  <c r="P80" i="6"/>
  <c r="P84" i="6"/>
  <c r="E19" i="3"/>
  <c r="O67" i="6"/>
  <c r="G40" i="4"/>
  <c r="G39" i="4"/>
  <c r="P76" i="6"/>
  <c r="H225" i="1"/>
  <c r="C8" i="6"/>
  <c r="D15" i="4"/>
  <c r="D17" i="4" s="1"/>
  <c r="D26" i="4" s="1"/>
  <c r="H273" i="1"/>
  <c r="H247" i="1"/>
  <c r="H261" i="1"/>
  <c r="H158" i="1"/>
  <c r="H288" i="1"/>
  <c r="H300" i="1"/>
  <c r="H200" i="1"/>
  <c r="H228" i="1"/>
  <c r="H140" i="1"/>
  <c r="H108" i="1"/>
  <c r="H49" i="1"/>
  <c r="I13" i="1"/>
  <c r="I296" i="1"/>
  <c r="E33" i="5"/>
  <c r="O72" i="6"/>
  <c r="Q72" i="6" s="1"/>
  <c r="O75" i="6"/>
  <c r="Q75" i="6" s="1"/>
  <c r="Q74" i="6"/>
  <c r="P74" i="6"/>
  <c r="O85" i="6"/>
  <c r="Q85" i="6" s="1"/>
  <c r="P85" i="6"/>
  <c r="E30" i="5"/>
  <c r="D39" i="5"/>
  <c r="G43" i="3"/>
  <c r="C46" i="3" s="1"/>
  <c r="C70" i="2"/>
  <c r="D70" i="2"/>
  <c r="E35" i="1"/>
  <c r="E252" i="1" s="1"/>
  <c r="H223" i="1"/>
  <c r="E18" i="3"/>
  <c r="I56" i="1"/>
  <c r="I240" i="1"/>
  <c r="O83" i="6"/>
  <c r="Q83" i="6" s="1"/>
  <c r="D32" i="2"/>
  <c r="F219" i="1"/>
  <c r="I170" i="1"/>
  <c r="H172" i="1"/>
  <c r="H162" i="1"/>
  <c r="P70" i="6"/>
  <c r="C12" i="6"/>
  <c r="D23" i="4"/>
  <c r="D56" i="4" s="1"/>
  <c r="G242" i="1"/>
  <c r="H235" i="1"/>
  <c r="K175" i="1"/>
  <c r="I297" i="1"/>
  <c r="G48" i="4"/>
  <c r="G46" i="4"/>
  <c r="G47" i="4"/>
  <c r="D61" i="4" s="1"/>
  <c r="G49" i="4"/>
  <c r="Q84" i="6"/>
  <c r="R84" i="6" s="1"/>
  <c r="H182" i="1"/>
  <c r="I180" i="1"/>
  <c r="D261" i="1"/>
  <c r="D273" i="1"/>
  <c r="D200" i="1"/>
  <c r="D140" i="1"/>
  <c r="D228" i="1"/>
  <c r="D288" i="1"/>
  <c r="D158" i="1"/>
  <c r="D300" i="1"/>
  <c r="D247" i="1"/>
  <c r="D49" i="1"/>
  <c r="I264" i="1"/>
  <c r="I267" i="1" s="1"/>
  <c r="H67" i="1"/>
  <c r="P83" i="6"/>
  <c r="Q82" i="6"/>
  <c r="P82" i="6"/>
  <c r="F35" i="1"/>
  <c r="D34" i="7" s="1"/>
  <c r="D22" i="2"/>
  <c r="D21" i="2" s="1"/>
  <c r="O79" i="6"/>
  <c r="Q79" i="6" s="1"/>
  <c r="O82" i="6"/>
  <c r="K78" i="1"/>
  <c r="F37" i="2"/>
  <c r="G12" i="2"/>
  <c r="O77" i="6"/>
  <c r="Q77" i="6" s="1"/>
  <c r="P77" i="6"/>
  <c r="O62" i="6"/>
  <c r="P66" i="6"/>
  <c r="O70" i="6"/>
  <c r="Q70" i="6" s="1"/>
  <c r="P68" i="6"/>
  <c r="I176" i="1"/>
  <c r="H163" i="1"/>
  <c r="H177" i="1"/>
  <c r="O73" i="6"/>
  <c r="Q73" i="6" s="1"/>
  <c r="P73" i="6"/>
  <c r="Q64" i="6"/>
  <c r="O66" i="6"/>
  <c r="Q66" i="6" s="1"/>
  <c r="P64" i="6"/>
  <c r="O69" i="6"/>
  <c r="Q69" i="6" s="1"/>
  <c r="P69" i="6"/>
  <c r="Q80" i="6"/>
  <c r="R80" i="6" s="1"/>
  <c r="O63" i="6"/>
  <c r="P65" i="6"/>
  <c r="O65" i="6"/>
  <c r="Q65" i="6" s="1"/>
  <c r="P62" i="6"/>
  <c r="D32" i="5"/>
  <c r="F220" i="1"/>
  <c r="H149" i="1"/>
  <c r="G145" i="1"/>
  <c r="G184" i="1"/>
  <c r="D19" i="2"/>
  <c r="P79" i="6"/>
  <c r="Q78" i="6"/>
  <c r="P78" i="6"/>
  <c r="F41" i="4"/>
  <c r="F39" i="4"/>
  <c r="F40" i="4"/>
  <c r="O81" i="6"/>
  <c r="P81" i="6"/>
  <c r="O68" i="6"/>
  <c r="Q68" i="6" s="1"/>
  <c r="O71" i="6"/>
  <c r="Q71" i="6" s="1"/>
  <c r="E39" i="4"/>
  <c r="E41" i="4"/>
  <c r="E40" i="4"/>
  <c r="K171" i="1"/>
  <c r="Q67" i="6"/>
  <c r="R67" i="6" s="1"/>
  <c r="Q76" i="6"/>
  <c r="C37" i="6"/>
  <c r="C19" i="6"/>
  <c r="C36" i="6"/>
  <c r="Q86" i="6"/>
  <c r="P86" i="6"/>
  <c r="H309" i="1"/>
  <c r="G305" i="1"/>
  <c r="I224" i="1"/>
  <c r="J276" i="1"/>
  <c r="J280" i="1" s="1"/>
  <c r="G16" i="1"/>
  <c r="G166" i="1" s="1"/>
  <c r="D37" i="5"/>
  <c r="D38" i="5" s="1"/>
  <c r="D32" i="4"/>
  <c r="D16" i="2"/>
  <c r="D17" i="2" s="1"/>
  <c r="F38" i="1"/>
  <c r="D257" i="1"/>
  <c r="E258" i="1"/>
  <c r="P63" i="6"/>
  <c r="D71" i="7" l="1"/>
  <c r="D73" i="7" s="1"/>
  <c r="D75" i="7" s="1"/>
  <c r="I88" i="1"/>
  <c r="E21" i="3"/>
  <c r="C25" i="3" s="1"/>
  <c r="D57" i="7"/>
  <c r="D59" i="7" s="1"/>
  <c r="D40" i="5"/>
  <c r="D41" i="5" s="1"/>
  <c r="D23" i="2"/>
  <c r="H274" i="1"/>
  <c r="H201" i="1"/>
  <c r="H50" i="1"/>
  <c r="H248" i="1"/>
  <c r="H229" i="1"/>
  <c r="H289" i="1"/>
  <c r="H262" i="1"/>
  <c r="H301" i="1"/>
  <c r="H109" i="1"/>
  <c r="H159" i="1"/>
  <c r="H141" i="1"/>
  <c r="I14" i="1"/>
  <c r="E219" i="1"/>
  <c r="E220" i="1"/>
  <c r="I79" i="1"/>
  <c r="D63" i="7"/>
  <c r="D64" i="7" s="1"/>
  <c r="D66" i="7" s="1"/>
  <c r="D42" i="7"/>
  <c r="D50" i="1"/>
  <c r="D248" i="1"/>
  <c r="D141" i="1"/>
  <c r="D229" i="1"/>
  <c r="D301" i="1"/>
  <c r="D289" i="1"/>
  <c r="D262" i="1"/>
  <c r="D159" i="1"/>
  <c r="D274" i="1"/>
  <c r="D201" i="1"/>
  <c r="D39" i="7"/>
  <c r="D41" i="7"/>
  <c r="R74" i="6"/>
  <c r="R76" i="6"/>
  <c r="R86" i="6"/>
  <c r="R78" i="6"/>
  <c r="R64" i="6"/>
  <c r="R85" i="6"/>
  <c r="T65" i="6"/>
  <c r="T86" i="6"/>
  <c r="T82" i="6"/>
  <c r="T78" i="6"/>
  <c r="T74" i="6"/>
  <c r="T70" i="6"/>
  <c r="T66" i="6"/>
  <c r="T85" i="6"/>
  <c r="T81" i="6"/>
  <c r="T77" i="6"/>
  <c r="T73" i="6"/>
  <c r="T69" i="6"/>
  <c r="T84" i="6"/>
  <c r="T80" i="6"/>
  <c r="T76" i="6"/>
  <c r="T72" i="6"/>
  <c r="T68" i="6"/>
  <c r="T62" i="6"/>
  <c r="T63" i="6"/>
  <c r="T83" i="6"/>
  <c r="T79" i="6"/>
  <c r="T75" i="6"/>
  <c r="T71" i="6"/>
  <c r="T67" i="6"/>
  <c r="T64" i="6"/>
  <c r="F48" i="4"/>
  <c r="F46" i="4"/>
  <c r="F49" i="4"/>
  <c r="F47" i="4"/>
  <c r="D33" i="2"/>
  <c r="D27" i="4"/>
  <c r="D46" i="4"/>
  <c r="D49" i="4"/>
  <c r="D48" i="4"/>
  <c r="D47" i="4"/>
  <c r="G54" i="6"/>
  <c r="H54" i="6" s="1"/>
  <c r="D54" i="4"/>
  <c r="D35" i="4"/>
  <c r="J224" i="1"/>
  <c r="R73" i="6"/>
  <c r="R82" i="6"/>
  <c r="I182" i="1"/>
  <c r="J180" i="1"/>
  <c r="J297" i="1"/>
  <c r="R83" i="6"/>
  <c r="I223" i="1"/>
  <c r="J296" i="1"/>
  <c r="G14" i="6"/>
  <c r="C35" i="6"/>
  <c r="G44" i="6" s="1"/>
  <c r="G56" i="6" s="1"/>
  <c r="G7" i="6"/>
  <c r="G10" i="6" s="1"/>
  <c r="C21" i="6"/>
  <c r="G30" i="6"/>
  <c r="G15" i="6"/>
  <c r="G9" i="6"/>
  <c r="G13" i="6"/>
  <c r="G8" i="6"/>
  <c r="C35" i="3"/>
  <c r="I225" i="1"/>
  <c r="R68" i="6"/>
  <c r="I149" i="1"/>
  <c r="R66" i="6"/>
  <c r="J176" i="1"/>
  <c r="I163" i="1"/>
  <c r="I177" i="1"/>
  <c r="R77" i="6"/>
  <c r="H184" i="1"/>
  <c r="K276" i="1"/>
  <c r="K280" i="1" s="1"/>
  <c r="J79" i="1"/>
  <c r="J88" i="1"/>
  <c r="R69" i="6"/>
  <c r="I309" i="1"/>
  <c r="H164" i="1"/>
  <c r="R75" i="6"/>
  <c r="I300" i="1"/>
  <c r="I261" i="1"/>
  <c r="I158" i="1"/>
  <c r="I108" i="1"/>
  <c r="I288" i="1"/>
  <c r="I228" i="1"/>
  <c r="I273" i="1"/>
  <c r="I49" i="1"/>
  <c r="I247" i="1"/>
  <c r="I200" i="1"/>
  <c r="I140" i="1"/>
  <c r="J13" i="1"/>
  <c r="G37" i="2"/>
  <c r="H12" i="2"/>
  <c r="J264" i="1"/>
  <c r="J267" i="1" s="1"/>
  <c r="I67" i="1"/>
  <c r="H242" i="1"/>
  <c r="I235" i="1"/>
  <c r="J170" i="1"/>
  <c r="I162" i="1"/>
  <c r="I172" i="1"/>
  <c r="J56" i="1"/>
  <c r="Q62" i="6"/>
  <c r="R62" i="6" s="1"/>
  <c r="G115" i="1"/>
  <c r="G306" i="1"/>
  <c r="R71" i="6"/>
  <c r="R65" i="6"/>
  <c r="R79" i="6"/>
  <c r="G144" i="1"/>
  <c r="G19" i="1"/>
  <c r="G41" i="1"/>
  <c r="G17" i="1"/>
  <c r="G21" i="1"/>
  <c r="G18" i="1"/>
  <c r="E14" i="2"/>
  <c r="G20" i="1"/>
  <c r="G207" i="1"/>
  <c r="G59" i="1" s="1"/>
  <c r="G293" i="1"/>
  <c r="G153" i="1" s="1"/>
  <c r="G155" i="1" s="1"/>
  <c r="E25" i="2" s="1"/>
  <c r="G215" i="1"/>
  <c r="G84" i="1" s="1"/>
  <c r="G205" i="1"/>
  <c r="G55" i="1" s="1"/>
  <c r="G214" i="1"/>
  <c r="G82" i="1" s="1"/>
  <c r="G213" i="1"/>
  <c r="G81" i="1" s="1"/>
  <c r="G208" i="1"/>
  <c r="G60" i="1" s="1"/>
  <c r="G292" i="1"/>
  <c r="G206" i="1"/>
  <c r="G58" i="1" s="1"/>
  <c r="G112" i="1"/>
  <c r="J240" i="1"/>
  <c r="E49" i="4"/>
  <c r="D66" i="4"/>
  <c r="D67" i="4" s="1"/>
  <c r="E48" i="4"/>
  <c r="E47" i="4"/>
  <c r="D53" i="4" s="1"/>
  <c r="E46" i="4"/>
  <c r="Q81" i="6"/>
  <c r="R81" i="6" s="1"/>
  <c r="Q63" i="6"/>
  <c r="R63" i="6" s="1"/>
  <c r="R70" i="6"/>
  <c r="D34" i="4"/>
  <c r="F252" i="1"/>
  <c r="G244" i="1"/>
  <c r="G28" i="1"/>
  <c r="E257" i="1"/>
  <c r="F258" i="1"/>
  <c r="G258" i="1" s="1"/>
  <c r="H258" i="1" s="1"/>
  <c r="I258" i="1" s="1"/>
  <c r="J258" i="1" s="1"/>
  <c r="K258" i="1" s="1"/>
  <c r="R72" i="6"/>
  <c r="L93" i="2" l="1"/>
  <c r="L94" i="2" s="1"/>
  <c r="L95" i="2" s="1"/>
  <c r="D93" i="2"/>
  <c r="D92" i="2" s="1"/>
  <c r="D91" i="2" s="1"/>
  <c r="L102" i="2"/>
  <c r="L103" i="2" s="1"/>
  <c r="L104" i="2" s="1"/>
  <c r="D102" i="2"/>
  <c r="D101" i="2" s="1"/>
  <c r="D100" i="2" s="1"/>
  <c r="H4" i="2"/>
  <c r="I159" i="1"/>
  <c r="I248" i="1"/>
  <c r="J14" i="1"/>
  <c r="I262" i="1"/>
  <c r="I50" i="1"/>
  <c r="I274" i="1"/>
  <c r="I229" i="1"/>
  <c r="I141" i="1"/>
  <c r="I289" i="1"/>
  <c r="I301" i="1"/>
  <c r="I201" i="1"/>
  <c r="I109" i="1"/>
  <c r="D55" i="4"/>
  <c r="D57" i="4" s="1"/>
  <c r="D58" i="4" s="1"/>
  <c r="K296" i="1"/>
  <c r="G146" i="1"/>
  <c r="G124" i="1"/>
  <c r="G126" i="1" s="1"/>
  <c r="E27" i="2"/>
  <c r="E28" i="2" s="1"/>
  <c r="K264" i="1"/>
  <c r="K267" i="1" s="1"/>
  <c r="K67" i="1" s="1"/>
  <c r="J67" i="1"/>
  <c r="J225" i="1"/>
  <c r="D94" i="2"/>
  <c r="D95" i="2" s="1"/>
  <c r="K56" i="1"/>
  <c r="K88" i="1"/>
  <c r="K79" i="1"/>
  <c r="K176" i="1"/>
  <c r="J177" i="1"/>
  <c r="J163" i="1"/>
  <c r="K224" i="1"/>
  <c r="G254" i="1"/>
  <c r="F257" i="1"/>
  <c r="G257" i="1" s="1"/>
  <c r="I164" i="1"/>
  <c r="K240" i="1"/>
  <c r="G26" i="1"/>
  <c r="J162" i="1"/>
  <c r="K170" i="1"/>
  <c r="J172" i="1"/>
  <c r="H16" i="1"/>
  <c r="G36" i="6"/>
  <c r="G11" i="6"/>
  <c r="G16" i="6"/>
  <c r="G40" i="6" s="1"/>
  <c r="D40" i="4"/>
  <c r="D39" i="4"/>
  <c r="D41" i="4"/>
  <c r="J300" i="1"/>
  <c r="J288" i="1"/>
  <c r="J273" i="1"/>
  <c r="J247" i="1"/>
  <c r="J200" i="1"/>
  <c r="J108" i="1"/>
  <c r="J49" i="1"/>
  <c r="J228" i="1"/>
  <c r="J261" i="1"/>
  <c r="K13" i="1"/>
  <c r="J140" i="1"/>
  <c r="J158" i="1"/>
  <c r="L92" i="2"/>
  <c r="L91" i="2" s="1"/>
  <c r="G128" i="2"/>
  <c r="G55" i="6"/>
  <c r="H55" i="6" s="1"/>
  <c r="D62" i="4"/>
  <c r="D63" i="4" s="1"/>
  <c r="G294" i="1"/>
  <c r="G125" i="1"/>
  <c r="I184" i="1"/>
  <c r="J223" i="1"/>
  <c r="E15" i="2"/>
  <c r="C14" i="2"/>
  <c r="H303" i="1"/>
  <c r="G90" i="1"/>
  <c r="G83" i="1"/>
  <c r="J235" i="1"/>
  <c r="G19" i="6"/>
  <c r="G37" i="6"/>
  <c r="H56" i="6"/>
  <c r="K297" i="1"/>
  <c r="D42" i="4"/>
  <c r="G154" i="1"/>
  <c r="G113" i="1"/>
  <c r="H37" i="2"/>
  <c r="I12" i="2"/>
  <c r="D25" i="3"/>
  <c r="F25" i="3"/>
  <c r="G212" i="1"/>
  <c r="G204" i="1"/>
  <c r="H28" i="1"/>
  <c r="J309" i="1"/>
  <c r="J149" i="1"/>
  <c r="K180" i="1"/>
  <c r="K182" i="1" s="1"/>
  <c r="J182" i="1"/>
  <c r="G129" i="2"/>
  <c r="B128" i="2" l="1"/>
  <c r="L101" i="2"/>
  <c r="L100" i="2" s="1"/>
  <c r="G130" i="2" s="1"/>
  <c r="B129" i="2"/>
  <c r="D103" i="2"/>
  <c r="D104" i="2" s="1"/>
  <c r="J289" i="1"/>
  <c r="J274" i="1"/>
  <c r="J141" i="1"/>
  <c r="J262" i="1"/>
  <c r="J248" i="1"/>
  <c r="J159" i="1"/>
  <c r="J301" i="1"/>
  <c r="J201" i="1"/>
  <c r="J109" i="1"/>
  <c r="J229" i="1"/>
  <c r="K14" i="1"/>
  <c r="J50" i="1"/>
  <c r="J184" i="1"/>
  <c r="G17" i="6"/>
  <c r="K162" i="1"/>
  <c r="K172" i="1"/>
  <c r="K149" i="1"/>
  <c r="G91" i="1"/>
  <c r="G233" i="1"/>
  <c r="H306" i="1"/>
  <c r="H304" i="1"/>
  <c r="H114" i="1" s="1"/>
  <c r="H305" i="1"/>
  <c r="H115" i="1" s="1"/>
  <c r="G130" i="1"/>
  <c r="E29" i="2"/>
  <c r="E44" i="2"/>
  <c r="B43" i="2"/>
  <c r="B44" i="2"/>
  <c r="I37" i="2"/>
  <c r="K309" i="1"/>
  <c r="J164" i="1"/>
  <c r="K223" i="1"/>
  <c r="G37" i="1"/>
  <c r="G30" i="1"/>
  <c r="G32" i="1" s="1"/>
  <c r="E18" i="2"/>
  <c r="K235" i="1"/>
  <c r="G18" i="6"/>
  <c r="H143" i="1"/>
  <c r="G65" i="1"/>
  <c r="G209" i="1"/>
  <c r="G54" i="1"/>
  <c r="G41" i="6"/>
  <c r="G42" i="6" s="1"/>
  <c r="K177" i="1"/>
  <c r="K163" i="1"/>
  <c r="K225" i="1"/>
  <c r="G216" i="1"/>
  <c r="G80" i="1"/>
  <c r="G85" i="1" s="1"/>
  <c r="G93" i="1" s="1"/>
  <c r="H291" i="1"/>
  <c r="G66" i="1"/>
  <c r="K288" i="1"/>
  <c r="K261" i="1"/>
  <c r="K300" i="1"/>
  <c r="K273" i="1"/>
  <c r="K247" i="1"/>
  <c r="K200" i="1"/>
  <c r="K140" i="1"/>
  <c r="K228" i="1"/>
  <c r="K158" i="1"/>
  <c r="K108" i="1"/>
  <c r="K49" i="1"/>
  <c r="H144" i="1"/>
  <c r="H41" i="1"/>
  <c r="H20" i="1"/>
  <c r="H19" i="1"/>
  <c r="H17" i="1"/>
  <c r="H18" i="1" s="1"/>
  <c r="H21" i="1"/>
  <c r="F14" i="2"/>
  <c r="F15" i="2" s="1"/>
  <c r="H215" i="1"/>
  <c r="H84" i="1" s="1"/>
  <c r="H213" i="1"/>
  <c r="H81" i="1" s="1"/>
  <c r="H208" i="1"/>
  <c r="H60" i="1" s="1"/>
  <c r="H206" i="1"/>
  <c r="H58" i="1" s="1"/>
  <c r="H214" i="1"/>
  <c r="H82" i="1" s="1"/>
  <c r="H207" i="1"/>
  <c r="H59" i="1" s="1"/>
  <c r="H205" i="1"/>
  <c r="H55" i="1" s="1"/>
  <c r="H292" i="1"/>
  <c r="H125" i="1" s="1"/>
  <c r="H293" i="1"/>
  <c r="H153" i="1" s="1"/>
  <c r="I16" i="1"/>
  <c r="I166" i="1" s="1"/>
  <c r="H166" i="1"/>
  <c r="H257" i="1"/>
  <c r="G71" i="1" l="1"/>
  <c r="K262" i="1"/>
  <c r="K301" i="1"/>
  <c r="K50" i="1"/>
  <c r="K289" i="1"/>
  <c r="K229" i="1"/>
  <c r="K159" i="1"/>
  <c r="K201" i="1"/>
  <c r="K274" i="1"/>
  <c r="K109" i="1"/>
  <c r="K141" i="1"/>
  <c r="K248" i="1"/>
  <c r="H26" i="1"/>
  <c r="F18" i="2" s="1"/>
  <c r="I303" i="1"/>
  <c r="H90" i="1"/>
  <c r="H83" i="1"/>
  <c r="H146" i="1"/>
  <c r="H145" i="1"/>
  <c r="H232" i="1"/>
  <c r="G234" i="1"/>
  <c r="H212" i="1"/>
  <c r="H204" i="1"/>
  <c r="J16" i="1"/>
  <c r="J166" i="1" s="1"/>
  <c r="H294" i="1"/>
  <c r="I144" i="1"/>
  <c r="I41" i="1"/>
  <c r="I20" i="1"/>
  <c r="I21" i="1"/>
  <c r="G14" i="2"/>
  <c r="G15" i="2" s="1"/>
  <c r="I208" i="1"/>
  <c r="I60" i="1" s="1"/>
  <c r="I214" i="1"/>
  <c r="I82" i="1" s="1"/>
  <c r="I19" i="1"/>
  <c r="I17" i="1"/>
  <c r="I215" i="1"/>
  <c r="I84" i="1" s="1"/>
  <c r="I207" i="1"/>
  <c r="I59" i="1" s="1"/>
  <c r="I213" i="1"/>
  <c r="I81" i="1" s="1"/>
  <c r="I206" i="1"/>
  <c r="I58" i="1" s="1"/>
  <c r="I205" i="1"/>
  <c r="I55" i="1" s="1"/>
  <c r="I293" i="1"/>
  <c r="I153" i="1" s="1"/>
  <c r="I292" i="1"/>
  <c r="I125" i="1" s="1"/>
  <c r="E19" i="2"/>
  <c r="E23" i="2"/>
  <c r="C18" i="2"/>
  <c r="E21" i="2"/>
  <c r="K184" i="1"/>
  <c r="G33" i="1"/>
  <c r="G35" i="1" s="1"/>
  <c r="I257" i="1"/>
  <c r="H154" i="1"/>
  <c r="H113" i="1"/>
  <c r="H124" i="1"/>
  <c r="H126" i="1" s="1"/>
  <c r="F27" i="2"/>
  <c r="F28" i="2" s="1"/>
  <c r="G218" i="1"/>
  <c r="G38" i="1"/>
  <c r="E16" i="2"/>
  <c r="K164" i="1"/>
  <c r="J257" i="1" l="1"/>
  <c r="I143" i="1"/>
  <c r="H65" i="1"/>
  <c r="E17" i="2"/>
  <c r="C16" i="2"/>
  <c r="I212" i="1"/>
  <c r="I204" i="1"/>
  <c r="H209" i="1"/>
  <c r="H54" i="1"/>
  <c r="H91" i="1"/>
  <c r="H233" i="1"/>
  <c r="I232" i="1" s="1"/>
  <c r="C9" i="6"/>
  <c r="G111" i="1"/>
  <c r="G116" i="1" s="1"/>
  <c r="G252" i="1"/>
  <c r="G27" i="2"/>
  <c r="G28" i="2" s="1"/>
  <c r="I124" i="1"/>
  <c r="I126" i="1" s="1"/>
  <c r="H216" i="1"/>
  <c r="H80" i="1"/>
  <c r="H85" i="1" s="1"/>
  <c r="H93" i="1" s="1"/>
  <c r="I154" i="1"/>
  <c r="I113" i="1"/>
  <c r="I242" i="1"/>
  <c r="K16" i="1"/>
  <c r="G219" i="1"/>
  <c r="E32" i="2"/>
  <c r="G220" i="1"/>
  <c r="G119" i="1" s="1"/>
  <c r="G120" i="1" s="1"/>
  <c r="I304" i="1"/>
  <c r="I114" i="1" s="1"/>
  <c r="I306" i="1"/>
  <c r="I305" i="1"/>
  <c r="I115" i="1" s="1"/>
  <c r="I18" i="1"/>
  <c r="I26" i="1" s="1"/>
  <c r="I291" i="1"/>
  <c r="I294" i="1" s="1"/>
  <c r="H66" i="1"/>
  <c r="F23" i="2"/>
  <c r="F19" i="2"/>
  <c r="F21" i="2"/>
  <c r="J20" i="1"/>
  <c r="J17" i="1"/>
  <c r="J144" i="1"/>
  <c r="J41" i="1"/>
  <c r="H14" i="2"/>
  <c r="H15" i="2" s="1"/>
  <c r="J19" i="1"/>
  <c r="J21" i="1"/>
  <c r="J213" i="1"/>
  <c r="J81" i="1" s="1"/>
  <c r="J215" i="1"/>
  <c r="J84" i="1" s="1"/>
  <c r="J206" i="1"/>
  <c r="J58" i="1" s="1"/>
  <c r="J208" i="1"/>
  <c r="J60" i="1" s="1"/>
  <c r="J214" i="1"/>
  <c r="J82" i="1" s="1"/>
  <c r="J207" i="1"/>
  <c r="J59" i="1" s="1"/>
  <c r="J292" i="1"/>
  <c r="J125" i="1" s="1"/>
  <c r="J293" i="1"/>
  <c r="J153" i="1" s="1"/>
  <c r="J205" i="1"/>
  <c r="J55" i="1" s="1"/>
  <c r="H155" i="1"/>
  <c r="H112" i="1"/>
  <c r="H234" i="1" l="1"/>
  <c r="G121" i="1"/>
  <c r="H254" i="1"/>
  <c r="G253" i="1"/>
  <c r="G129" i="1" s="1"/>
  <c r="G131" i="1" s="1"/>
  <c r="G133" i="1" s="1"/>
  <c r="G135" i="1" s="1"/>
  <c r="S83" i="6"/>
  <c r="S79" i="6"/>
  <c r="S75" i="6"/>
  <c r="S71" i="6"/>
  <c r="S67" i="6"/>
  <c r="S64" i="6"/>
  <c r="S65" i="6"/>
  <c r="S86" i="6"/>
  <c r="S82" i="6"/>
  <c r="S78" i="6"/>
  <c r="S74" i="6"/>
  <c r="S70" i="6"/>
  <c r="S66" i="6"/>
  <c r="S85" i="6"/>
  <c r="S81" i="6"/>
  <c r="S77" i="6"/>
  <c r="S73" i="6"/>
  <c r="S69" i="6"/>
  <c r="G33" i="6"/>
  <c r="G43" i="6" s="1"/>
  <c r="G45" i="6" s="1"/>
  <c r="S84" i="6"/>
  <c r="S80" i="6"/>
  <c r="S76" i="6"/>
  <c r="S72" i="6"/>
  <c r="S68" i="6"/>
  <c r="S62" i="6"/>
  <c r="C10" i="6"/>
  <c r="G46" i="6" s="1"/>
  <c r="S63" i="6"/>
  <c r="I28" i="1"/>
  <c r="J113" i="1"/>
  <c r="J154" i="1"/>
  <c r="I216" i="1"/>
  <c r="I80" i="1"/>
  <c r="H71" i="1"/>
  <c r="E33" i="2"/>
  <c r="E26" i="2"/>
  <c r="E30" i="2" s="1"/>
  <c r="E38" i="2" s="1"/>
  <c r="E39" i="2" s="1"/>
  <c r="J291" i="1"/>
  <c r="J294" i="1" s="1"/>
  <c r="I66" i="1"/>
  <c r="I145" i="1"/>
  <c r="I146" i="1" s="1"/>
  <c r="J303" i="1"/>
  <c r="I90" i="1"/>
  <c r="I83" i="1"/>
  <c r="I209" i="1"/>
  <c r="I218" i="1" s="1"/>
  <c r="I54" i="1"/>
  <c r="J242" i="1"/>
  <c r="J124" i="1"/>
  <c r="J126" i="1" s="1"/>
  <c r="H27" i="2"/>
  <c r="H28" i="2" s="1"/>
  <c r="J212" i="1"/>
  <c r="J204" i="1"/>
  <c r="G18" i="2"/>
  <c r="K144" i="1"/>
  <c r="K17" i="1"/>
  <c r="K21" i="1"/>
  <c r="I14" i="2"/>
  <c r="I15" i="2" s="1"/>
  <c r="K41" i="1"/>
  <c r="K20" i="1"/>
  <c r="K19" i="1"/>
  <c r="K208" i="1"/>
  <c r="K60" i="1" s="1"/>
  <c r="K214" i="1"/>
  <c r="K82" i="1" s="1"/>
  <c r="K206" i="1"/>
  <c r="K58" i="1" s="1"/>
  <c r="K207" i="1"/>
  <c r="K59" i="1" s="1"/>
  <c r="K215" i="1"/>
  <c r="K84" i="1" s="1"/>
  <c r="K213" i="1"/>
  <c r="K81" i="1" s="1"/>
  <c r="K293" i="1"/>
  <c r="K153" i="1" s="1"/>
  <c r="K292" i="1"/>
  <c r="K125" i="1" s="1"/>
  <c r="K205" i="1"/>
  <c r="K55" i="1" s="1"/>
  <c r="K257" i="1"/>
  <c r="F25" i="2"/>
  <c r="H37" i="1"/>
  <c r="J18" i="1"/>
  <c r="J26" i="1" s="1"/>
  <c r="K166" i="1"/>
  <c r="H218" i="1"/>
  <c r="U80" i="6" l="1"/>
  <c r="F65" i="6" s="1"/>
  <c r="U66" i="6"/>
  <c r="G62" i="6" s="1"/>
  <c r="U67" i="6"/>
  <c r="C63" i="6" s="1"/>
  <c r="U69" i="6"/>
  <c r="E63" i="6" s="1"/>
  <c r="U78" i="6"/>
  <c r="D65" i="6" s="1"/>
  <c r="I65" i="1"/>
  <c r="I71" i="1" s="1"/>
  <c r="J143" i="1"/>
  <c r="J209" i="1"/>
  <c r="J54" i="1"/>
  <c r="J216" i="1"/>
  <c r="J80" i="1"/>
  <c r="I91" i="1"/>
  <c r="I233" i="1"/>
  <c r="U84" i="6"/>
  <c r="E66" i="6" s="1"/>
  <c r="U70" i="6"/>
  <c r="F63" i="6" s="1"/>
  <c r="U71" i="6"/>
  <c r="G63" i="6" s="1"/>
  <c r="K204" i="1"/>
  <c r="K212" i="1"/>
  <c r="J304" i="1"/>
  <c r="J114" i="1" s="1"/>
  <c r="J305" i="1"/>
  <c r="J115" i="1" s="1"/>
  <c r="G61" i="1"/>
  <c r="U63" i="6"/>
  <c r="D62" i="6" s="1"/>
  <c r="G47" i="6"/>
  <c r="U74" i="6"/>
  <c r="E64" i="6" s="1"/>
  <c r="U75" i="6"/>
  <c r="F64" i="6" s="1"/>
  <c r="H18" i="2"/>
  <c r="I27" i="2"/>
  <c r="I28" i="2" s="1"/>
  <c r="K124" i="1"/>
  <c r="K126" i="1" s="1"/>
  <c r="J28" i="1"/>
  <c r="U62" i="6"/>
  <c r="C62" i="6" s="1"/>
  <c r="U73" i="6"/>
  <c r="D64" i="6" s="1"/>
  <c r="U82" i="6"/>
  <c r="C66" i="6" s="1"/>
  <c r="U83" i="6"/>
  <c r="D66" i="6" s="1"/>
  <c r="K18" i="1"/>
  <c r="K26" i="1" s="1"/>
  <c r="I85" i="1"/>
  <c r="H38" i="1"/>
  <c r="F16" i="2"/>
  <c r="F17" i="2" s="1"/>
  <c r="G23" i="2"/>
  <c r="G21" i="2"/>
  <c r="G19" i="2"/>
  <c r="U68" i="6"/>
  <c r="D63" i="6" s="1"/>
  <c r="U77" i="6"/>
  <c r="C65" i="6" s="1"/>
  <c r="U86" i="6"/>
  <c r="G66" i="6" s="1"/>
  <c r="K113" i="1"/>
  <c r="K154" i="1"/>
  <c r="K291" i="1"/>
  <c r="K294" i="1" s="1"/>
  <c r="K66" i="1" s="1"/>
  <c r="J66" i="1"/>
  <c r="U72" i="6"/>
  <c r="C64" i="6" s="1"/>
  <c r="U81" i="6"/>
  <c r="G65" i="6" s="1"/>
  <c r="U65" i="6"/>
  <c r="F62" i="6" s="1"/>
  <c r="G255" i="1"/>
  <c r="I220" i="1"/>
  <c r="I119" i="1" s="1"/>
  <c r="I120" i="1" s="1"/>
  <c r="H219" i="1"/>
  <c r="F32" i="2"/>
  <c r="H220" i="1"/>
  <c r="H119" i="1" s="1"/>
  <c r="H120" i="1" s="1"/>
  <c r="I155" i="1"/>
  <c r="I112" i="1"/>
  <c r="U79" i="6"/>
  <c r="E65" i="6" s="1"/>
  <c r="I219" i="1"/>
  <c r="G32" i="2"/>
  <c r="U76" i="6"/>
  <c r="G64" i="6" s="1"/>
  <c r="U85" i="6"/>
  <c r="F66" i="6" s="1"/>
  <c r="U64" i="6"/>
  <c r="E62" i="6" s="1"/>
  <c r="H130" i="1"/>
  <c r="F29" i="2"/>
  <c r="I93" i="1" l="1"/>
  <c r="J232" i="1"/>
  <c r="I234" i="1"/>
  <c r="F33" i="2"/>
  <c r="G26" i="2"/>
  <c r="F26" i="2"/>
  <c r="F30" i="2" s="1"/>
  <c r="F38" i="2" s="1"/>
  <c r="F39" i="2" s="1"/>
  <c r="G33" i="2"/>
  <c r="J306" i="1"/>
  <c r="H251" i="1"/>
  <c r="G100" i="1"/>
  <c r="G101" i="1" s="1"/>
  <c r="G103" i="1" s="1"/>
  <c r="G49" i="6"/>
  <c r="G48" i="6"/>
  <c r="K209" i="1"/>
  <c r="K54" i="1"/>
  <c r="K216" i="1"/>
  <c r="K80" i="1"/>
  <c r="J218" i="1"/>
  <c r="I18" i="2"/>
  <c r="H134" i="1"/>
  <c r="G238" i="1"/>
  <c r="G62" i="1"/>
  <c r="G73" i="1" s="1"/>
  <c r="J145" i="1"/>
  <c r="G25" i="2"/>
  <c r="I37" i="1"/>
  <c r="H23" i="2"/>
  <c r="H19" i="2"/>
  <c r="H21" i="2"/>
  <c r="G137" i="1"/>
  <c r="K218" i="1" l="1"/>
  <c r="K219" i="1" s="1"/>
  <c r="I32" i="2"/>
  <c r="I33" i="2" s="1"/>
  <c r="J112" i="1"/>
  <c r="J155" i="1"/>
  <c r="J146" i="1"/>
  <c r="I38" i="1"/>
  <c r="G16" i="2"/>
  <c r="G17" i="2" s="1"/>
  <c r="I19" i="2"/>
  <c r="I21" i="2"/>
  <c r="I23" i="2"/>
  <c r="K220" i="1"/>
  <c r="K119" i="1" s="1"/>
  <c r="K120" i="1" s="1"/>
  <c r="J219" i="1"/>
  <c r="H32" i="2"/>
  <c r="J220" i="1"/>
  <c r="J119" i="1" s="1"/>
  <c r="J120" i="1" s="1"/>
  <c r="G239" i="1"/>
  <c r="H243" i="1"/>
  <c r="G105" i="1"/>
  <c r="K303" i="1"/>
  <c r="J90" i="1"/>
  <c r="J83" i="1"/>
  <c r="J85" i="1" s="1"/>
  <c r="K242" i="1"/>
  <c r="K304" i="1" l="1"/>
  <c r="K114" i="1" s="1"/>
  <c r="K305" i="1"/>
  <c r="K115" i="1" s="1"/>
  <c r="I26" i="2"/>
  <c r="H33" i="2"/>
  <c r="H26" i="2"/>
  <c r="K28" i="1"/>
  <c r="J65" i="1"/>
  <c r="J71" i="1" s="1"/>
  <c r="K143" i="1"/>
  <c r="H27" i="1"/>
  <c r="H30" i="1" s="1"/>
  <c r="H32" i="1" s="1"/>
  <c r="H244" i="1"/>
  <c r="H25" i="2"/>
  <c r="J37" i="1"/>
  <c r="J233" i="1"/>
  <c r="J91" i="1"/>
  <c r="J93" i="1" s="1"/>
  <c r="H16" i="2" l="1"/>
  <c r="H17" i="2" s="1"/>
  <c r="J38" i="1"/>
  <c r="H33" i="1"/>
  <c r="H35" i="1" s="1"/>
  <c r="K145" i="1"/>
  <c r="K146" i="1" s="1"/>
  <c r="K65" i="1" s="1"/>
  <c r="K71" i="1" s="1"/>
  <c r="K232" i="1"/>
  <c r="J234" i="1"/>
  <c r="K306" i="1"/>
  <c r="H252" i="1" l="1"/>
  <c r="H111" i="1"/>
  <c r="H116" i="1" s="1"/>
  <c r="H121" i="1" s="1"/>
  <c r="K83" i="1"/>
  <c r="K85" i="1" s="1"/>
  <c r="K90" i="1"/>
  <c r="K155" i="1"/>
  <c r="K112" i="1"/>
  <c r="I25" i="2" l="1"/>
  <c r="K37" i="1"/>
  <c r="K91" i="1"/>
  <c r="K93" i="1" s="1"/>
  <c r="K233" i="1"/>
  <c r="K234" i="1" s="1"/>
  <c r="I254" i="1"/>
  <c r="H253" i="1"/>
  <c r="H129" i="1" s="1"/>
  <c r="H131" i="1" s="1"/>
  <c r="H133" i="1" s="1"/>
  <c r="H135" i="1" s="1"/>
  <c r="H61" i="1" l="1"/>
  <c r="H137" i="1" s="1"/>
  <c r="I130" i="1"/>
  <c r="G29" i="2"/>
  <c r="G30" i="2" s="1"/>
  <c r="G38" i="2" s="1"/>
  <c r="G39" i="2" s="1"/>
  <c r="K38" i="1"/>
  <c r="I16" i="2"/>
  <c r="H255" i="1"/>
  <c r="I251" i="1" l="1"/>
  <c r="H100" i="1"/>
  <c r="H101" i="1" s="1"/>
  <c r="H103" i="1" s="1"/>
  <c r="I42" i="2"/>
  <c r="I44" i="2" s="1"/>
  <c r="I45" i="2" s="1"/>
  <c r="I17" i="2"/>
  <c r="I134" i="1"/>
  <c r="H238" i="1"/>
  <c r="H62" i="1"/>
  <c r="H73" i="1" s="1"/>
  <c r="H105" i="1" s="1"/>
  <c r="I243" i="1" l="1"/>
  <c r="H239" i="1"/>
  <c r="I27" i="1" l="1"/>
  <c r="I30" i="1" s="1"/>
  <c r="I32" i="1" s="1"/>
  <c r="I244" i="1"/>
  <c r="I33" i="1" l="1"/>
  <c r="I35" i="1" s="1"/>
  <c r="I252" i="1" l="1"/>
  <c r="I111" i="1"/>
  <c r="I116" i="1" s="1"/>
  <c r="I121" i="1" s="1"/>
  <c r="J254" i="1" l="1"/>
  <c r="I253" i="1"/>
  <c r="I129" i="1" s="1"/>
  <c r="I131" i="1" s="1"/>
  <c r="I133" i="1" s="1"/>
  <c r="I135" i="1" s="1"/>
  <c r="I61" i="1" l="1"/>
  <c r="I137" i="1"/>
  <c r="I255" i="1"/>
  <c r="J130" i="1"/>
  <c r="H29" i="2"/>
  <c r="H30" i="2" s="1"/>
  <c r="H38" i="2" s="1"/>
  <c r="H39" i="2" s="1"/>
  <c r="J251" i="1" l="1"/>
  <c r="I100" i="1"/>
  <c r="I101" i="1" s="1"/>
  <c r="I103" i="1" s="1"/>
  <c r="J134" i="1"/>
  <c r="I238" i="1"/>
  <c r="I62" i="1"/>
  <c r="I73" i="1" s="1"/>
  <c r="I105" i="1" l="1"/>
  <c r="J243" i="1"/>
  <c r="I239" i="1"/>
  <c r="J27" i="1" l="1"/>
  <c r="J30" i="1" s="1"/>
  <c r="J32" i="1" s="1"/>
  <c r="J244" i="1"/>
  <c r="J33" i="1" l="1"/>
  <c r="J35" i="1" s="1"/>
  <c r="J111" i="1" l="1"/>
  <c r="J116" i="1" s="1"/>
  <c r="J121" i="1" s="1"/>
  <c r="J252" i="1"/>
  <c r="K254" i="1" l="1"/>
  <c r="J253" i="1"/>
  <c r="J129" i="1" s="1"/>
  <c r="J131" i="1" s="1"/>
  <c r="J133" i="1" s="1"/>
  <c r="J135" i="1" s="1"/>
  <c r="J255" i="1"/>
  <c r="K251" i="1" l="1"/>
  <c r="J100" i="1"/>
  <c r="J101" i="1" s="1"/>
  <c r="J103" i="1" s="1"/>
  <c r="J61" i="1"/>
  <c r="J137" i="1" s="1"/>
  <c r="K130" i="1"/>
  <c r="I29" i="2"/>
  <c r="I30" i="2" s="1"/>
  <c r="I38" i="2" s="1"/>
  <c r="C43" i="2" l="1"/>
  <c r="C44" i="2" s="1"/>
  <c r="I39" i="2"/>
  <c r="C46" i="2" s="1"/>
  <c r="I46" i="2" s="1"/>
  <c r="I47" i="2" s="1"/>
  <c r="I51" i="2"/>
  <c r="K134" i="1"/>
  <c r="J238" i="1"/>
  <c r="J62" i="1"/>
  <c r="J73" i="1" s="1"/>
  <c r="J105" i="1" s="1"/>
  <c r="D69" i="2" l="1"/>
  <c r="I49" i="2"/>
  <c r="I50" i="2" s="1"/>
  <c r="K243" i="1"/>
  <c r="J239" i="1"/>
  <c r="C51" i="2"/>
  <c r="C45" i="2"/>
  <c r="K27" i="1" l="1"/>
  <c r="K30" i="1" s="1"/>
  <c r="K32" i="1" s="1"/>
  <c r="K244" i="1"/>
  <c r="C47" i="2"/>
  <c r="C69" i="2" s="1"/>
  <c r="D77" i="2"/>
  <c r="D82" i="2"/>
  <c r="D71" i="2"/>
  <c r="D73" i="2" s="1"/>
  <c r="D99" i="2" s="1"/>
  <c r="D83" i="2"/>
  <c r="D78" i="2"/>
  <c r="L99" i="2" s="1"/>
  <c r="D79" i="2"/>
  <c r="D84" i="2"/>
  <c r="C83" i="2" l="1"/>
  <c r="C77" i="2"/>
  <c r="C84" i="2"/>
  <c r="C79" i="2"/>
  <c r="C71" i="2"/>
  <c r="C73" i="2" s="1"/>
  <c r="C82" i="2"/>
  <c r="C78" i="2"/>
  <c r="L90" i="2" s="1"/>
  <c r="C49" i="2"/>
  <c r="C50" i="2" s="1"/>
  <c r="K33" i="1"/>
  <c r="K35" i="1" s="1"/>
  <c r="K252" i="1" l="1"/>
  <c r="K111" i="1"/>
  <c r="K116" i="1" s="1"/>
  <c r="K121" i="1" s="1"/>
  <c r="H7" i="2"/>
  <c r="H8" i="2" s="1"/>
  <c r="I8" i="2" s="1" a="1"/>
  <c r="I8" i="2" s="1"/>
  <c r="D90" i="2"/>
  <c r="K253" i="1" l="1"/>
  <c r="K129" i="1" s="1"/>
  <c r="K131" i="1" s="1"/>
  <c r="K133" i="1" s="1"/>
  <c r="K135" i="1" s="1"/>
  <c r="K61" i="1" l="1"/>
  <c r="K255" i="1"/>
  <c r="K100" i="1" s="1"/>
  <c r="K101" i="1" s="1"/>
  <c r="K103" i="1" s="1"/>
  <c r="K238" i="1" l="1"/>
  <c r="K239" i="1" s="1"/>
  <c r="K62" i="1"/>
  <c r="K73" i="1" s="1"/>
  <c r="K105" i="1" s="1"/>
  <c r="K1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G42" authorId="0" shapeId="0" xr:uid="{192CCD29-4496-4C71-B29C-F8384CA0B8D2}">
      <text>
        <r>
          <rPr>
            <b/>
            <sz val="9"/>
            <color indexed="81"/>
            <rFont val="Tahoma"/>
            <charset val="1"/>
          </rPr>
          <t>Ahmed Wael:</t>
        </r>
        <r>
          <rPr>
            <sz val="9"/>
            <color indexed="81"/>
            <rFont val="Tahoma"/>
            <charset val="1"/>
          </rPr>
          <t xml:space="preserve">
Anchored to FY25 actual (50.4%). 3-yr average excluded: 2023 is pre-ENPC-merger, not comparable. Margin = urea price vs administered gas price spread.</t>
        </r>
      </text>
    </comment>
    <comment ref="G43" authorId="0" shapeId="0" xr:uid="{CA4CB446-0F71-43D0-9E06-D7EB9A9586E1}">
      <text>
        <r>
          <rPr>
            <b/>
            <sz val="9"/>
            <color indexed="81"/>
            <rFont val="Tahoma"/>
            <charset val="1"/>
          </rPr>
          <t>Ahmed Wael:</t>
        </r>
        <r>
          <rPr>
            <sz val="9"/>
            <color indexed="81"/>
            <rFont val="Tahoma"/>
            <charset val="1"/>
          </rPr>
          <t xml:space="preserve">
Avg 2024-25 only. 2023 pre-merger ratio (2.6%) inflates the average.</t>
        </r>
      </text>
    </comment>
    <comment ref="G44" authorId="0" shapeId="0" xr:uid="{D0B38DA7-EB1B-430E-B165-401C45ED67ED}">
      <text>
        <r>
          <rPr>
            <b/>
            <sz val="9"/>
            <color indexed="81"/>
            <rFont val="Tahoma"/>
            <charset val="1"/>
          </rPr>
          <t>Ahmed Wael:</t>
        </r>
        <r>
          <rPr>
            <sz val="9"/>
            <color indexed="81"/>
            <rFont val="Tahoma"/>
            <charset val="1"/>
          </rPr>
          <t xml:space="preserve">
3-yr average — slightly above FY25 actual = conservative.</t>
        </r>
      </text>
    </comment>
    <comment ref="G45" authorId="0" shapeId="0" xr:uid="{413169D9-E40F-489D-9024-D7E5E4758DF7}">
      <text>
        <r>
          <rPr>
            <b/>
            <sz val="9"/>
            <color indexed="81"/>
            <rFont val="Tahoma"/>
            <charset val="1"/>
          </rPr>
          <t>Ahmed Wael:</t>
        </r>
        <r>
          <rPr>
            <sz val="9"/>
            <color indexed="81"/>
            <rFont val="Tahoma"/>
            <charset val="1"/>
          </rPr>
          <t xml:space="preserve">
3-yr average — slightly above FY25 actual = conservative.</t>
        </r>
      </text>
    </comment>
    <comment ref="G46" authorId="0" shapeId="0" xr:uid="{2FD5FFB1-C973-4546-83F6-01F7C206B0E3}">
      <text>
        <r>
          <rPr>
            <b/>
            <sz val="9"/>
            <color indexed="81"/>
            <rFont val="Tahoma"/>
            <charset val="1"/>
          </rPr>
          <t>Ahmed Wael:</t>
        </r>
        <r>
          <rPr>
            <sz val="9"/>
            <color indexed="81"/>
            <rFont val="Tahoma"/>
            <charset val="1"/>
          </rPr>
          <t xml:space="preserve">
Statutory CIT 22.5%. Effective FY25 was 19.5% (tax-exempt T-bill/bond income, Note 33) — statutory is the conservative choice.</t>
        </r>
      </text>
    </comment>
    <comment ref="F71" authorId="0" shapeId="0" xr:uid="{00000000-0006-0000-0000-000001000000}">
      <text>
        <r>
          <rPr>
            <sz val="11"/>
            <color theme="1"/>
            <rFont val="Calibri"/>
            <family val="2"/>
            <charset val="1"/>
          </rPr>
          <t>Ahmed Wael:
EGP 1 rounding difference in the reported FS itself (components sum to ...514 vs reported total ...515). Historical column only.</t>
        </r>
      </text>
    </comment>
    <comment ref="G148" authorId="0" shapeId="0" xr:uid="{00000000-0006-0000-0000-000002000000}">
      <text>
        <r>
          <rPr>
            <sz val="11"/>
            <color theme="1"/>
            <rFont val="Calibri"/>
            <family val="2"/>
            <charset val="1"/>
          </rPr>
          <t>Ahmed Wael:
FY26 = project completion year. Note 38: remaining committed contracts ≈ EGP 6bn eq. (EUR 101m incomplete + EGP 939m). Tapers 12% (2027) then 9% maintenance.</t>
        </r>
      </text>
    </comment>
    <comment ref="G149" authorId="0" shapeId="0" xr:uid="{22B7A279-912A-4819-A57E-C99A7C7C4C4B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Depreciation as % of BEGINNING PP&amp;E (avg 2024-25 = 6.4%) — a function of the asset base, not revenue. Consistent with useful lives in Note 41.</t>
        </r>
      </text>
    </comment>
    <comment ref="G223" authorId="0" shapeId="0" xr:uid="{DB4402E1-D004-41E1-8FEB-987A68F97FEB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Avg 2024-25. 2023 (165 days) pre-merger distortion excluded.</t>
        </r>
      </text>
    </comment>
    <comment ref="G224" authorId="0" shapeId="0" xr:uid="{29F14684-35F1-4E90-9650-EC428F39734E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Avg 2024-25. DSO structurally short: exports on LCs/advance payment, domestic 15-day credit (Note 36).</t>
        </r>
      </text>
    </comment>
    <comment ref="G225" authorId="0" shapeId="0" xr:uid="{59D14CD1-702F-4BD0-A59A-0ECC46C96946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Avg 2024-25. DSO structurally short: exports on LCs/advance payment, domestic 15-day credit (Note 36).</t>
        </r>
      </text>
    </comment>
    <comment ref="G235" authorId="0" shapeId="0" xr:uid="{654C67E8-716D-480A-A0D1-20CC91B83120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Yield on prior-year average earning assets — avoids circularity with cash.</t>
        </r>
      </text>
    </comment>
    <comment ref="D254" authorId="0" shapeId="0" xr:uid="{1CE9A62C-FABF-4362-BC5C-14DC397D2216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Source: FY2023 audited FS, statement of changes in equity.</t>
        </r>
      </text>
    </comment>
    <comment ref="F254" authorId="0" shapeId="0" xr:uid="{00000000-0006-0000-0000-000003000000}">
      <text>
        <r>
          <rPr>
            <sz val="11"/>
            <color theme="1"/>
            <rFont val="Calibri"/>
            <family val="2"/>
            <charset val="1"/>
          </rPr>
          <t>Ahmed Wael:
statement of changes in equity: Dividends to employees and board of directors</t>
        </r>
      </text>
    </comment>
    <comment ref="G257" authorId="0" shapeId="0" xr:uid="{DA0CAB49-934A-4356-9CAF-E668E6D4C3BF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3-yr average payout to shareholders. Excess-cash company, capex normalizes post-2027 — supports high payout.</t>
        </r>
      </text>
    </comment>
    <comment ref="G258" authorId="0" shapeId="0" xr:uid="{6B4FEB59-66CA-4BFF-BFC5-72B778107B43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10.2% of PRIOR-year NI = FY25 actual (1,545m / 15,120m). Policy: Note 41-14 (10% of cash dividends, capped at total salaries). Lagged because paid after AGM approval.</t>
        </r>
      </text>
    </comment>
    <comment ref="G308" authorId="0" shapeId="0" xr:uid="{DBE0F8D8-69C5-4C73-B00E-1F917A9395A9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~30% growth in line with FY25 actual; discount rate 19.5-20.6% per Note 22 actuarial assumptions.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  <author>Wall Street Prep</author>
  </authors>
  <commentList>
    <comment ref="I7" authorId="0" shapeId="0" xr:uid="{00000000-0006-0000-0100-000001000000}">
      <text>
        <r>
          <rPr>
            <sz val="11"/>
            <color theme="1"/>
            <rFont val="Calibri"/>
            <family val="2"/>
            <charset val="1"/>
          </rPr>
          <t>Ahmed Wael:
FV 32.0 vs EFG TP 43: gap = profit-share-as-cost + no expansion volumes priced + Blume WACC. Assumptions, not mechanics.</t>
        </r>
      </text>
    </comment>
    <comment ref="B29" authorId="0" shapeId="0" xr:uid="{65820718-FAD1-4AC6-880B-BC2C390C1E68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Employees' &amp; BoD profit share treated as an operating compensation cost in UFCF — Note 34 deducts it in EPS; excluding it overstates distributable FCF. ≈ -3.5/share vs consensus treatment.</t>
        </r>
      </text>
    </comment>
    <comment ref="C42" authorId="0" shapeId="0" xr:uid="{67298C79-5CBA-4132-A582-82DED40BCDB9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Long-run NOMINAL Egypt GDP growth (≈7% inflation target + 3% real). Valuation is in nominal EGP; g &lt; WACC (21.3%) satisfied.</t>
        </r>
      </text>
    </comment>
    <comment ref="I51" authorId="1" shapeId="0" xr:uid="{00000000-0006-0000-0100-000002000000}">
      <text>
        <r>
          <rPr>
            <sz val="11"/>
            <color theme="1"/>
            <rFont val="Calibri"/>
            <family val="2"/>
            <charset val="1"/>
          </rPr>
          <t>Wall Street Prep:
Implied g = [r -FCF(t)/TV]/(1+FCF(t)/TV)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C6" authorId="0" shapeId="0" xr:uid="{C958EBD5-8347-45B3-8BB1-B54FA643BA27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Effective rate on leases + employee benefit obligations (matches debt definition in C19). Weight 0.8% — immaterial to WACC.</t>
        </r>
      </text>
    </comment>
    <comment ref="C10" authorId="0" shapeId="0" xr:uid="{00000000-0006-0000-0200-000001000000}">
      <text>
        <r>
          <rPr>
            <sz val="11"/>
            <color theme="1"/>
            <rFont val="Calibri"/>
            <family val="2"/>
            <charset val="1"/>
          </rPr>
          <t>Ahmed Wael:
Egypt 10 Years Bond - Egypt 5 Years CDS</t>
        </r>
      </text>
    </comment>
    <comment ref="C11" authorId="0" shapeId="0" xr:uid="{00000000-0006-0000-0200-000002000000}">
      <text>
        <r>
          <rPr>
            <sz val="11"/>
            <color theme="1"/>
            <rFont val="Calibri"/>
            <family val="2"/>
            <charset val="1"/>
          </rPr>
          <t>Ahmed Wael: EGP government bond yield (CBE) less spread adjustment. EGP flows discounted at EGP risk-free — currency consistency principle.</t>
        </r>
      </text>
    </comment>
    <comment ref="C12" authorId="0" shapeId="0" xr:uid="{00000000-0006-0000-0200-000003000000}">
      <text>
        <r>
          <rPr>
            <sz val="11"/>
            <color theme="1"/>
            <rFont val="Calibri"/>
            <family val="2"/>
            <charset val="1"/>
          </rPr>
          <t>Ahmed Wael:
country-risk premium - Egypt's total ERP</t>
        </r>
      </text>
    </comment>
    <comment ref="I39" authorId="0" shapeId="0" xr:uid="{00000000-0006-0000-0200-000004000000}">
      <text>
        <r>
          <rPr>
            <sz val="11"/>
            <color theme="1"/>
            <rFont val="Calibri"/>
            <family val="2"/>
            <charset val="1"/>
          </rPr>
          <t>Ahmed Wael:
Unlevered Beta</t>
        </r>
      </text>
    </comment>
    <comment ref="C46" authorId="0" shapeId="0" xr:uid="{00000000-0006-0000-0200-000005000000}">
      <text>
        <r>
          <rPr>
            <sz val="11"/>
            <color theme="1"/>
            <rFont val="Calibri"/>
            <family val="2"/>
            <charset val="1"/>
          </rPr>
          <t>Ahmed Wael:
Re-levered Beta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Ahmed Wael</author>
  </authors>
  <commentList>
    <comment ref="D15" authorId="0" shapeId="0" xr:uid="{084DF4AC-79F0-4A4D-93BF-0DB410A5B5E4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$3.62bn for OCI's 50.8% (completed Oct-2024). Implied 100% equity $7.13bn + ND $1.04bn = TV $8.17bn.</t>
        </r>
      </text>
    </comment>
    <comment ref="F21" authorId="0" shapeId="0" xr:uid="{03DC3E35-C964-4604-B401-8B964B135C6B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Pre-revenue project under construction — multiples Not Meaningful. Asset deals are valued on capacity/replacement cost, not earnings.</t>
        </r>
      </text>
    </comment>
    <comment ref="D22" authorId="0" shapeId="0" xr:uid="{C5D7AE47-BDAA-41A3-8489-721A549D8C08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2024 EBITDA at announcement (trough year — inflates multiple to 12.6x). Verify from Fertiglobe FY24 release.</t>
        </r>
      </text>
    </comment>
    <comment ref="F22" authorId="0" shapeId="0" xr:uid="{5E11A758-FDA9-44C1-9B88-404801412EAB}">
      <text>
        <r>
          <rPr>
            <b/>
            <sz val="9"/>
            <color indexed="81"/>
            <rFont val="Tahoma"/>
            <family val="2"/>
          </rPr>
          <t>Ahmed Wael:</t>
        </r>
        <r>
          <rPr>
            <sz val="9"/>
            <color indexed="81"/>
            <rFont val="Tahoma"/>
            <family val="2"/>
          </rPr>
          <t xml:space="preserve">
Pre-revenue project under construction — multiples Not Meaningful. Asset deals are valued on capacity/replacement cost, not earnings.</t>
        </r>
      </text>
    </comment>
  </commentList>
</comments>
</file>

<file path=xl/sharedStrings.xml><?xml version="1.0" encoding="utf-8"?>
<sst xmlns="http://schemas.openxmlformats.org/spreadsheetml/2006/main" count="761" uniqueCount="534">
  <si>
    <t>Discounted Cash Flow Valuation</t>
  </si>
  <si>
    <t>Most recent fiscal year end</t>
  </si>
  <si>
    <t>Discount rate (WACC)</t>
  </si>
  <si>
    <t>Link from WACC</t>
  </si>
  <si>
    <t>End of first fiscal year</t>
  </si>
  <si>
    <t>Share price (Public Co)</t>
  </si>
  <si>
    <t>Most recent quarter end date</t>
  </si>
  <si>
    <t>Share price date</t>
  </si>
  <si>
    <t xml:space="preserve">Valuation date </t>
  </si>
  <si>
    <t>Implied Share Price</t>
  </si>
  <si>
    <t>EGP 43.0</t>
  </si>
  <si>
    <t>Portion of First Year Cash Flows</t>
  </si>
  <si>
    <t>Upside / (Downside)</t>
  </si>
  <si>
    <t>Midyear adjustment?</t>
  </si>
  <si>
    <t>Unlevered Free Cash Flows</t>
  </si>
  <si>
    <t>LTM</t>
  </si>
  <si>
    <t>Actual</t>
  </si>
  <si>
    <t>Forecasts</t>
  </si>
  <si>
    <t>Fiscal year ended</t>
  </si>
  <si>
    <t>Revenue</t>
  </si>
  <si>
    <t>% growth</t>
  </si>
  <si>
    <t>EBITDA</t>
  </si>
  <si>
    <t>% margin</t>
  </si>
  <si>
    <t>EBIT</t>
  </si>
  <si>
    <t>Tax on EBIT</t>
  </si>
  <si>
    <t>Tax rate</t>
  </si>
  <si>
    <t>NOPAT (aka EBIAT)</t>
  </si>
  <si>
    <t>Depreciation &amp; amortization</t>
  </si>
  <si>
    <t>Changes in net working capital</t>
  </si>
  <si>
    <t>Capital expenditures</t>
  </si>
  <si>
    <t>as % of revenue</t>
  </si>
  <si>
    <t>Employees' &amp; BoD profit share</t>
  </si>
  <si>
    <t>Unlevered free cash flows (UFCF)</t>
  </si>
  <si>
    <t>Net working capital (WC Assets - WC liabilities)</t>
  </si>
  <si>
    <t>Val date</t>
  </si>
  <si>
    <t xml:space="preserve">Yr 1 - Stub </t>
  </si>
  <si>
    <t>Year 2</t>
  </si>
  <si>
    <t>Year 3</t>
  </si>
  <si>
    <t>Year 4</t>
  </si>
  <si>
    <t>Year 5</t>
  </si>
  <si>
    <t>Date for discounting cash flows</t>
  </si>
  <si>
    <t>Unlevered free cash flows (UFCF) stub adjusted</t>
  </si>
  <si>
    <t>Present value of of unlevered free cash flows</t>
  </si>
  <si>
    <t>Terminal value - growth in perpetuity approach</t>
  </si>
  <si>
    <t>Terminal value - EBITDA multiple approach</t>
  </si>
  <si>
    <t>Long term growth rate</t>
  </si>
  <si>
    <t>Terminal year EBITDA</t>
  </si>
  <si>
    <t>EBITDA multiple</t>
  </si>
  <si>
    <t>Present value of terminal value</t>
  </si>
  <si>
    <t>Present value of stage 1 cash flows</t>
  </si>
  <si>
    <t>Total enterprise value (TEV)</t>
  </si>
  <si>
    <t>Enterprise value (stage 1 + 2)</t>
  </si>
  <si>
    <t>Terminal value as % of TEV</t>
  </si>
  <si>
    <t>Stage 1 cash flows as % of TEV</t>
  </si>
  <si>
    <t>Cash flows as % of TEV</t>
  </si>
  <si>
    <t>Implied TV exit EBITDA multiple</t>
  </si>
  <si>
    <t>Implied terminal growth rate</t>
  </si>
  <si>
    <t>Net debt</t>
  </si>
  <si>
    <t>Shares outstanding</t>
  </si>
  <si>
    <t>Source doc</t>
  </si>
  <si>
    <t>Consolidated FS 2025</t>
  </si>
  <si>
    <t>Source date</t>
  </si>
  <si>
    <t>12/31/2025</t>
  </si>
  <si>
    <t>Date</t>
  </si>
  <si>
    <t>Shares</t>
  </si>
  <si>
    <t>Gross debt and equivalents</t>
  </si>
  <si>
    <t>Basic shares</t>
  </si>
  <si>
    <t>Debt</t>
  </si>
  <si>
    <t>Restricted stock / RSUs</t>
  </si>
  <si>
    <t>Convertible debt</t>
  </si>
  <si>
    <t>Options / warrants</t>
  </si>
  <si>
    <t>Preferred stock</t>
  </si>
  <si>
    <t>Noncontrolling (minority) interests</t>
  </si>
  <si>
    <t>Convertible preferred stock</t>
  </si>
  <si>
    <t>Nonoperating assets</t>
  </si>
  <si>
    <t>Net diluted shares outstanding</t>
  </si>
  <si>
    <t xml:space="preserve">Cash </t>
  </si>
  <si>
    <t xml:space="preserve">Equity investments </t>
  </si>
  <si>
    <t>Debt securities (optional cash asset)</t>
  </si>
  <si>
    <t>Valuation</t>
  </si>
  <si>
    <t>Perpetuity</t>
  </si>
  <si>
    <t>Enterprise value</t>
  </si>
  <si>
    <t xml:space="preserve">Equity value </t>
  </si>
  <si>
    <t>Equity value per share</t>
  </si>
  <si>
    <t>Last twelve months (LTM)</t>
  </si>
  <si>
    <t>EV / Revenue</t>
  </si>
  <si>
    <t xml:space="preserve">EV / EBITDA </t>
  </si>
  <si>
    <t>EV / EBIT</t>
  </si>
  <si>
    <t>Year 1</t>
  </si>
  <si>
    <t>Outputs</t>
  </si>
  <si>
    <t>LTM EBITDA multiple</t>
  </si>
  <si>
    <t>Long term growth rate (g):</t>
  </si>
  <si>
    <t>WACC:</t>
  </si>
  <si>
    <t xml:space="preserve">Data </t>
  </si>
  <si>
    <t>Tables</t>
  </si>
  <si>
    <t>Exit EBITDA Multiple</t>
  </si>
  <si>
    <t>Equity value range</t>
  </si>
  <si>
    <t>Football field</t>
  </si>
  <si>
    <t>Low</t>
  </si>
  <si>
    <t>Diff.</t>
  </si>
  <si>
    <t>High</t>
  </si>
  <si>
    <t>52 Week Market High/Low</t>
  </si>
  <si>
    <t>All amounts are shown in EGP, except per-share data, ratios, and shares outstanding</t>
  </si>
  <si>
    <t>Company Name</t>
  </si>
  <si>
    <t>Misr Fertilizers Production Company - Mopco</t>
  </si>
  <si>
    <t>Ticker</t>
  </si>
  <si>
    <t>MFPC.CA</t>
  </si>
  <si>
    <t>Latest Closing Share Price</t>
  </si>
  <si>
    <t>Latest Closing Share Price Date</t>
  </si>
  <si>
    <t>Last Historical Year</t>
  </si>
  <si>
    <t>INCOME STATEMENT</t>
  </si>
  <si>
    <t xml:space="preserve">Fiscal year  </t>
  </si>
  <si>
    <t>Fiscal year end date</t>
  </si>
  <si>
    <t>Net Sales</t>
  </si>
  <si>
    <t>Cost of Sales</t>
  </si>
  <si>
    <t>Gross profit</t>
  </si>
  <si>
    <t>Other income</t>
  </si>
  <si>
    <t>Selling and marketing expenses</t>
  </si>
  <si>
    <t>General and administrative expenses</t>
  </si>
  <si>
    <t>Capital gains / (losses)</t>
  </si>
  <si>
    <t>Other expenses</t>
  </si>
  <si>
    <t>Impairment reverse</t>
  </si>
  <si>
    <t>(Formed) / Reversal of expected credit losses</t>
  </si>
  <si>
    <t>Operating Profit (EBIT)</t>
  </si>
  <si>
    <t>Finance income</t>
  </si>
  <si>
    <t>Finance costs</t>
  </si>
  <si>
    <t>Foreign currency translation (loss) / gain</t>
  </si>
  <si>
    <t>Net finance activities</t>
  </si>
  <si>
    <t>Company's share of the subsidiary's dividends</t>
  </si>
  <si>
    <t>Net Profit Before Income Tax (EBT)</t>
  </si>
  <si>
    <t>Income tax</t>
  </si>
  <si>
    <t>Deferred Tax</t>
  </si>
  <si>
    <t>Net Profit for the Year</t>
  </si>
  <si>
    <t>EBITDA margin %</t>
  </si>
  <si>
    <t>Growth Rates &amp; Margins</t>
  </si>
  <si>
    <t>Revenue growth</t>
  </si>
  <si>
    <t>Gross Margin % of Revenue</t>
  </si>
  <si>
    <t>BALANCE SHEET</t>
  </si>
  <si>
    <t>ASSETS</t>
  </si>
  <si>
    <t>Current Assets</t>
  </si>
  <si>
    <t>Inventory</t>
  </si>
  <si>
    <t>Accounts receivable</t>
  </si>
  <si>
    <t>Financial assets at amortized cost</t>
  </si>
  <si>
    <t>Financial assets at fair value through profit or loss</t>
  </si>
  <si>
    <t>Debtors and other debit balances</t>
  </si>
  <si>
    <t>Due from / Receivable from related parties</t>
  </si>
  <si>
    <t>Suppliers "Advance payments"</t>
  </si>
  <si>
    <t>Cash at banks and on hand</t>
  </si>
  <si>
    <t>Total Current Assets</t>
  </si>
  <si>
    <t>Non-Current Assets</t>
  </si>
  <si>
    <t>Fixed assets &amp; projects under construction</t>
  </si>
  <si>
    <t>Other assets &amp; projects under construction</t>
  </si>
  <si>
    <t>Right of use asset</t>
  </si>
  <si>
    <t>Investments in sister / associate companies</t>
  </si>
  <si>
    <t>Other financial assets</t>
  </si>
  <si>
    <t>Total Non-Current Assets</t>
  </si>
  <si>
    <t>Total Assets</t>
  </si>
  <si>
    <t>LIABILITIES AND EQUITY</t>
  </si>
  <si>
    <t>Current Liabilities</t>
  </si>
  <si>
    <t>Current income tax</t>
  </si>
  <si>
    <t>Lease liabilities</t>
  </si>
  <si>
    <t>Trade payables</t>
  </si>
  <si>
    <t>Creditors and other credit balances</t>
  </si>
  <si>
    <t>Advance payments from customers</t>
  </si>
  <si>
    <t>Current employee benefits obligation</t>
  </si>
  <si>
    <t>Provisions</t>
  </si>
  <si>
    <t>Total Current Liabilities</t>
  </si>
  <si>
    <t>Non-Current Liabilities</t>
  </si>
  <si>
    <t>Deferred tax liabilities</t>
  </si>
  <si>
    <t>Non-current employee benefits obligation</t>
  </si>
  <si>
    <t>Total Non-Current Liabilities</t>
  </si>
  <si>
    <t>Total Liabilities</t>
  </si>
  <si>
    <t>Equity</t>
  </si>
  <si>
    <t>Issued and paid-up capital</t>
  </si>
  <si>
    <t>Legal reserve</t>
  </si>
  <si>
    <t>General reserve</t>
  </si>
  <si>
    <t>Result of the merging process</t>
  </si>
  <si>
    <t>Retained earnings</t>
  </si>
  <si>
    <t>Total Equity</t>
  </si>
  <si>
    <t>Total Liabilites &amp; Equity</t>
  </si>
  <si>
    <t>Balance Check</t>
  </si>
  <si>
    <t>CASH FLOW STATEMENT</t>
  </si>
  <si>
    <t>Net income</t>
  </si>
  <si>
    <t>Depreciation of property, plant and equipment</t>
  </si>
  <si>
    <t>Depreciation of other assets and right-of-use assets</t>
  </si>
  <si>
    <t>End of service benefits provision</t>
  </si>
  <si>
    <t>End of service benefits paid</t>
  </si>
  <si>
    <t>Operating cash flow before working capital</t>
  </si>
  <si>
    <t>Changes in Working Capital</t>
  </si>
  <si>
    <t>Net change in working capital</t>
  </si>
  <si>
    <t>Cash Generated from Operations</t>
  </si>
  <si>
    <t>Net cash flows from operating activities</t>
  </si>
  <si>
    <t>CASH FLOWS FROM INVESTING ACTIVITIES</t>
  </si>
  <si>
    <t>Paid to purchase property, plant and equipment</t>
  </si>
  <si>
    <t>Other Assets/PUC additions</t>
  </si>
  <si>
    <t>Net cash flows used in investing activities</t>
  </si>
  <si>
    <t>CASH FLOWS FROM FINANCING ACTIVITIES</t>
  </si>
  <si>
    <t>Paid dividends</t>
  </si>
  <si>
    <t>Employees' &amp; BoD profit share paid</t>
  </si>
  <si>
    <t>Net cash flow from financing activities</t>
  </si>
  <si>
    <t>Net change in cash and cash equivalents</t>
  </si>
  <si>
    <t>Cash and cash equivalents at 1 January</t>
  </si>
  <si>
    <t>Cash and cash equivalents at 31 December</t>
  </si>
  <si>
    <t>Reconciliation Check vs BS Cash</t>
  </si>
  <si>
    <t>PROPERTY, PLANT &amp; EQUIPMENT</t>
  </si>
  <si>
    <t>Beginning of period</t>
  </si>
  <si>
    <t>Plus: Capital expenditures</t>
  </si>
  <si>
    <t>Less: Depreciation</t>
  </si>
  <si>
    <t>End of period</t>
  </si>
  <si>
    <t>CapEx % of revenue</t>
  </si>
  <si>
    <t>Depreciation % of beginning PP&amp;E</t>
  </si>
  <si>
    <t>IMPUTING TOTAL DEPRECIATION &amp; AMORTIZATION</t>
  </si>
  <si>
    <t>D&amp;A not related to PP&amp;E</t>
  </si>
  <si>
    <t xml:space="preserve">Depreciation &amp; Amortization - Total </t>
  </si>
  <si>
    <t>REVENUE BUILD BY SEGMENT (EGP)</t>
  </si>
  <si>
    <t>Line Item</t>
  </si>
  <si>
    <t>Export Sales</t>
  </si>
  <si>
    <t>Domestic Sales</t>
  </si>
  <si>
    <t>Total Net Sales</t>
  </si>
  <si>
    <t>Check vs IS (row 16)</t>
  </si>
  <si>
    <t>Product / Segment</t>
  </si>
  <si>
    <t>Urea</t>
  </si>
  <si>
    <t>Export</t>
  </si>
  <si>
    <t>Domestic</t>
  </si>
  <si>
    <t>Urea Total</t>
  </si>
  <si>
    <t>Ammonia</t>
  </si>
  <si>
    <t>Ammonia Total</t>
  </si>
  <si>
    <t>Other</t>
  </si>
  <si>
    <t>Other Total</t>
  </si>
  <si>
    <t>N/A</t>
  </si>
  <si>
    <t>WORKING CAPITAL SCHEDULE</t>
  </si>
  <si>
    <t>Operating Working Capital Assets</t>
  </si>
  <si>
    <t>Total Operating WC Assets</t>
  </si>
  <si>
    <t>Operating Working Capital Liabilities</t>
  </si>
  <si>
    <t>Total Operating WC Liabilities</t>
  </si>
  <si>
    <t>Net Working Capital</t>
  </si>
  <si>
    <t>NWC as % of revenue</t>
  </si>
  <si>
    <t>Change in NWC (− = cash used)</t>
  </si>
  <si>
    <t>WC DRIVERS (DAYS)</t>
  </si>
  <si>
    <t>DIO (days, off COGS)</t>
  </si>
  <si>
    <t>DSO (days, off revenue)</t>
  </si>
  <si>
    <t>DPO (days, off COGS)</t>
  </si>
  <si>
    <t>DEBT &amp; INTEREST SCHEDULE</t>
  </si>
  <si>
    <t>Total Debt</t>
  </si>
  <si>
    <t>Average debt</t>
  </si>
  <si>
    <t>Effective interest rate</t>
  </si>
  <si>
    <t>Interest income</t>
  </si>
  <si>
    <t>Interest-earning assets</t>
  </si>
  <si>
    <t>Average earning assets</t>
  </si>
  <si>
    <t>Effective yield</t>
  </si>
  <si>
    <t>Net finance costs</t>
  </si>
  <si>
    <t>EQUITY &amp; NCI ROLL-FORWARD</t>
  </si>
  <si>
    <t>Retained Earnings</t>
  </si>
  <si>
    <t>Plus: Net income</t>
  </si>
  <si>
    <t>Less: Dividends &amp; distributions</t>
  </si>
  <si>
    <t>Less: Employees' &amp; BoD profit share</t>
  </si>
  <si>
    <t>End of period (= BS)</t>
  </si>
  <si>
    <t>Dividend payout ratio % of Net Income</t>
  </si>
  <si>
    <t>Employees' &amp; BoD profit share % of prior-year Net Income</t>
  </si>
  <si>
    <t>ROU</t>
  </si>
  <si>
    <t>ROU — Beginning</t>
  </si>
  <si>
    <t>Plus: Additions</t>
  </si>
  <si>
    <t>Less: ROU Amortization</t>
  </si>
  <si>
    <t>ROU — End</t>
  </si>
  <si>
    <t>Additions % revenue</t>
  </si>
  <si>
    <t>ROU Amortization % revenue</t>
  </si>
  <si>
    <t>LEASE SCHEDULE</t>
  </si>
  <si>
    <t>Lease liab — Beginning</t>
  </si>
  <si>
    <t>Additons</t>
  </si>
  <si>
    <t>Plus: Lease Interest Accrued</t>
  </si>
  <si>
    <t>Less: Lease Cash Payments</t>
  </si>
  <si>
    <t>Lease liab — End</t>
  </si>
  <si>
    <t>ST share of liability</t>
  </si>
  <si>
    <t>Additons leases % revenue</t>
  </si>
  <si>
    <t>Lease Interest Accrued % revenue</t>
  </si>
  <si>
    <t>Lease Cash Payments % revenue</t>
  </si>
  <si>
    <t xml:space="preserve">Plus: Additions </t>
  </si>
  <si>
    <t>Less: Amortization of intangible assets</t>
  </si>
  <si>
    <t>Amortization % revenue</t>
  </si>
  <si>
    <t>Employee benefits obligation</t>
  </si>
  <si>
    <t>Provision</t>
  </si>
  <si>
    <t>Less: Benefits paid</t>
  </si>
  <si>
    <t>ST share of Employee benefits obligation</t>
  </si>
  <si>
    <t>Provision % of BOP</t>
  </si>
  <si>
    <t>Benefits paid % of BOP</t>
  </si>
  <si>
    <t>WACC Buildup</t>
  </si>
  <si>
    <t>Cost of capital assumptions</t>
  </si>
  <si>
    <t>Cost of debt</t>
  </si>
  <si>
    <t>Cost of debt (after tax)</t>
  </si>
  <si>
    <t xml:space="preserve">Risk free rate </t>
  </si>
  <si>
    <t xml:space="preserve">Beta </t>
  </si>
  <si>
    <t>Market risk premium</t>
  </si>
  <si>
    <t>Cost of equity</t>
  </si>
  <si>
    <t>Capital weights (capital structure)</t>
  </si>
  <si>
    <t xml:space="preserve">Target </t>
  </si>
  <si>
    <t xml:space="preserve">Current </t>
  </si>
  <si>
    <t>(override)</t>
  </si>
  <si>
    <t>% of total</t>
  </si>
  <si>
    <t>Cost of capital (WACC)</t>
  </si>
  <si>
    <t>WACC sensitivity to MRP and Beta</t>
  </si>
  <si>
    <t>Beta</t>
  </si>
  <si>
    <t>Market</t>
  </si>
  <si>
    <t>Risk</t>
  </si>
  <si>
    <t>Premium</t>
  </si>
  <si>
    <t>Select Beta for model</t>
  </si>
  <si>
    <t>Observed</t>
  </si>
  <si>
    <t>Industry beta</t>
  </si>
  <si>
    <t>Observed b</t>
  </si>
  <si>
    <t>Share price</t>
  </si>
  <si>
    <t>Dil. shares</t>
  </si>
  <si>
    <t>Market cap</t>
  </si>
  <si>
    <t>Net Debt</t>
  </si>
  <si>
    <t>Delev. b</t>
  </si>
  <si>
    <t>Abu Qir Fertilizers and Chemical Industries Co SAE (ABUK)</t>
  </si>
  <si>
    <t>Egyptian Chemical Industries (EGCH)</t>
  </si>
  <si>
    <t>Misr Chemical Industries (MICH)</t>
  </si>
  <si>
    <t>Industry average delevered beta</t>
  </si>
  <si>
    <t>Refresh date:</t>
  </si>
  <si>
    <t>GENERAL INFORMATION</t>
  </si>
  <si>
    <t>ABUK.CA</t>
  </si>
  <si>
    <t>2020.SR</t>
  </si>
  <si>
    <t>FERTIGLB.AD</t>
  </si>
  <si>
    <t>Company</t>
  </si>
  <si>
    <t>Misr Fertilizers (MOPCO)</t>
  </si>
  <si>
    <t>Abu Qir Fertilizers</t>
  </si>
  <si>
    <t>SABIC Agri-Nutrients</t>
  </si>
  <si>
    <t>Fertiglobe</t>
  </si>
  <si>
    <t>Exchange / Currency</t>
  </si>
  <si>
    <t>EGX / EGP</t>
  </si>
  <si>
    <t>Tadawul / SAR</t>
  </si>
  <si>
    <t>ADX / USD</t>
  </si>
  <si>
    <t>Fiscal year end</t>
  </si>
  <si>
    <t>31-Dec</t>
  </si>
  <si>
    <t>30-Jun</t>
  </si>
  <si>
    <t>Last closing price</t>
  </si>
  <si>
    <t>Price as of</t>
  </si>
  <si>
    <t>01-Jul-26</t>
  </si>
  <si>
    <t>FULLY DILUTED SHARES (mn)</t>
  </si>
  <si>
    <t>Basic shares outstanding</t>
  </si>
  <si>
    <t>Options / RSUs / other dilution</t>
  </si>
  <si>
    <t>Fully diluted shares</t>
  </si>
  <si>
    <t>BALANCE SHEET DATA (latest reported)</t>
  </si>
  <si>
    <t>Total debt (incl. leases)</t>
  </si>
  <si>
    <t>Minority interest</t>
  </si>
  <si>
    <t>Cash + liquid investments</t>
  </si>
  <si>
    <t>Net debt / (net cash)</t>
  </si>
  <si>
    <t>MARKET VALUATION</t>
  </si>
  <si>
    <t>Market capitalization</t>
  </si>
  <si>
    <t>Enterprise value (EV)</t>
  </si>
  <si>
    <t>LTM FINANCIALS (millions, local currency)</t>
  </si>
  <si>
    <t>LTM period</t>
  </si>
  <si>
    <t>FY2025 (Dec-25)</t>
  </si>
  <si>
    <t>FY24/25 (Jun-25)</t>
  </si>
  <si>
    <t>EBITDA margin</t>
  </si>
  <si>
    <t>Data quality</t>
  </si>
  <si>
    <t>TRADING MULTIPLES</t>
  </si>
  <si>
    <t>EV / Revenue (LTM)</t>
  </si>
  <si>
    <t>EV / EBITDA (LTM)</t>
  </si>
  <si>
    <t>EV / EBIT (LTM)</t>
  </si>
  <si>
    <t>P / E (LTM)</t>
  </si>
  <si>
    <t>PEER STATISTICS (excl. MOPCO)</t>
  </si>
  <si>
    <t>EV/Revenue</t>
  </si>
  <si>
    <t>EV/EBITDA</t>
  </si>
  <si>
    <t>EV/EBIT</t>
  </si>
  <si>
    <t>P/E</t>
  </si>
  <si>
    <t>Mean</t>
  </si>
  <si>
    <t>Median</t>
  </si>
  <si>
    <t>IMPLIED MOPCO VALUATION (EGP mn, from peer MEDIAN multiples)</t>
  </si>
  <si>
    <t>Via EV/EBITDA:</t>
  </si>
  <si>
    <t>Peer median EV/EBITDA</t>
  </si>
  <si>
    <t>x MOPCO LTM EBITDA</t>
  </si>
  <si>
    <t>Implied Enterprise Value</t>
  </si>
  <si>
    <t>Less: net debt / plus net cash</t>
  </si>
  <si>
    <t>Implied equity value</t>
  </si>
  <si>
    <t>Implied value per share (EGP)</t>
  </si>
  <si>
    <t>Via P/E:</t>
  </si>
  <si>
    <t>Peer median P/E</t>
  </si>
  <si>
    <t>x MOPCO LTM net income</t>
  </si>
  <si>
    <t>Via ABUK only (closest Egyptian peer):</t>
  </si>
  <si>
    <t>ABUK EV/EBITDA</t>
  </si>
  <si>
    <t>GENERAL TRANSACTION INFORMATION</t>
  </si>
  <si>
    <t>Target</t>
  </si>
  <si>
    <t>Fertiglobe (50.8%)</t>
  </si>
  <si>
    <t>Iowa Fertilizer Co.</t>
  </si>
  <si>
    <t>OCI Clean Ammonia</t>
  </si>
  <si>
    <t>MOPCO (20%)</t>
  </si>
  <si>
    <t>Acquirer</t>
  </si>
  <si>
    <t>ADNOC (XRG)</t>
  </si>
  <si>
    <t>Koch Ag &amp; Energy</t>
  </si>
  <si>
    <t>Woodside Energy</t>
  </si>
  <si>
    <t>ADQ (Alfa Oryx)</t>
  </si>
  <si>
    <t>Seller</t>
  </si>
  <si>
    <t>OCI Global</t>
  </si>
  <si>
    <t>Market / block trade</t>
  </si>
  <si>
    <t>Announcement date</t>
  </si>
  <si>
    <t>Sep-2024</t>
  </si>
  <si>
    <t>Dec-2023</t>
  </si>
  <si>
    <t>Aug-2024</t>
  </si>
  <si>
    <t>Apr-2022</t>
  </si>
  <si>
    <t>Deal status</t>
  </si>
  <si>
    <t>Completed</t>
  </si>
  <si>
    <t>% of target acquired</t>
  </si>
  <si>
    <t>Control acquired?</t>
  </si>
  <si>
    <t>Yes (majority)</t>
  </si>
  <si>
    <t>Yes (100%)</t>
  </si>
  <si>
    <t>No (minority)</t>
  </si>
  <si>
    <t>OFFER &amp; TRANSACTION VALUE (USD mn)</t>
  </si>
  <si>
    <t>Consideration paid for stake</t>
  </si>
  <si>
    <t>Implied 100% equity value</t>
  </si>
  <si>
    <t>Net debt / (cash) at deal</t>
  </si>
  <si>
    <t>Transaction value (TV = implied EV)</t>
  </si>
  <si>
    <t>TARGET LTM FINANCIALS AT ANNOUNCEMENT (USD mn)</t>
  </si>
  <si>
    <t>LTM revenue</t>
  </si>
  <si>
    <t>NM</t>
  </si>
  <si>
    <t>LTM EBITDA</t>
  </si>
  <si>
    <t>TRANSACTION MULTIPLES</t>
  </si>
  <si>
    <t>TV / LTM Revenue</t>
  </si>
  <si>
    <t>TV / LTM EBITDA</t>
  </si>
  <si>
    <t>DEAL STATISTICS</t>
  </si>
  <si>
    <t>TV/Revenue</t>
  </si>
  <si>
    <t>TV/EBITDA</t>
  </si>
  <si>
    <t>IMPLIED MOPCO VALUATION — CONTROL BASIS (EGP mn)</t>
  </si>
  <si>
    <t>Median TV/EBITDA (precedent deals)</t>
  </si>
  <si>
    <t>x MOPCO LTM EBITDA (EGP mn)</t>
  </si>
  <si>
    <t>Implied EV</t>
  </si>
  <si>
    <t>Plus: net cash</t>
  </si>
  <si>
    <t>Accretion / (Dilution) Analysis — Illustrative: MOPCO acquires Abu Qir Fertilizers (ABUK)</t>
  </si>
  <si>
    <t>EGP in millions, except per share | Hypothetical consolidation of Egyptian nitrogen — for technical demonstration only | Year 1 = FY2026E</t>
  </si>
  <si>
    <t>BLUE = input | GREEN = link (FSM / DCF / Trading Comps) | YELLOW = estimate, VERIFY</t>
  </si>
  <si>
    <t>TRANSACTION ASSUMPTIONS</t>
  </si>
  <si>
    <t>SOURCES &amp; USES OF FUNDS (EGP mn)</t>
  </si>
  <si>
    <t>Acquirer: MOPCO (MFPC.CA)</t>
  </si>
  <si>
    <t>Sources</t>
  </si>
  <si>
    <t>Share price (EGP)</t>
  </si>
  <si>
    <t>New debt raised</t>
  </si>
  <si>
    <t>Diluted shares outstanding (mn)</t>
  </si>
  <si>
    <t>Excess cash used</t>
  </si>
  <si>
    <t>FY2026E net income (EGP mn)</t>
  </si>
  <si>
    <t>Stock issued to target shareholders</t>
  </si>
  <si>
    <t>Standalone FY2026E EPS</t>
  </si>
  <si>
    <t>Cash for fees</t>
  </si>
  <si>
    <t>Acquirer tax rate</t>
  </si>
  <si>
    <t>Total sources</t>
  </si>
  <si>
    <t>Available cash + liquid investments (EGP mn)</t>
  </si>
  <si>
    <t>Uses</t>
  </si>
  <si>
    <t>Equity purchase price (cash portion)</t>
  </si>
  <si>
    <t>Target: Abu Qir Fertilizers (ABUK.CA)</t>
  </si>
  <si>
    <t>Equity purchase price (stock portion)</t>
  </si>
  <si>
    <t>Current share price (EGP)</t>
  </si>
  <si>
    <t>Deal fees</t>
  </si>
  <si>
    <t>% offer premium</t>
  </si>
  <si>
    <t>Financing fees</t>
  </si>
  <si>
    <t>Offer price per share</t>
  </si>
  <si>
    <t>Total uses</t>
  </si>
  <si>
    <t>Target diluted shares (mn)</t>
  </si>
  <si>
    <t>Sources = Uses?</t>
  </si>
  <si>
    <t>Offer value / equity purchase price</t>
  </si>
  <si>
    <t>% of MOPCO cash pile consumed</t>
  </si>
  <si>
    <t>Target FY1 net income (proxy = LTM, EGP mn)</t>
  </si>
  <si>
    <t>Ideally use ABUK FY2026E consensus / your own forecast — LTM used as proxy, flag it</t>
  </si>
  <si>
    <t>Target P/E paid (offer value / target NI)</t>
  </si>
  <si>
    <t>PURCHASE PRICE ALLOCATION &amp; GOODWILL (EGP mn)</t>
  </si>
  <si>
    <t>Target book value of equity</t>
  </si>
  <si>
    <t>ABUK: assets 40.1bn - liabilities 7.5bn (latest reported) — VERIFY from FY24/25 FS</t>
  </si>
  <si>
    <t>Deal structure &amp; financing</t>
  </si>
  <si>
    <t>PP&amp;E write-up (%)</t>
  </si>
  <si>
    <t>% stock consideration</t>
  </si>
  <si>
    <t>Target PP&amp;E book value</t>
  </si>
  <si>
    <t>% cash consideration</t>
  </si>
  <si>
    <t>PP&amp;E write-up amount</t>
  </si>
  <si>
    <t>% of cash portion financed with NEW DEBT</t>
  </si>
  <si>
    <t>Useful life (years)</t>
  </si>
  <si>
    <t>% of cash portion from EXCESS CASH</t>
  </si>
  <si>
    <t>Incremental annual depreciation</t>
  </si>
  <si>
    <t>Interest rate on new EGP debt</t>
  </si>
  <si>
    <t>DTL created on write-up (share deal, no tax step-up)</t>
  </si>
  <si>
    <t>CBE lending 22% (Note 36) + corporate spread — VERIFY current bank pricing</t>
  </si>
  <si>
    <t>Interest earned on cash (opportunity cost)</t>
  </si>
  <si>
    <t>Goodwill = offer value - (book equity + write-up - DTL)</t>
  </si>
  <si>
    <t>MOPCO effective yield on its treasury portfolio (FSM interest schedule) — cash is NOT free in Egypt</t>
  </si>
  <si>
    <t>Annual pretax cost synergies (EGP mn)</t>
  </si>
  <si>
    <t>Goodwill created</t>
  </si>
  <si>
    <t>Illustrative: procurement, logistics, SG&amp;A overlap — defend as ~0.7% of combined COGS</t>
  </si>
  <si>
    <t>Deal fees (% of offer value, expensed one-time)</t>
  </si>
  <si>
    <t>Financing fees (% of new debt, amortized 5 yrs)</t>
  </si>
  <si>
    <t>ACCRETION / (DILUTION) — YEAR 1 (FY2026E, EGP mn)</t>
  </si>
  <si>
    <t>Acquirer net income (standalone)</t>
  </si>
  <si>
    <t>Exchange ratios</t>
  </si>
  <si>
    <t>Target net income</t>
  </si>
  <si>
    <t>New MOPCO shares issued (mn)</t>
  </si>
  <si>
    <t>Transaction adjustments (pretax):</t>
  </si>
  <si>
    <t>Nominal exchange ratio (offer / MOPCO price)</t>
  </si>
  <si>
    <t>Less: interest on new debt</t>
  </si>
  <si>
    <t>Actual exchange ratio (% stock x offer / MOPCO price)</t>
  </si>
  <si>
    <t>Less: interest income forgone on cash used</t>
  </si>
  <si>
    <t>Plus: pretax synergies</t>
  </si>
  <si>
    <t>Less: incremental depreciation (write-up)</t>
  </si>
  <si>
    <t>Less: financing fee amortization</t>
  </si>
  <si>
    <t>Tax effect (at acquirer rate)</t>
  </si>
  <si>
    <t>Total after-tax adjustments</t>
  </si>
  <si>
    <t>Pro forma net income</t>
  </si>
  <si>
    <t>Pro forma shares (acquirer + new shares)</t>
  </si>
  <si>
    <t>Pro forma EPS</t>
  </si>
  <si>
    <t>Acquirer standalone EPS</t>
  </si>
  <si>
    <t>Accretion / (dilution) per share</t>
  </si>
  <si>
    <t>Accretion / (dilution) %</t>
  </si>
  <si>
    <t>Pretax synergies required to break even</t>
  </si>
  <si>
    <t>CONTRIBUTION ANALYSIS (sanity check on deal fairness)</t>
  </si>
  <si>
    <t>MOPCO</t>
  </si>
  <si>
    <t>ABUK</t>
  </si>
  <si>
    <t>Revenue contribution</t>
  </si>
  <si>
    <t>EBITDA contribution</t>
  </si>
  <si>
    <t>Net income contribution</t>
  </si>
  <si>
    <t>Pro forma ownership (MOPCO holders vs ABUK holders)</t>
  </si>
  <si>
    <t>If ABUK contributes ~45% of profit but gets this ownership % + cash, compare value received vs contributed.</t>
  </si>
  <si>
    <t>SENSITIVITY: YEAR-1 ACCRETION/(DILUTION) % — % STOCK vs OFFER PREMIUM</t>
  </si>
  <si>
    <t>% stock \ premium</t>
  </si>
  <si>
    <t>SENSITIVITY ENGINE (each row = one grid cell)</t>
  </si>
  <si>
    <t>Engine columns L:U show every intermediate step per scenario — full transparency, no black-box data tables.</t>
  </si>
  <si>
    <t>NOTES &amp; KEY JUDGMENTS</t>
  </si>
  <si>
    <t>Illustrative transaction for technical demonstration — no deal is announced or implied. Target FY1 NI uses LTM as proxy (yellow).</t>
  </si>
  <si>
    <t>Egypt twist vs the classic US intuition: with EGP rates ~20%+, cash is NOT cheap. After-tax cost of debt ~18.6% and forgone yield on cash ~12.9% vs target earnings yield (1/P/E paid) ~8-9% -&gt; cash-funded portions are DILUTIVE here, unlike low-rate markets.</t>
  </si>
  <si>
    <t>Stock portion: MOPCO P/E ~9.1x buying ABUK at ~11.9x paid (25% premium) -&gt; issuing 'cheaper' paper for 'more expensive' earnings = dilutive. Rule: stock deals dilute when acquirer P/E &lt; P/E paid.</t>
  </si>
  <si>
    <t>Both levers point the same way, so the base case is dilutive and the breakeven-synergies line quantifies the gap - that is the honest analytical answer, not a failure of the model.</t>
  </si>
  <si>
    <t>PPA: share acquisition in Egypt = no tax step-up -&gt; DTL on the write-up; incremental depreciation is book-only. Goodwill is not amortized under EAS/IFRS - tested annually for impairment.</t>
  </si>
  <si>
    <t>One-time deal fees are excluded from run-rate EPS (expensed at close); only recurring items (interest, synergies, incremental D&amp;A, financing fee amortization) drive Year-1 accretion.</t>
  </si>
  <si>
    <t>Verify yellow cells: ABUK book equity &amp; PP&amp;E from its FY24/25 FS; debt pricing from current bank quotes.</t>
  </si>
  <si>
    <t>USD in millions unless noted | MENA nitrogen fertilizer M&amp;A</t>
  </si>
  <si>
    <t>Each company in its LOCAL currency, millions (multiples are currency-independent)</t>
  </si>
  <si>
    <t>Fertiglobe: price converted to USD (AED 3.05 / 3.6725 peg) to match USD financials</t>
  </si>
  <si>
    <t>x LTM EBITDA</t>
  </si>
  <si>
    <t>01-Jul-2026</t>
  </si>
  <si>
    <t>Comparable Companies Analysis (Trading Comps)</t>
  </si>
  <si>
    <t>Precedent Transactions Analysis (Transaction Comps)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</si>
</sst>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1" formatCode="_-* #,##0_-;\-* #,##0_-;_-* &quot;-&quot;_-;_-@_-"/>
    <numFmt numFmtId="43" formatCode="_-* #,##0.00_-;\-* #,##0.00_-;_-* &quot;-&quot;??_-;_-@_-"/>
    <numFmt numFmtId="164" formatCode="0.0%"/>
    <numFmt numFmtId="165" formatCode="_(* #,##0_);_(* \(#,##0\);_(* \-_);_(@_)"/>
    <numFmt numFmtId="166" formatCode="_(* #,##0_);_(* \(#,##0\);_(* \-??_);_(@_)"/>
    <numFmt numFmtId="167" formatCode="&quot;FY&quot;yy"/>
    <numFmt numFmtId="168" formatCode="0\A;[Red]0\A"/>
    <numFmt numFmtId="169" formatCode="0\P_);\(0\P\)"/>
    <numFmt numFmtId="170" formatCode="m/d/yy;@"/>
    <numFmt numFmtId="171" formatCode="0.0%_);\(0.0%\);@_)"/>
    <numFmt numFmtId="172" formatCode="_(#,##0.0%_);\(#,##0.0%\);_(&quot;–&quot;_)_%;_(@_)_%"/>
    <numFmt numFmtId="173" formatCode="&quot;$&quot;#,##0.00_);\(&quot;$&quot;#,##0.00\)"/>
    <numFmt numFmtId="174" formatCode="#,##0_);\(#,##0\);@_)"/>
    <numFmt numFmtId="175" formatCode="0000\P"/>
    <numFmt numFmtId="176" formatCode="0.0\x_);\(0.0\x\);@_)"/>
    <numFmt numFmtId="177" formatCode="0.000%_);\(0.000%\);@_)"/>
    <numFmt numFmtId="178" formatCode="#,##0.000_);\(#,##0.000\);@_)"/>
    <numFmt numFmtId="179" formatCode="#,##0.000_);\(#,##0.000\)"/>
    <numFmt numFmtId="180" formatCode="_([$$]#,##0_)_%;\([$$]#,##0\)_%;_(&quot;–&quot;_)_%;_(@_)_%"/>
    <numFmt numFmtId="181" formatCode="_(0.0_)_'_x;_(\(0.0\)_';_(&quot;–&quot;_)_%;_(@_)_%"/>
    <numFmt numFmtId="182" formatCode="#,##0.00_);\(#,##0.00\);\-_);@_)"/>
    <numFmt numFmtId="183" formatCode="#,##0.0_);\(#,##0.0\);\-_);@_)"/>
    <numFmt numFmtId="184" formatCode="_(#,##0.00%_);\(#,##0.00%\);_(&quot;–&quot;_)_%;_(@_)_%"/>
    <numFmt numFmtId="185" formatCode="&quot;$&quot;#,##0.00_);\(&quot;$&quot;#,##0.00\);@_)"/>
    <numFmt numFmtId="186" formatCode="0000\A"/>
    <numFmt numFmtId="187" formatCode="_(* #,##0.0_);_(* \(#,##0.0\);_(* \-??_);_(@_)"/>
    <numFmt numFmtId="188" formatCode="_(* #,##0_);_(* \(#,##0\);_(* &quot;-&quot;??_);_(@_)"/>
    <numFmt numFmtId="189" formatCode="d/m/yy;@"/>
    <numFmt numFmtId="190" formatCode="_(0.0\x_)_';_(\(0.0\x\)_';_(&quot;–&quot;_)_%;_(@_)_%"/>
    <numFmt numFmtId="191" formatCode="_(* #,##0.00_);_(* \(#,##0.00\);_(* \-??_);_(@_)"/>
    <numFmt numFmtId="192" formatCode="0.000"/>
    <numFmt numFmtId="193" formatCode="#,##0.00_);\(#,##0.00\)"/>
    <numFmt numFmtId="194" formatCode="_-[$EGP]\ * #,##0.00_-;\-[$EGP]\ * #,##0.00_-;_-[$EGP]\ * &quot;-&quot;??_-;_-@_-"/>
    <numFmt numFmtId="195" formatCode="#,##0.0;\(#,##0.0\)"/>
    <numFmt numFmtId="196" formatCode="#,##0;\(#,##0\)"/>
    <numFmt numFmtId="197" formatCode="0.0&quot;x&quot;"/>
    <numFmt numFmtId="198" formatCode="#,##0.00;\(#,##0.00\)"/>
    <numFmt numFmtId="199" formatCode="0.00&quot;x&quot;"/>
    <numFmt numFmtId="200" formatCode="[$-409]mmmmm/yy;@"/>
  </numFmts>
  <fonts count="4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0"/>
      <name val="Times New Roman"/>
      <family val="1"/>
    </font>
    <font>
      <sz val="11"/>
      <color rgb="FF008000"/>
      <name val="Calibri"/>
      <family val="2"/>
      <scheme val="minor"/>
    </font>
    <font>
      <u/>
      <sz val="11"/>
      <color theme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</font>
    <font>
      <sz val="11"/>
      <color theme="4" tint="-0.249977111117893"/>
      <name val="Calibri"/>
      <family val="2"/>
      <charset val="1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0000FF"/>
      <name val="Calibri"/>
      <family val="2"/>
    </font>
    <font>
      <b/>
      <i/>
      <sz val="11"/>
      <color theme="1"/>
      <name val="Calibri"/>
      <family val="2"/>
    </font>
    <font>
      <i/>
      <sz val="11"/>
      <name val="Calibri"/>
      <family val="2"/>
    </font>
    <font>
      <sz val="11"/>
      <color theme="4" tint="-0.249977111117893"/>
      <name val="Calibri"/>
      <family val="2"/>
      <scheme val="minor"/>
    </font>
    <font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2F2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FFF2CC"/>
      </patternFill>
    </fill>
    <fill>
      <patternFill patternType="solid">
        <fgColor rgb="FFE2EFDA"/>
      </patternFill>
    </fill>
  </fills>
  <borders count="3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191" fontId="6" fillId="0" borderId="0"/>
    <xf numFmtId="9" fontId="6" fillId="0" borderId="0"/>
    <xf numFmtId="0" fontId="5" fillId="0" borderId="0"/>
    <xf numFmtId="37" fontId="21" fillId="0" borderId="0"/>
    <xf numFmtId="0" fontId="23" fillId="0" borderId="0"/>
    <xf numFmtId="200" fontId="33" fillId="0" borderId="0"/>
  </cellStyleXfs>
  <cellXfs count="348">
    <xf numFmtId="0" fontId="0" fillId="0" borderId="0" xfId="0"/>
    <xf numFmtId="164" fontId="6" fillId="0" borderId="0" xfId="2" applyNumberFormat="1"/>
    <xf numFmtId="0" fontId="7" fillId="0" borderId="4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/>
    <xf numFmtId="165" fontId="14" fillId="0" borderId="0" xfId="1" applyNumberFormat="1" applyFont="1"/>
    <xf numFmtId="0" fontId="15" fillId="0" borderId="1" xfId="0" applyFont="1" applyBorder="1"/>
    <xf numFmtId="166" fontId="15" fillId="0" borderId="1" xfId="1" applyNumberFormat="1" applyFont="1" applyBorder="1"/>
    <xf numFmtId="0" fontId="15" fillId="0" borderId="0" xfId="0" applyFont="1"/>
    <xf numFmtId="166" fontId="15" fillId="0" borderId="0" xfId="1" applyNumberFormat="1" applyFont="1"/>
    <xf numFmtId="164" fontId="11" fillId="0" borderId="0" xfId="2" applyNumberFormat="1" applyFont="1"/>
    <xf numFmtId="0" fontId="15" fillId="0" borderId="3" xfId="0" applyFont="1" applyBorder="1"/>
    <xf numFmtId="0" fontId="10" fillId="0" borderId="0" xfId="0" applyFont="1" applyAlignment="1">
      <alignment horizontal="left" indent="1"/>
    </xf>
    <xf numFmtId="166" fontId="10" fillId="0" borderId="0" xfId="0" applyNumberFormat="1" applyFont="1"/>
    <xf numFmtId="166" fontId="10" fillId="0" borderId="0" xfId="1" applyNumberFormat="1" applyFont="1"/>
    <xf numFmtId="0" fontId="17" fillId="0" borderId="2" xfId="0" applyFont="1" applyBorder="1"/>
    <xf numFmtId="166" fontId="15" fillId="0" borderId="2" xfId="1" applyNumberFormat="1" applyFont="1" applyBorder="1"/>
    <xf numFmtId="164" fontId="10" fillId="0" borderId="0" xfId="2" applyNumberFormat="1" applyFont="1"/>
    <xf numFmtId="1" fontId="10" fillId="0" borderId="0" xfId="2" applyNumberFormat="1" applyFont="1"/>
    <xf numFmtId="0" fontId="13" fillId="0" borderId="0" xfId="0" applyFont="1" applyAlignment="1">
      <alignment horizontal="left" indent="1"/>
    </xf>
    <xf numFmtId="166" fontId="15" fillId="0" borderId="0" xfId="0" applyNumberFormat="1" applyFont="1"/>
    <xf numFmtId="0" fontId="15" fillId="0" borderId="1" xfId="0" applyFont="1" applyBorder="1" applyAlignment="1">
      <alignment horizontal="left"/>
    </xf>
    <xf numFmtId="165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indent="2"/>
    </xf>
    <xf numFmtId="165" fontId="16" fillId="0" borderId="3" xfId="1" applyNumberFormat="1" applyFont="1" applyBorder="1"/>
    <xf numFmtId="0" fontId="18" fillId="0" borderId="0" xfId="0" applyFont="1"/>
    <xf numFmtId="0" fontId="12" fillId="0" borderId="0" xfId="0" applyFont="1"/>
    <xf numFmtId="0" fontId="18" fillId="0" borderId="0" xfId="0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13" fillId="0" borderId="0" xfId="0" applyFont="1"/>
    <xf numFmtId="165" fontId="13" fillId="0" borderId="0" xfId="0" applyNumberFormat="1" applyFont="1" applyAlignment="1">
      <alignment horizontal="center" vertical="center"/>
    </xf>
    <xf numFmtId="10" fontId="10" fillId="0" borderId="0" xfId="2" applyNumberFormat="1" applyFont="1"/>
    <xf numFmtId="0" fontId="15" fillId="0" borderId="3" xfId="0" applyFont="1" applyBorder="1" applyAlignment="1">
      <alignment horizontal="left"/>
    </xf>
    <xf numFmtId="0" fontId="7" fillId="0" borderId="6" xfId="0" applyFont="1" applyBorder="1"/>
    <xf numFmtId="0" fontId="0" fillId="0" borderId="6" xfId="0" applyBorder="1"/>
    <xf numFmtId="168" fontId="7" fillId="0" borderId="0" xfId="0" applyNumberFormat="1" applyFont="1"/>
    <xf numFmtId="169" fontId="7" fillId="0" borderId="0" xfId="0" applyNumberFormat="1" applyFont="1"/>
    <xf numFmtId="0" fontId="19" fillId="0" borderId="6" xfId="0" applyFont="1" applyBorder="1"/>
    <xf numFmtId="170" fontId="19" fillId="0" borderId="2" xfId="0" applyNumberFormat="1" applyFont="1" applyBorder="1"/>
    <xf numFmtId="0" fontId="16" fillId="0" borderId="0" xfId="0" applyFont="1"/>
    <xf numFmtId="170" fontId="19" fillId="0" borderId="6" xfId="0" applyNumberFormat="1" applyFont="1" applyBorder="1"/>
    <xf numFmtId="167" fontId="16" fillId="0" borderId="0" xfId="0" applyNumberFormat="1" applyFont="1" applyAlignment="1">
      <alignment horizontal="center" vertical="center"/>
    </xf>
    <xf numFmtId="0" fontId="0" fillId="0" borderId="3" xfId="0" applyBorder="1"/>
    <xf numFmtId="168" fontId="7" fillId="0" borderId="3" xfId="0" applyNumberFormat="1" applyFont="1" applyBorder="1"/>
    <xf numFmtId="169" fontId="7" fillId="0" borderId="3" xfId="0" applyNumberFormat="1" applyFont="1" applyBorder="1"/>
    <xf numFmtId="0" fontId="5" fillId="0" borderId="0" xfId="3"/>
    <xf numFmtId="0" fontId="7" fillId="0" borderId="4" xfId="3" applyFont="1" applyBorder="1"/>
    <xf numFmtId="0" fontId="5" fillId="0" borderId="4" xfId="3" applyBorder="1"/>
    <xf numFmtId="0" fontId="20" fillId="0" borderId="5" xfId="3" applyFont="1" applyBorder="1"/>
    <xf numFmtId="14" fontId="9" fillId="0" borderId="0" xfId="4" applyNumberFormat="1" applyFont="1" applyAlignment="1">
      <alignment horizontal="right"/>
    </xf>
    <xf numFmtId="171" fontId="22" fillId="0" borderId="0" xfId="3" applyNumberFormat="1" applyFont="1"/>
    <xf numFmtId="14" fontId="8" fillId="0" borderId="0" xfId="4" applyNumberFormat="1" applyFont="1" applyAlignment="1">
      <alignment horizontal="right"/>
    </xf>
    <xf numFmtId="14" fontId="9" fillId="0" borderId="0" xfId="3" applyNumberFormat="1" applyFont="1" applyAlignment="1">
      <alignment horizontal="right"/>
    </xf>
    <xf numFmtId="0" fontId="23" fillId="0" borderId="0" xfId="5"/>
    <xf numFmtId="172" fontId="8" fillId="0" borderId="0" xfId="3" applyNumberFormat="1" applyFont="1"/>
    <xf numFmtId="173" fontId="22" fillId="0" borderId="0" xfId="3" applyNumberFormat="1" applyFont="1" applyAlignment="1">
      <alignment horizontal="right"/>
    </xf>
    <xf numFmtId="0" fontId="7" fillId="0" borderId="7" xfId="3" applyFont="1" applyBorder="1"/>
    <xf numFmtId="0" fontId="5" fillId="0" borderId="7" xfId="3" applyBorder="1"/>
    <xf numFmtId="173" fontId="22" fillId="0" borderId="7" xfId="3" applyNumberFormat="1" applyFont="1" applyBorder="1" applyAlignment="1">
      <alignment horizontal="right"/>
    </xf>
    <xf numFmtId="0" fontId="24" fillId="0" borderId="0" xfId="3" applyFont="1" applyAlignment="1">
      <alignment horizontal="centerContinuous"/>
    </xf>
    <xf numFmtId="0" fontId="25" fillId="0" borderId="8" xfId="3" applyFont="1" applyBorder="1" applyAlignment="1">
      <alignment horizontal="centerContinuous"/>
    </xf>
    <xf numFmtId="0" fontId="19" fillId="0" borderId="0" xfId="3" applyFont="1"/>
    <xf numFmtId="14" fontId="5" fillId="0" borderId="0" xfId="3" applyNumberFormat="1" applyAlignment="1">
      <alignment horizontal="center"/>
    </xf>
    <xf numFmtId="174" fontId="8" fillId="0" borderId="0" xfId="3" applyNumberFormat="1" applyFont="1"/>
    <xf numFmtId="174" fontId="22" fillId="0" borderId="0" xfId="3" applyNumberFormat="1" applyFont="1"/>
    <xf numFmtId="0" fontId="5" fillId="0" borderId="0" xfId="3" applyAlignment="1">
      <alignment horizontal="left" indent="1"/>
    </xf>
    <xf numFmtId="0" fontId="7" fillId="0" borderId="0" xfId="3" applyFont="1"/>
    <xf numFmtId="174" fontId="26" fillId="0" borderId="0" xfId="3" applyNumberFormat="1" applyFont="1"/>
    <xf numFmtId="174" fontId="5" fillId="0" borderId="0" xfId="3" applyNumberFormat="1"/>
    <xf numFmtId="37" fontId="8" fillId="0" borderId="0" xfId="3" applyNumberFormat="1" applyFont="1"/>
    <xf numFmtId="174" fontId="22" fillId="0" borderId="7" xfId="3" applyNumberFormat="1" applyFont="1" applyBorder="1"/>
    <xf numFmtId="174" fontId="25" fillId="0" borderId="7" xfId="3" applyNumberFormat="1" applyFont="1" applyBorder="1" applyAlignment="1">
      <alignment horizontal="center"/>
    </xf>
    <xf numFmtId="174" fontId="25" fillId="0" borderId="0" xfId="3" applyNumberFormat="1" applyFont="1"/>
    <xf numFmtId="14" fontId="5" fillId="0" borderId="0" xfId="3" applyNumberFormat="1"/>
    <xf numFmtId="172" fontId="5" fillId="0" borderId="0" xfId="3" applyNumberFormat="1" applyAlignment="1">
      <alignment horizontal="center"/>
    </xf>
    <xf numFmtId="174" fontId="8" fillId="0" borderId="7" xfId="3" applyNumberFormat="1" applyFont="1" applyBorder="1"/>
    <xf numFmtId="0" fontId="26" fillId="0" borderId="0" xfId="3" applyFont="1"/>
    <xf numFmtId="172" fontId="9" fillId="0" borderId="0" xfId="3" applyNumberFormat="1" applyFont="1"/>
    <xf numFmtId="175" fontId="5" fillId="0" borderId="0" xfId="3" applyNumberFormat="1"/>
    <xf numFmtId="176" fontId="9" fillId="0" borderId="0" xfId="3" applyNumberFormat="1" applyFont="1"/>
    <xf numFmtId="174" fontId="7" fillId="0" borderId="0" xfId="3" applyNumberFormat="1" applyFont="1"/>
    <xf numFmtId="0" fontId="19" fillId="0" borderId="0" xfId="3" applyFont="1" applyAlignment="1">
      <alignment horizontal="left"/>
    </xf>
    <xf numFmtId="172" fontId="19" fillId="0" borderId="0" xfId="3" applyNumberFormat="1" applyFont="1"/>
    <xf numFmtId="177" fontId="19" fillId="0" borderId="0" xfId="3" applyNumberFormat="1" applyFont="1"/>
    <xf numFmtId="172" fontId="5" fillId="0" borderId="0" xfId="3" applyNumberFormat="1"/>
    <xf numFmtId="176" fontId="19" fillId="0" borderId="0" xfId="3" applyNumberFormat="1" applyFont="1"/>
    <xf numFmtId="171" fontId="5" fillId="0" borderId="0" xfId="3" quotePrefix="1" applyNumberFormat="1"/>
    <xf numFmtId="0" fontId="5" fillId="0" borderId="0" xfId="3" applyAlignment="1">
      <alignment horizontal="left"/>
    </xf>
    <xf numFmtId="0" fontId="27" fillId="0" borderId="0" xfId="3" applyFont="1"/>
    <xf numFmtId="0" fontId="27" fillId="0" borderId="0" xfId="3" applyFont="1" applyAlignment="1">
      <alignment horizontal="right"/>
    </xf>
    <xf numFmtId="0" fontId="27" fillId="0" borderId="0" xfId="3" applyFont="1" applyAlignment="1">
      <alignment horizontal="left" vertical="center"/>
    </xf>
    <xf numFmtId="14" fontId="8" fillId="0" borderId="0" xfId="3" applyNumberFormat="1" applyFont="1"/>
    <xf numFmtId="178" fontId="9" fillId="0" borderId="0" xfId="3" applyNumberFormat="1" applyFont="1"/>
    <xf numFmtId="179" fontId="9" fillId="0" borderId="0" xfId="3" applyNumberFormat="1" applyFont="1"/>
    <xf numFmtId="37" fontId="22" fillId="0" borderId="0" xfId="3" applyNumberFormat="1" applyFont="1"/>
    <xf numFmtId="0" fontId="8" fillId="0" borderId="0" xfId="3" applyFont="1" applyAlignment="1">
      <alignment horizontal="left" indent="1"/>
    </xf>
    <xf numFmtId="0" fontId="7" fillId="0" borderId="0" xfId="3" applyFont="1" applyAlignment="1">
      <alignment horizontal="left"/>
    </xf>
    <xf numFmtId="180" fontId="9" fillId="0" borderId="0" xfId="3" applyNumberFormat="1" applyFont="1"/>
    <xf numFmtId="0" fontId="5" fillId="0" borderId="0" xfId="3" applyAlignment="1">
      <alignment horizontal="left" vertical="center" indent="1"/>
    </xf>
    <xf numFmtId="179" fontId="5" fillId="0" borderId="0" xfId="3" applyNumberFormat="1"/>
    <xf numFmtId="178" fontId="28" fillId="0" borderId="0" xfId="3" applyNumberFormat="1" applyFont="1"/>
    <xf numFmtId="0" fontId="7" fillId="0" borderId="0" xfId="3" applyFont="1" applyAlignment="1">
      <alignment vertical="center"/>
    </xf>
    <xf numFmtId="0" fontId="24" fillId="0" borderId="0" xfId="3" applyFont="1" applyAlignment="1">
      <alignment horizontal="right"/>
    </xf>
    <xf numFmtId="174" fontId="5" fillId="0" borderId="0" xfId="3" applyNumberFormat="1" applyAlignment="1">
      <alignment horizontal="right"/>
    </xf>
    <xf numFmtId="37" fontId="19" fillId="0" borderId="7" xfId="3" applyNumberFormat="1" applyFont="1" applyBorder="1" applyAlignment="1">
      <alignment horizontal="right"/>
    </xf>
    <xf numFmtId="37" fontId="5" fillId="0" borderId="0" xfId="3" applyNumberFormat="1" applyAlignment="1">
      <alignment horizontal="right"/>
    </xf>
    <xf numFmtId="181" fontId="5" fillId="0" borderId="0" xfId="3" applyNumberFormat="1" applyAlignment="1">
      <alignment horizontal="right"/>
    </xf>
    <xf numFmtId="0" fontId="8" fillId="2" borderId="0" xfId="3" applyFont="1" applyFill="1"/>
    <xf numFmtId="0" fontId="29" fillId="0" borderId="0" xfId="3" applyFont="1" applyAlignment="1">
      <alignment horizontal="centerContinuous"/>
    </xf>
    <xf numFmtId="0" fontId="24" fillId="0" borderId="9" xfId="3" applyFont="1" applyBorder="1" applyAlignment="1">
      <alignment horizontal="centerContinuous"/>
    </xf>
    <xf numFmtId="0" fontId="5" fillId="0" borderId="0" xfId="3" applyAlignment="1">
      <alignment horizontal="centerContinuous"/>
    </xf>
    <xf numFmtId="0" fontId="5" fillId="0" borderId="9" xfId="3" applyBorder="1" applyAlignment="1">
      <alignment horizontal="centerContinuous"/>
    </xf>
    <xf numFmtId="0" fontId="5" fillId="0" borderId="0" xfId="3" applyAlignment="1">
      <alignment horizontal="right"/>
    </xf>
    <xf numFmtId="164" fontId="9" fillId="3" borderId="11" xfId="3" applyNumberFormat="1" applyFont="1" applyFill="1" applyBorder="1"/>
    <xf numFmtId="176" fontId="5" fillId="0" borderId="12" xfId="3" applyNumberFormat="1" applyBorder="1" applyAlignment="1">
      <alignment horizontal="right"/>
    </xf>
    <xf numFmtId="182" fontId="5" fillId="0" borderId="0" xfId="3" applyNumberFormat="1"/>
    <xf numFmtId="182" fontId="5" fillId="0" borderId="9" xfId="3" applyNumberFormat="1" applyBorder="1"/>
    <xf numFmtId="176" fontId="5" fillId="0" borderId="0" xfId="3" applyNumberFormat="1" applyAlignment="1">
      <alignment horizontal="right"/>
    </xf>
    <xf numFmtId="164" fontId="9" fillId="3" borderId="14" xfId="3" applyNumberFormat="1" applyFont="1" applyFill="1" applyBorder="1" applyAlignment="1">
      <alignment horizontal="right"/>
    </xf>
    <xf numFmtId="0" fontId="26" fillId="2" borderId="0" xfId="3" applyFont="1" applyFill="1" applyAlignment="1">
      <alignment horizontal="center"/>
    </xf>
    <xf numFmtId="183" fontId="5" fillId="0" borderId="0" xfId="3" applyNumberFormat="1"/>
    <xf numFmtId="176" fontId="9" fillId="3" borderId="11" xfId="3" applyNumberFormat="1" applyFont="1" applyFill="1" applyBorder="1"/>
    <xf numFmtId="0" fontId="5" fillId="0" borderId="9" xfId="3" applyBorder="1"/>
    <xf numFmtId="0" fontId="7" fillId="4" borderId="0" xfId="3" applyFont="1" applyFill="1"/>
    <xf numFmtId="0" fontId="7" fillId="4" borderId="9" xfId="3" applyFont="1" applyFill="1" applyBorder="1"/>
    <xf numFmtId="184" fontId="5" fillId="0" borderId="0" xfId="3" applyNumberFormat="1"/>
    <xf numFmtId="0" fontId="5" fillId="0" borderId="10" xfId="3" applyBorder="1"/>
    <xf numFmtId="0" fontId="5" fillId="0" borderId="11" xfId="3" applyBorder="1" applyAlignment="1">
      <alignment horizontal="right"/>
    </xf>
    <xf numFmtId="0" fontId="5" fillId="0" borderId="13" xfId="3" applyBorder="1" applyAlignment="1">
      <alignment horizontal="right"/>
    </xf>
    <xf numFmtId="0" fontId="5" fillId="0" borderId="11" xfId="3" applyBorder="1"/>
    <xf numFmtId="0" fontId="5" fillId="0" borderId="15" xfId="3" applyBorder="1"/>
    <xf numFmtId="172" fontId="8" fillId="0" borderId="0" xfId="0" applyNumberFormat="1" applyFont="1"/>
    <xf numFmtId="0" fontId="26" fillId="0" borderId="7" xfId="3" applyFont="1" applyBorder="1"/>
    <xf numFmtId="0" fontId="8" fillId="0" borderId="7" xfId="3" applyFont="1" applyBorder="1"/>
    <xf numFmtId="0" fontId="26" fillId="0" borderId="7" xfId="3" applyFont="1" applyBorder="1" applyAlignment="1">
      <alignment horizontal="right"/>
    </xf>
    <xf numFmtId="0" fontId="27" fillId="0" borderId="0" xfId="3" applyFont="1" applyAlignment="1">
      <alignment horizontal="left"/>
    </xf>
    <xf numFmtId="0" fontId="7" fillId="0" borderId="6" xfId="3" applyFont="1" applyBorder="1"/>
    <xf numFmtId="0" fontId="7" fillId="0" borderId="10" xfId="3" applyFont="1" applyBorder="1"/>
    <xf numFmtId="184" fontId="8" fillId="0" borderId="0" xfId="3" applyNumberFormat="1" applyFont="1"/>
    <xf numFmtId="10" fontId="9" fillId="0" borderId="7" xfId="3" applyNumberFormat="1" applyFont="1" applyBorder="1"/>
    <xf numFmtId="10" fontId="8" fillId="0" borderId="0" xfId="3" applyNumberFormat="1" applyFont="1"/>
    <xf numFmtId="164" fontId="8" fillId="0" borderId="0" xfId="3" applyNumberFormat="1" applyFont="1"/>
    <xf numFmtId="0" fontId="5" fillId="0" borderId="6" xfId="3" applyBorder="1"/>
    <xf numFmtId="164" fontId="25" fillId="0" borderId="0" xfId="3" applyNumberFormat="1" applyFont="1" applyAlignment="1">
      <alignment horizontal="right"/>
    </xf>
    <xf numFmtId="9" fontId="9" fillId="0" borderId="0" xfId="3" applyNumberFormat="1" applyFont="1"/>
    <xf numFmtId="171" fontId="5" fillId="0" borderId="0" xfId="3" applyNumberFormat="1"/>
    <xf numFmtId="9" fontId="8" fillId="0" borderId="0" xfId="3" applyNumberFormat="1" applyFont="1"/>
    <xf numFmtId="0" fontId="7" fillId="0" borderId="11" xfId="3" applyFont="1" applyBorder="1"/>
    <xf numFmtId="171" fontId="7" fillId="0" borderId="13" xfId="3" applyNumberFormat="1" applyFont="1" applyBorder="1"/>
    <xf numFmtId="174" fontId="8" fillId="0" borderId="0" xfId="0" applyNumberFormat="1" applyFont="1"/>
    <xf numFmtId="14" fontId="0" fillId="0" borderId="0" xfId="0" applyNumberFormat="1"/>
    <xf numFmtId="165" fontId="16" fillId="0" borderId="0" xfId="1" applyNumberFormat="1" applyFont="1"/>
    <xf numFmtId="165" fontId="15" fillId="0" borderId="0" xfId="0" applyNumberFormat="1" applyFont="1"/>
    <xf numFmtId="185" fontId="0" fillId="0" borderId="6" xfId="0" applyNumberFormat="1" applyBorder="1" applyAlignment="1">
      <alignment horizontal="right"/>
    </xf>
    <xf numFmtId="185" fontId="0" fillId="0" borderId="12" xfId="0" applyNumberFormat="1" applyBorder="1"/>
    <xf numFmtId="176" fontId="30" fillId="3" borderId="11" xfId="3" applyNumberFormat="1" applyFont="1" applyFill="1" applyBorder="1"/>
    <xf numFmtId="0" fontId="0" fillId="0" borderId="16" xfId="0" quotePrefix="1" applyBorder="1"/>
    <xf numFmtId="39" fontId="0" fillId="0" borderId="0" xfId="0" applyNumberFormat="1"/>
    <xf numFmtId="39" fontId="0" fillId="0" borderId="17" xfId="0" applyNumberFormat="1" applyBorder="1"/>
    <xf numFmtId="0" fontId="0" fillId="0" borderId="16" xfId="0" applyBorder="1"/>
    <xf numFmtId="0" fontId="0" fillId="0" borderId="18" xfId="0" applyBorder="1"/>
    <xf numFmtId="39" fontId="0" fillId="0" borderId="6" xfId="0" applyNumberFormat="1" applyBorder="1"/>
    <xf numFmtId="39" fontId="8" fillId="0" borderId="6" xfId="0" applyNumberFormat="1" applyFont="1" applyBorder="1"/>
    <xf numFmtId="39" fontId="0" fillId="0" borderId="12" xfId="0" applyNumberFormat="1" applyBorder="1"/>
    <xf numFmtId="0" fontId="0" fillId="0" borderId="9" xfId="0" applyBorder="1"/>
    <xf numFmtId="39" fontId="8" fillId="0" borderId="0" xfId="0" applyNumberFormat="1" applyFont="1"/>
    <xf numFmtId="39" fontId="8" fillId="0" borderId="17" xfId="0" applyNumberFormat="1" applyFont="1" applyBorder="1"/>
    <xf numFmtId="0" fontId="0" fillId="0" borderId="19" xfId="0" applyBorder="1"/>
    <xf numFmtId="39" fontId="8" fillId="0" borderId="12" xfId="0" applyNumberFormat="1" applyFont="1" applyBorder="1"/>
    <xf numFmtId="186" fontId="7" fillId="0" borderId="20" xfId="3" applyNumberFormat="1" applyFont="1" applyBorder="1"/>
    <xf numFmtId="174" fontId="22" fillId="0" borderId="21" xfId="3" applyNumberFormat="1" applyFont="1" applyBorder="1"/>
    <xf numFmtId="9" fontId="6" fillId="0" borderId="21" xfId="2" applyBorder="1"/>
    <xf numFmtId="174" fontId="8" fillId="0" borderId="21" xfId="3" applyNumberFormat="1" applyFont="1" applyBorder="1"/>
    <xf numFmtId="171" fontId="22" fillId="0" borderId="21" xfId="3" applyNumberFormat="1" applyFont="1" applyBorder="1"/>
    <xf numFmtId="174" fontId="26" fillId="0" borderId="22" xfId="3" applyNumberFormat="1" applyFont="1" applyBorder="1"/>
    <xf numFmtId="175" fontId="7" fillId="0" borderId="23" xfId="3" applyNumberFormat="1" applyFont="1" applyBorder="1"/>
    <xf numFmtId="175" fontId="7" fillId="0" borderId="20" xfId="3" applyNumberFormat="1" applyFont="1" applyBorder="1"/>
    <xf numFmtId="14" fontId="20" fillId="0" borderId="5" xfId="3" applyNumberFormat="1" applyFont="1" applyBorder="1"/>
    <xf numFmtId="166" fontId="6" fillId="0" borderId="0" xfId="1" applyNumberFormat="1"/>
    <xf numFmtId="165" fontId="0" fillId="0" borderId="0" xfId="0" applyNumberFormat="1"/>
    <xf numFmtId="166" fontId="32" fillId="0" borderId="0" xfId="1" applyNumberFormat="1" applyFont="1"/>
    <xf numFmtId="174" fontId="9" fillId="0" borderId="0" xfId="3" applyNumberFormat="1" applyFont="1"/>
    <xf numFmtId="3" fontId="7" fillId="0" borderId="0" xfId="3" applyNumberFormat="1" applyFont="1"/>
    <xf numFmtId="14" fontId="9" fillId="0" borderId="0" xfId="3" applyNumberFormat="1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164" fontId="8" fillId="3" borderId="14" xfId="0" applyNumberFormat="1" applyFont="1" applyFill="1" applyBorder="1" applyAlignment="1">
      <alignment horizontal="right"/>
    </xf>
    <xf numFmtId="164" fontId="8" fillId="3" borderId="24" xfId="0" applyNumberFormat="1" applyFont="1" applyFill="1" applyBorder="1" applyAlignment="1">
      <alignment horizontal="right"/>
    </xf>
    <xf numFmtId="164" fontId="8" fillId="3" borderId="10" xfId="0" applyNumberFormat="1" applyFont="1" applyFill="1" applyBorder="1"/>
    <xf numFmtId="164" fontId="8" fillId="3" borderId="11" xfId="0" applyNumberFormat="1" applyFont="1" applyFill="1" applyBorder="1"/>
    <xf numFmtId="187" fontId="6" fillId="0" borderId="0" xfId="1" applyNumberFormat="1"/>
    <xf numFmtId="0" fontId="15" fillId="0" borderId="0" xfId="0" applyFont="1" applyAlignment="1">
      <alignment horizontal="left"/>
    </xf>
    <xf numFmtId="188" fontId="14" fillId="0" borderId="0" xfId="0" applyNumberFormat="1" applyFont="1"/>
    <xf numFmtId="41" fontId="15" fillId="0" borderId="0" xfId="0" applyNumberFormat="1" applyFont="1" applyAlignment="1">
      <alignment horizontal="center" vertical="center"/>
    </xf>
    <xf numFmtId="41" fontId="13" fillId="0" borderId="0" xfId="1" applyNumberFormat="1" applyFont="1"/>
    <xf numFmtId="41" fontId="10" fillId="0" borderId="0" xfId="0" applyNumberFormat="1" applyFont="1" applyAlignment="1">
      <alignment horizontal="center" vertical="center"/>
    </xf>
    <xf numFmtId="41" fontId="10" fillId="0" borderId="0" xfId="0" applyNumberFormat="1" applyFont="1"/>
    <xf numFmtId="41" fontId="16" fillId="0" borderId="0" xfId="1" applyNumberFormat="1" applyFont="1"/>
    <xf numFmtId="41" fontId="15" fillId="0" borderId="0" xfId="1" applyNumberFormat="1" applyFont="1"/>
    <xf numFmtId="41" fontId="13" fillId="0" borderId="0" xfId="0" applyNumberFormat="1" applyFont="1"/>
    <xf numFmtId="41" fontId="16" fillId="0" borderId="0" xfId="0" applyNumberFormat="1" applyFont="1" applyAlignment="1">
      <alignment horizontal="center" vertical="center"/>
    </xf>
    <xf numFmtId="9" fontId="6" fillId="0" borderId="0" xfId="2"/>
    <xf numFmtId="9" fontId="32" fillId="0" borderId="0" xfId="2" applyFont="1"/>
    <xf numFmtId="164" fontId="13" fillId="0" borderId="3" xfId="2" applyNumberFormat="1" applyFont="1" applyBorder="1"/>
    <xf numFmtId="164" fontId="8" fillId="0" borderId="0" xfId="0" applyNumberFormat="1" applyFont="1"/>
    <xf numFmtId="164" fontId="32" fillId="0" borderId="0" xfId="2" applyNumberFormat="1" applyFont="1"/>
    <xf numFmtId="165" fontId="15" fillId="0" borderId="0" xfId="0" applyNumberFormat="1" applyFont="1" applyAlignment="1">
      <alignment horizontal="center" vertical="center"/>
    </xf>
    <xf numFmtId="0" fontId="4" fillId="0" borderId="0" xfId="3" applyFont="1"/>
    <xf numFmtId="37" fontId="4" fillId="0" borderId="0" xfId="3" applyNumberFormat="1" applyFont="1" applyAlignment="1">
      <alignment horizontal="right"/>
    </xf>
    <xf numFmtId="166" fontId="15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166" fontId="16" fillId="0" borderId="0" xfId="1" applyNumberFormat="1" applyFont="1"/>
    <xf numFmtId="171" fontId="0" fillId="0" borderId="0" xfId="0" quotePrefix="1" applyNumberFormat="1"/>
    <xf numFmtId="164" fontId="8" fillId="3" borderId="25" xfId="0" applyNumberFormat="1" applyFont="1" applyFill="1" applyBorder="1"/>
    <xf numFmtId="176" fontId="8" fillId="0" borderId="0" xfId="3" applyNumberFormat="1" applyFont="1"/>
    <xf numFmtId="176" fontId="30" fillId="3" borderId="25" xfId="3" applyNumberFormat="1" applyFont="1" applyFill="1" applyBorder="1"/>
    <xf numFmtId="0" fontId="7" fillId="0" borderId="0" xfId="0" applyFont="1"/>
    <xf numFmtId="41" fontId="19" fillId="0" borderId="0" xfId="0" applyNumberFormat="1" applyFont="1"/>
    <xf numFmtId="164" fontId="10" fillId="0" borderId="0" xfId="2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189" fontId="19" fillId="0" borderId="2" xfId="0" applyNumberFormat="1" applyFont="1" applyBorder="1"/>
    <xf numFmtId="189" fontId="3" fillId="0" borderId="2" xfId="0" applyNumberFormat="1" applyFont="1" applyBorder="1" applyAlignment="1">
      <alignment horizontal="center"/>
    </xf>
    <xf numFmtId="165" fontId="15" fillId="0" borderId="3" xfId="0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left"/>
    </xf>
    <xf numFmtId="165" fontId="14" fillId="0" borderId="0" xfId="0" applyNumberFormat="1" applyFont="1"/>
    <xf numFmtId="190" fontId="0" fillId="0" borderId="0" xfId="0" applyNumberFormat="1" applyAlignment="1">
      <alignment horizontal="right"/>
    </xf>
    <xf numFmtId="181" fontId="0" fillId="0" borderId="0" xfId="0" applyNumberFormat="1" applyAlignment="1">
      <alignment horizontal="right"/>
    </xf>
    <xf numFmtId="166" fontId="14" fillId="0" borderId="0" xfId="1" applyNumberFormat="1" applyFont="1"/>
    <xf numFmtId="1" fontId="10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0" fontId="19" fillId="0" borderId="0" xfId="0" applyFont="1"/>
    <xf numFmtId="170" fontId="19" fillId="0" borderId="0" xfId="0" applyNumberFormat="1" applyFont="1"/>
    <xf numFmtId="1" fontId="10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center"/>
    </xf>
    <xf numFmtId="164" fontId="14" fillId="0" borderId="0" xfId="2" applyNumberFormat="1" applyFont="1"/>
    <xf numFmtId="166" fontId="35" fillId="0" borderId="0" xfId="1" applyNumberFormat="1" applyFont="1" applyAlignment="1">
      <alignment horizontal="center" vertical="center"/>
    </xf>
    <xf numFmtId="0" fontId="10" fillId="0" borderId="6" xfId="0" applyFont="1" applyBorder="1"/>
    <xf numFmtId="189" fontId="2" fillId="0" borderId="2" xfId="0" applyNumberFormat="1" applyFont="1" applyBorder="1"/>
    <xf numFmtId="170" fontId="2" fillId="0" borderId="6" xfId="0" applyNumberFormat="1" applyFont="1" applyBorder="1"/>
    <xf numFmtId="0" fontId="13" fillId="0" borderId="0" xfId="0" applyFont="1" applyAlignment="1">
      <alignment horizontal="center" vertical="center"/>
    </xf>
    <xf numFmtId="170" fontId="2" fillId="0" borderId="2" xfId="0" applyNumberFormat="1" applyFont="1" applyBorder="1"/>
    <xf numFmtId="41" fontId="2" fillId="0" borderId="0" xfId="0" applyNumberFormat="1" applyFont="1"/>
    <xf numFmtId="41" fontId="13" fillId="0" borderId="0" xfId="0" applyNumberFormat="1" applyFont="1" applyAlignment="1">
      <alignment horizontal="center" vertical="center"/>
    </xf>
    <xf numFmtId="9" fontId="10" fillId="0" borderId="0" xfId="2" applyFont="1"/>
    <xf numFmtId="170" fontId="2" fillId="0" borderId="0" xfId="0" applyNumberFormat="1" applyFont="1"/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41" fontId="16" fillId="0" borderId="3" xfId="1" applyNumberFormat="1" applyFont="1" applyBorder="1"/>
    <xf numFmtId="0" fontId="15" fillId="0" borderId="0" xfId="0" applyFont="1" applyAlignment="1">
      <alignment horizontal="left" indent="1"/>
    </xf>
    <xf numFmtId="43" fontId="13" fillId="0" borderId="0" xfId="0" applyNumberFormat="1" applyFont="1"/>
    <xf numFmtId="1" fontId="14" fillId="0" borderId="0" xfId="0" applyNumberFormat="1" applyFont="1" applyAlignment="1">
      <alignment horizontal="right" vertical="center"/>
    </xf>
    <xf numFmtId="10" fontId="6" fillId="0" borderId="0" xfId="2" applyNumberFormat="1"/>
    <xf numFmtId="10" fontId="32" fillId="0" borderId="0" xfId="2" applyNumberFormat="1" applyFont="1"/>
    <xf numFmtId="184" fontId="38" fillId="0" borderId="7" xfId="3" applyNumberFormat="1" applyFont="1" applyBorder="1"/>
    <xf numFmtId="9" fontId="5" fillId="0" borderId="0" xfId="3" applyNumberFormat="1"/>
    <xf numFmtId="166" fontId="10" fillId="0" borderId="0" xfId="0" applyNumberFormat="1" applyFont="1" applyAlignment="1">
      <alignment horizontal="center" vertical="center"/>
    </xf>
    <xf numFmtId="41" fontId="14" fillId="0" borderId="0" xfId="1" applyNumberFormat="1" applyFont="1"/>
    <xf numFmtId="166" fontId="0" fillId="0" borderId="0" xfId="0" applyNumberFormat="1"/>
    <xf numFmtId="176" fontId="9" fillId="0" borderId="0" xfId="3" applyNumberFormat="1" applyFont="1" applyAlignment="1">
      <alignment vertical="center"/>
    </xf>
    <xf numFmtId="191" fontId="6" fillId="0" borderId="0" xfId="1"/>
    <xf numFmtId="0" fontId="9" fillId="0" borderId="0" xfId="0" applyFont="1" applyAlignment="1">
      <alignment horizontal="left" vertical="center"/>
    </xf>
    <xf numFmtId="9" fontId="6" fillId="0" borderId="0" xfId="2" applyAlignment="1">
      <alignment horizontal="right" vertical="center"/>
    </xf>
    <xf numFmtId="164" fontId="37" fillId="0" borderId="0" xfId="2" applyNumberFormat="1" applyFont="1"/>
    <xf numFmtId="189" fontId="1" fillId="0" borderId="2" xfId="0" applyNumberFormat="1" applyFont="1" applyBorder="1"/>
    <xf numFmtId="164" fontId="9" fillId="0" borderId="0" xfId="3" applyNumberFormat="1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26" xfId="0" applyBorder="1" applyAlignment="1">
      <alignment horizontal="centerContinuous"/>
    </xf>
    <xf numFmtId="171" fontId="0" fillId="5" borderId="0" xfId="0" applyNumberFormat="1" applyFill="1"/>
    <xf numFmtId="192" fontId="8" fillId="0" borderId="27" xfId="0" applyNumberFormat="1" applyFont="1" applyBorder="1"/>
    <xf numFmtId="179" fontId="9" fillId="0" borderId="28" xfId="0" applyNumberFormat="1" applyFont="1" applyBorder="1"/>
    <xf numFmtId="192" fontId="8" fillId="0" borderId="28" xfId="0" applyNumberFormat="1" applyFont="1" applyBorder="1"/>
    <xf numFmtId="10" fontId="8" fillId="0" borderId="29" xfId="0" applyNumberFormat="1" applyFont="1" applyBorder="1"/>
    <xf numFmtId="172" fontId="0" fillId="0" borderId="26" xfId="0" applyNumberFormat="1" applyBorder="1"/>
    <xf numFmtId="172" fontId="0" fillId="0" borderId="0" xfId="0" applyNumberFormat="1"/>
    <xf numFmtId="0" fontId="0" fillId="0" borderId="0" xfId="0" applyAlignment="1">
      <alignment horizontal="right"/>
    </xf>
    <xf numFmtId="10" fontId="9" fillId="0" borderId="29" xfId="0" applyNumberFormat="1" applyFont="1" applyBorder="1"/>
    <xf numFmtId="10" fontId="8" fillId="0" borderId="9" xfId="0" applyNumberFormat="1" applyFont="1" applyBorder="1"/>
    <xf numFmtId="0" fontId="9" fillId="2" borderId="30" xfId="0" applyFont="1" applyFill="1" applyBorder="1" applyAlignment="1">
      <alignment horizontal="right"/>
    </xf>
    <xf numFmtId="0" fontId="0" fillId="0" borderId="0" xfId="0" applyAlignment="1">
      <alignment horizontal="left" indent="1"/>
    </xf>
    <xf numFmtId="179" fontId="0" fillId="0" borderId="0" xfId="0" applyNumberFormat="1"/>
    <xf numFmtId="0" fontId="0" fillId="0" borderId="0" xfId="0" applyAlignment="1">
      <alignment wrapText="1"/>
    </xf>
    <xf numFmtId="0" fontId="0" fillId="0" borderId="31" xfId="0" applyBorder="1"/>
    <xf numFmtId="0" fontId="0" fillId="0" borderId="31" xfId="0" applyBorder="1" applyAlignment="1">
      <alignment wrapText="1"/>
    </xf>
    <xf numFmtId="0" fontId="9" fillId="0" borderId="0" xfId="0" applyFont="1"/>
    <xf numFmtId="37" fontId="9" fillId="0" borderId="0" xfId="0" applyNumberFormat="1" applyFont="1"/>
    <xf numFmtId="37" fontId="0" fillId="0" borderId="0" xfId="0" applyNumberFormat="1"/>
    <xf numFmtId="171" fontId="0" fillId="0" borderId="0" xfId="0" applyNumberFormat="1"/>
    <xf numFmtId="193" fontId="9" fillId="0" borderId="0" xfId="0" applyNumberFormat="1" applyFont="1"/>
    <xf numFmtId="193" fontId="38" fillId="0" borderId="0" xfId="0" applyNumberFormat="1" applyFont="1"/>
    <xf numFmtId="39" fontId="38" fillId="0" borderId="0" xfId="0" applyNumberFormat="1" applyFont="1"/>
    <xf numFmtId="37" fontId="38" fillId="0" borderId="0" xfId="0" applyNumberFormat="1" applyFont="1"/>
    <xf numFmtId="171" fontId="38" fillId="0" borderId="0" xfId="0" applyNumberFormat="1" applyFont="1"/>
    <xf numFmtId="193" fontId="0" fillId="0" borderId="0" xfId="0" applyNumberFormat="1"/>
    <xf numFmtId="193" fontId="7" fillId="0" borderId="0" xfId="0" applyNumberFormat="1" applyFont="1"/>
    <xf numFmtId="194" fontId="30" fillId="0" borderId="0" xfId="0" applyNumberFormat="1" applyFont="1" applyAlignment="1">
      <alignment horizontal="right" vertical="center"/>
    </xf>
    <xf numFmtId="194" fontId="9" fillId="0" borderId="0" xfId="0" applyNumberFormat="1" applyFont="1" applyAlignment="1">
      <alignment horizontal="right" vertical="center"/>
    </xf>
    <xf numFmtId="194" fontId="9" fillId="0" borderId="0" xfId="0" applyNumberFormat="1" applyFont="1" applyAlignment="1">
      <alignment horizontal="center"/>
    </xf>
    <xf numFmtId="194" fontId="39" fillId="0" borderId="0" xfId="5" applyNumberFormat="1" applyFont="1" applyAlignment="1">
      <alignment horizontal="right" vertical="center"/>
    </xf>
    <xf numFmtId="165" fontId="14" fillId="0" borderId="0" xfId="0" applyNumberFormat="1" applyFont="1" applyAlignment="1">
      <alignment horizontal="center" vertical="center"/>
    </xf>
    <xf numFmtId="0" fontId="5" fillId="0" borderId="0" xfId="3" applyAlignment="1">
      <alignment horizontal="center" vertical="center"/>
    </xf>
    <xf numFmtId="2" fontId="0" fillId="0" borderId="0" xfId="0" applyNumberFormat="1"/>
    <xf numFmtId="0" fontId="16" fillId="0" borderId="2" xfId="0" applyFont="1" applyBorder="1"/>
    <xf numFmtId="0" fontId="13" fillId="0" borderId="2" xfId="0" applyFont="1" applyBorder="1"/>
    <xf numFmtId="172" fontId="22" fillId="0" borderId="7" xfId="3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44" fillId="0" borderId="0" xfId="0" applyFont="1"/>
    <xf numFmtId="49" fontId="35" fillId="0" borderId="0" xfId="0" applyNumberFormat="1" applyFont="1"/>
    <xf numFmtId="164" fontId="35" fillId="0" borderId="0" xfId="0" applyNumberFormat="1" applyFont="1"/>
    <xf numFmtId="196" fontId="35" fillId="0" borderId="0" xfId="0" applyNumberFormat="1" applyFont="1"/>
    <xf numFmtId="196" fontId="13" fillId="0" borderId="0" xfId="0" applyNumberFormat="1" applyFont="1"/>
    <xf numFmtId="196" fontId="16" fillId="0" borderId="32" xfId="0" applyNumberFormat="1" applyFont="1" applyBorder="1"/>
    <xf numFmtId="197" fontId="13" fillId="0" borderId="0" xfId="0" applyNumberFormat="1" applyFont="1"/>
    <xf numFmtId="197" fontId="16" fillId="0" borderId="0" xfId="0" applyNumberFormat="1" applyFont="1"/>
    <xf numFmtId="196" fontId="45" fillId="0" borderId="0" xfId="0" applyNumberFormat="1" applyFont="1"/>
    <xf numFmtId="4" fontId="16" fillId="0" borderId="32" xfId="0" applyNumberFormat="1" applyFont="1" applyBorder="1"/>
    <xf numFmtId="4" fontId="45" fillId="0" borderId="0" xfId="0" applyNumberFormat="1" applyFont="1"/>
    <xf numFmtId="4" fontId="35" fillId="0" borderId="0" xfId="0" applyNumberFormat="1" applyFont="1"/>
    <xf numFmtId="49" fontId="44" fillId="0" borderId="0" xfId="0" applyNumberFormat="1" applyFont="1"/>
    <xf numFmtId="195" fontId="45" fillId="0" borderId="0" xfId="0" applyNumberFormat="1" applyFont="1"/>
    <xf numFmtId="195" fontId="35" fillId="0" borderId="0" xfId="0" applyNumberFormat="1" applyFont="1"/>
    <xf numFmtId="195" fontId="16" fillId="0" borderId="0" xfId="0" applyNumberFormat="1" applyFont="1"/>
    <xf numFmtId="196" fontId="16" fillId="0" borderId="0" xfId="0" applyNumberFormat="1" applyFont="1"/>
    <xf numFmtId="164" fontId="44" fillId="0" borderId="0" xfId="0" applyNumberFormat="1" applyFont="1"/>
    <xf numFmtId="198" fontId="45" fillId="0" borderId="0" xfId="0" applyNumberFormat="1" applyFont="1"/>
    <xf numFmtId="198" fontId="13" fillId="0" borderId="0" xfId="0" applyNumberFormat="1" applyFont="1"/>
    <xf numFmtId="164" fontId="45" fillId="0" borderId="0" xfId="0" applyNumberFormat="1" applyFont="1"/>
    <xf numFmtId="49" fontId="16" fillId="7" borderId="0" xfId="0" applyNumberFormat="1" applyFont="1" applyFill="1"/>
    <xf numFmtId="196" fontId="45" fillId="6" borderId="0" xfId="0" applyNumberFormat="1" applyFont="1" applyFill="1"/>
    <xf numFmtId="199" fontId="13" fillId="0" borderId="0" xfId="0" applyNumberFormat="1" applyFont="1"/>
    <xf numFmtId="196" fontId="35" fillId="6" borderId="0" xfId="0" applyNumberFormat="1" applyFont="1" applyFill="1"/>
    <xf numFmtId="164" fontId="13" fillId="0" borderId="0" xfId="0" applyNumberFormat="1" applyFont="1"/>
    <xf numFmtId="3" fontId="35" fillId="0" borderId="0" xfId="0" applyNumberFormat="1" applyFont="1"/>
    <xf numFmtId="164" fontId="35" fillId="6" borderId="0" xfId="0" applyNumberFormat="1" applyFont="1" applyFill="1"/>
    <xf numFmtId="198" fontId="16" fillId="0" borderId="0" xfId="0" applyNumberFormat="1" applyFont="1"/>
    <xf numFmtId="10" fontId="16" fillId="7" borderId="32" xfId="0" applyNumberFormat="1" applyFont="1" applyFill="1" applyBorder="1"/>
    <xf numFmtId="164" fontId="16" fillId="0" borderId="0" xfId="0" applyNumberFormat="1" applyFont="1"/>
    <xf numFmtId="10" fontId="13" fillId="0" borderId="0" xfId="0" applyNumberFormat="1" applyFont="1"/>
    <xf numFmtId="196" fontId="44" fillId="0" borderId="0" xfId="0" applyNumberFormat="1" applyFont="1"/>
    <xf numFmtId="10" fontId="44" fillId="0" borderId="0" xfId="0" applyNumberFormat="1" applyFont="1"/>
    <xf numFmtId="0" fontId="44" fillId="0" borderId="0" xfId="0" applyFont="1"/>
    <xf numFmtId="0" fontId="10" fillId="0" borderId="0" xfId="0" applyFont="1"/>
  </cellXfs>
  <cellStyles count="7">
    <cellStyle name="Comma" xfId="1" builtinId="3"/>
    <cellStyle name="Hyperlink" xfId="5" builtinId="8"/>
    <cellStyle name="Normal" xfId="0" builtinId="0"/>
    <cellStyle name="Normal 15" xfId="6" xr:uid="{00000000-0005-0000-0000-000006000000}"/>
    <cellStyle name="Normal 2" xfId="3" xr:uid="{00000000-0005-0000-0000-000003000000}"/>
    <cellStyle name="Normal_DCF_Model" xfId="4" xr:uid="{00000000-0005-0000-0000-000004000000}"/>
    <cellStyle name="Percent" xfId="2" builtinId="5"/>
  </cellStyles>
  <dxfs count="5">
    <dxf>
      <font>
        <b/>
      </font>
      <fill>
        <patternFill patternType="solid">
          <bgColor theme="2"/>
        </patternFill>
      </fill>
      <border>
        <left/>
        <right/>
        <top/>
        <bottom/>
      </border>
    </dxf>
    <dxf>
      <font>
        <b/>
        <color rgb="FF00B050"/>
      </font>
      <fill>
        <patternFill>
          <bgColor auto="1"/>
        </patternFill>
      </fill>
    </dxf>
    <dxf>
      <font>
        <b/>
        <color theme="5"/>
      </font>
      <fill>
        <patternFill>
          <bgColor auto="1"/>
        </patternFill>
      </fill>
    </dxf>
    <dxf>
      <font>
        <b/>
        <color rgb="FFFF0000"/>
      </font>
      <fill>
        <patternFill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F4F"/>
      <rgbColor rgb="FF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DCF Equity Valuation Range </a:t>
            </a:r>
          </a:p>
        </c:rich>
      </c:tx>
      <c:layout>
        <c:manualLayout>
          <c:xMode val="edge"/>
          <c:yMode val="edge"/>
          <c:x val="0.31291626892699842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4.2x-6.2x Exit EBITDA Range at 21.3% WACC</c:v>
                </c:pt>
                <c:pt idx="1">
                  <c:v>DCF Value at 9.0%-11.0% Perpetuity Range at 21.3%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DCF!$C$128:$C$130</c:f>
              <c:numCache>
                <c:formatCode>#,##0.00_);\(#,##0.00\)</c:formatCode>
                <c:ptCount val="3"/>
                <c:pt idx="0">
                  <c:v>28.179769488209431</c:v>
                </c:pt>
                <c:pt idx="1">
                  <c:v>30.50270242051743</c:v>
                </c:pt>
                <c:pt idx="2">
                  <c:v>26.21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4-4A58-AA79-821BA5E6415D}"/>
            </c:ext>
          </c:extLst>
        </c:ser>
        <c:ser>
          <c:idx val="1"/>
          <c:order val="1"/>
          <c:spPr>
            <a:ln>
              <a:prstDash val="solid"/>
            </a:ln>
          </c:spPr>
          <c:invertIfNegative val="0"/>
          <c:cat>
            <c:strRef>
              <c:f>DCF!$B$128:$B$130</c:f>
              <c:strCache>
                <c:ptCount val="3"/>
                <c:pt idx="0">
                  <c:v>DCF Value at 4.2x-6.2x Exit EBITDA Range at 21.3% WACC</c:v>
                </c:pt>
                <c:pt idx="1">
                  <c:v>DCF Value at 9.0%-11.0% Perpetuity Range at 21.3%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DCF!$D$128:$D$130</c:f>
              <c:numCache>
                <c:formatCode>#,##0.00_);\(#,##0.00\)</c:formatCode>
                <c:ptCount val="3"/>
                <c:pt idx="0">
                  <c:v>3.1075966221953948</c:v>
                </c:pt>
                <c:pt idx="1">
                  <c:v>1.5170647241853814</c:v>
                </c:pt>
                <c:pt idx="2">
                  <c:v>25.79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84-4A58-AA79-821BA5E6415D}"/>
            </c:ext>
          </c:extLst>
        </c:ser>
        <c:ser>
          <c:idx val="2"/>
          <c:order val="2"/>
          <c:spPr>
            <a:noFill/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4.2x-6.2x Exit EBITDA Range at 21.3% WACC</c:v>
                </c:pt>
                <c:pt idx="1">
                  <c:v>DCF Value at 9.0%-11.0% Perpetuity Range at 21.3%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DCF!$E$128:$E$130</c:f>
              <c:numCache>
                <c:formatCode>#,##0.00_);\(#,##0.00\)</c:formatCode>
                <c:ptCount val="3"/>
                <c:pt idx="0">
                  <c:v>31.287366110404825</c:v>
                </c:pt>
                <c:pt idx="1">
                  <c:v>32.019767144702811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84-4A58-AA79-821BA5E64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400"/>
          <c:min val="100"/>
        </c:scaling>
        <c:delete val="0"/>
        <c:axPos val="l"/>
        <c:numFmt formatCode="#,##0.00_);\(#,##0.00\)" sourceLinked="1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1"/>
  </c:chart>
  <c:spPr>
    <a:ln>
      <a:noFill/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LTM EBITDA Multiple Range</a:t>
            </a:r>
          </a:p>
        </c:rich>
      </c:tx>
      <c:layout>
        <c:manualLayout>
          <c:xMode val="edge"/>
          <c:yMode val="edge"/>
          <c:x val="0.31291626892699842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9.0%-11.0% Perpetuity Growth at 21.3% WACC</c:v>
                </c:pt>
                <c:pt idx="1">
                  <c:v>LTM EBITDA Purchase Multiple at 4.2x-4.8x Exit EBITDA Multiple at 21.3% WACC</c:v>
                </c:pt>
                <c:pt idx="2">
                  <c:v>LTM EBITDA Purchase Multiple at 19.3%-23.3% WACC at 5.2x Exit EBITDA</c:v>
                </c:pt>
              </c:strCache>
            </c:strRef>
          </c:cat>
          <c:val>
            <c:numRef>
              <c:f>DCF!$O$128:$O$130</c:f>
              <c:numCache>
                <c:formatCode>#,##0.00_);\(#,##0.00\)</c:formatCode>
                <c:ptCount val="3"/>
                <c:pt idx="0">
                  <c:v>4.6599991843586226</c:v>
                </c:pt>
                <c:pt idx="1">
                  <c:v>4.2250852904261791</c:v>
                </c:pt>
                <c:pt idx="2">
                  <c:v>3.7365917390552212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6-41BE-8998-F76B9C92BB2D}"/>
            </c:ext>
          </c:extLst>
        </c:ser>
        <c:ser>
          <c:idx val="1"/>
          <c:order val="1"/>
          <c:spPr>
            <a:solidFill>
              <a:schemeClr val="tx2"/>
            </a:solidFill>
            <a:ln>
              <a:prstDash val="solid"/>
            </a:ln>
          </c:spPr>
          <c:invertIfNegative val="0"/>
          <c:cat>
            <c:strRef>
              <c:f>DCF!$G$128:$G$130</c:f>
              <c:strCache>
                <c:ptCount val="3"/>
                <c:pt idx="0">
                  <c:v>LTM EBITDA Purchase Multiple at 9.0%-11.0% Perpetuity Growth at 21.3% WACC</c:v>
                </c:pt>
                <c:pt idx="1">
                  <c:v>LTM EBITDA Purchase Multiple at 4.2x-4.8x Exit EBITDA Multiple at 21.3% WACC</c:v>
                </c:pt>
                <c:pt idx="2">
                  <c:v>LTM EBITDA Purchase Multiple at 19.3%-23.3% WACC at 5.2x Exit EBITDA</c:v>
                </c:pt>
              </c:strCache>
            </c:strRef>
          </c:cat>
          <c:val>
            <c:numRef>
              <c:f>DCF!$P$128:$P$130</c:f>
              <c:numCache>
                <c:formatCode>#,##0.00_);\(#,##0.00\)</c:formatCode>
                <c:ptCount val="3"/>
                <c:pt idx="0">
                  <c:v>0.28403425573180918</c:v>
                </c:pt>
                <c:pt idx="1">
                  <c:v>0.58182349086913199</c:v>
                </c:pt>
                <c:pt idx="2">
                  <c:v>0.41089235525570977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6-41BE-8998-F76B9C92BB2D}"/>
            </c:ext>
          </c:extLst>
        </c:ser>
        <c:ser>
          <c:idx val="2"/>
          <c:order val="2"/>
          <c:spPr>
            <a:noFill/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9.0%-11.0% Perpetuity Growth at 21.3% WACC</c:v>
                </c:pt>
                <c:pt idx="1">
                  <c:v>LTM EBITDA Purchase Multiple at 4.2x-4.8x Exit EBITDA Multiple at 21.3% WACC</c:v>
                </c:pt>
                <c:pt idx="2">
                  <c:v>LTM EBITDA Purchase Multiple at 19.3%-23.3% WACC at 5.2x Exit EBITDA</c:v>
                </c:pt>
              </c:strCache>
            </c:strRef>
          </c:cat>
          <c:val>
            <c:numRef>
              <c:f>DCF!$Q$128:$Q$130</c:f>
              <c:numCache>
                <c:formatCode>#,##0.00_);\(#,##0.00\)</c:formatCode>
                <c:ptCount val="3"/>
                <c:pt idx="0">
                  <c:v>4.9440334400904318</c:v>
                </c:pt>
                <c:pt idx="1">
                  <c:v>4.8069087812953111</c:v>
                </c:pt>
                <c:pt idx="2">
                  <c:v>4.147484094310931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16-41BE-8998-F76B9C92B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639680"/>
        <c:axId val="99641216"/>
      </c:barChart>
      <c:catAx>
        <c:axId val="996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9641216"/>
        <c:crosses val="autoZero"/>
        <c:auto val="1"/>
        <c:lblAlgn val="ctr"/>
        <c:lblOffset val="100"/>
        <c:noMultiLvlLbl val="0"/>
      </c:catAx>
      <c:valAx>
        <c:axId val="99641216"/>
        <c:scaling>
          <c:orientation val="minMax"/>
          <c:max val="20"/>
          <c:min val="10"/>
        </c:scaling>
        <c:delete val="0"/>
        <c:axPos val="l"/>
        <c:numFmt formatCode="#,##0.0\x;\-#,##0.0\x" sourceLinked="0"/>
        <c:majorTickMark val="out"/>
        <c:minorTickMark val="none"/>
        <c:tickLblPos val="nextTo"/>
        <c:crossAx val="99639680"/>
        <c:crosses val="autoZero"/>
        <c:crossBetween val="between"/>
      </c:valAx>
    </c:plotArea>
    <c:plotVisOnly val="1"/>
    <c:dispBlanksAs val="gap"/>
    <c:showDLblsOverMax val="1"/>
  </c:chart>
  <c:spPr>
    <a:ln>
      <a:noFill/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53578</xdr:colOff>
      <xdr:row>106</xdr:row>
      <xdr:rowOff>149424</xdr:rowOff>
    </xdr:from>
    <xdr:to>
      <xdr:col>4</xdr:col>
      <xdr:colOff>654844</xdr:colOff>
      <xdr:row>125</xdr:row>
      <xdr:rowOff>53578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47228</xdr:colOff>
      <xdr:row>106</xdr:row>
      <xdr:rowOff>149424</xdr:rowOff>
    </xdr:from>
    <xdr:to>
      <xdr:col>16</xdr:col>
      <xdr:colOff>1121</xdr:colOff>
      <xdr:row>125</xdr:row>
      <xdr:rowOff>47228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hyperlink" Target="https://efghermesresearch.com/Company.aspx?pageid=1508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9"/>
  <sheetViews>
    <sheetView showGridLines="0" zoomScaleNormal="100" workbookViewId="0">
      <selection activeCell="C2" sqref="C2"/>
    </sheetView>
  </sheetViews>
  <sheetFormatPr defaultColWidth="9.140625" defaultRowHeight="15" x14ac:dyDescent="0.25"/>
  <cols>
    <col min="1" max="2" width="1.7109375" style="6" customWidth="1"/>
    <col min="3" max="3" width="66.42578125" style="6" bestFit="1" customWidth="1"/>
    <col min="4" max="4" width="17.140625" style="28" customWidth="1"/>
    <col min="5" max="11" width="17.140625" style="6" customWidth="1"/>
    <col min="12" max="12" width="2.7109375" style="6" customWidth="1"/>
    <col min="13" max="13" width="9.140625" style="6" customWidth="1"/>
    <col min="14" max="16384" width="9.140625" style="6"/>
  </cols>
  <sheetData>
    <row r="1" spans="3:11" ht="15" customHeight="1" thickBot="1" x14ac:dyDescent="0.3"/>
    <row r="2" spans="3:11" ht="15.75" customHeight="1" thickBot="1" x14ac:dyDescent="0.3">
      <c r="C2" s="2" t="str">
        <f>Company_Name&amp;" - Financial Statement Model"</f>
        <v>Misr Fertilizers Production Company - Mopco - Financial Statement Model</v>
      </c>
      <c r="D2" s="8"/>
      <c r="E2" s="8"/>
      <c r="F2" s="8"/>
      <c r="G2" s="8"/>
      <c r="H2" s="8"/>
      <c r="I2" s="8"/>
      <c r="J2" s="8"/>
      <c r="K2" s="8"/>
    </row>
    <row r="3" spans="3:11" x14ac:dyDescent="0.25">
      <c r="C3" s="230" t="s">
        <v>102</v>
      </c>
      <c r="D3" s="9"/>
      <c r="E3" s="9"/>
      <c r="F3" s="9"/>
      <c r="G3" s="9"/>
      <c r="H3" s="9"/>
    </row>
    <row r="4" spans="3:11" ht="15" customHeight="1" x14ac:dyDescent="0.25"/>
    <row r="5" spans="3:11" x14ac:dyDescent="0.25">
      <c r="C5" s="3" t="s">
        <v>103</v>
      </c>
      <c r="D5" s="267" t="s">
        <v>104</v>
      </c>
    </row>
    <row r="6" spans="3:11" x14ac:dyDescent="0.25">
      <c r="C6" s="3" t="s">
        <v>105</v>
      </c>
      <c r="D6" s="4" t="s">
        <v>106</v>
      </c>
    </row>
    <row r="7" spans="3:11" x14ac:dyDescent="0.25">
      <c r="C7" s="6" t="s">
        <v>107</v>
      </c>
      <c r="D7" s="303">
        <v>36</v>
      </c>
    </row>
    <row r="8" spans="3:11" x14ac:dyDescent="0.25">
      <c r="C8" s="6" t="s">
        <v>108</v>
      </c>
      <c r="D8" s="5">
        <v>46204</v>
      </c>
    </row>
    <row r="9" spans="3:11" x14ac:dyDescent="0.25">
      <c r="C9" s="3" t="s">
        <v>109</v>
      </c>
      <c r="D9" s="5">
        <v>46022</v>
      </c>
    </row>
    <row r="10" spans="3:11" ht="15" customHeight="1" x14ac:dyDescent="0.25">
      <c r="C10" s="6" t="s">
        <v>58</v>
      </c>
      <c r="D10" s="242">
        <v>2868140263</v>
      </c>
    </row>
    <row r="11" spans="3:11" ht="15" customHeight="1" x14ac:dyDescent="0.25"/>
    <row r="12" spans="3:11" x14ac:dyDescent="0.25">
      <c r="C12" s="39" t="s">
        <v>110</v>
      </c>
      <c r="D12" s="243"/>
      <c r="E12" s="40"/>
      <c r="F12" s="40"/>
      <c r="G12" s="40"/>
      <c r="H12" s="40"/>
      <c r="I12" s="40"/>
      <c r="J12" s="40"/>
      <c r="K12" s="40"/>
    </row>
    <row r="13" spans="3:11" x14ac:dyDescent="0.25">
      <c r="C13" t="s">
        <v>111</v>
      </c>
      <c r="D13" s="41">
        <f>E13-1</f>
        <v>2023</v>
      </c>
      <c r="E13" s="41">
        <f>F13-1</f>
        <v>2024</v>
      </c>
      <c r="F13" s="41">
        <f>YEAR(D9)</f>
        <v>2025</v>
      </c>
      <c r="G13" s="42">
        <f>F13+1</f>
        <v>2026</v>
      </c>
      <c r="H13" s="42">
        <f>G13+1</f>
        <v>2027</v>
      </c>
      <c r="I13" s="42">
        <f>H13+1</f>
        <v>2028</v>
      </c>
      <c r="J13" s="42">
        <f>I13+1</f>
        <v>2029</v>
      </c>
      <c r="K13" s="42">
        <f>J13+1</f>
        <v>2030</v>
      </c>
    </row>
    <row r="14" spans="3:11" x14ac:dyDescent="0.25">
      <c r="C14" s="43" t="s">
        <v>112</v>
      </c>
      <c r="D14" s="244">
        <f>EOMONTH(E14,-12)</f>
        <v>45291</v>
      </c>
      <c r="E14" s="227">
        <f>EOMONTH(F14,-12)</f>
        <v>45657</v>
      </c>
      <c r="F14" s="227">
        <f>D9</f>
        <v>46022</v>
      </c>
      <c r="G14" s="227">
        <f>EOMONTH(F14,12)</f>
        <v>46387</v>
      </c>
      <c r="H14" s="227">
        <f>EOMONTH(G14,12)</f>
        <v>46752</v>
      </c>
      <c r="I14" s="227">
        <f>EOMONTH(H14,12)</f>
        <v>47118</v>
      </c>
      <c r="J14" s="227">
        <f>EOMONTH(I14,12)</f>
        <v>47483</v>
      </c>
      <c r="K14" s="227">
        <f>EOMONTH(J14,12)</f>
        <v>47848</v>
      </c>
    </row>
    <row r="15" spans="3:11" ht="15" customHeight="1" x14ac:dyDescent="0.25"/>
    <row r="16" spans="3:11" ht="15" customHeight="1" x14ac:dyDescent="0.25">
      <c r="C16" s="6" t="s">
        <v>113</v>
      </c>
      <c r="D16" s="10">
        <v>5959553344</v>
      </c>
      <c r="E16" s="10">
        <v>19650320858</v>
      </c>
      <c r="F16" s="10">
        <v>26844075576</v>
      </c>
      <c r="G16" s="184">
        <f>G164</f>
        <v>28164243851.200005</v>
      </c>
      <c r="H16" s="184">
        <f>H164</f>
        <v>30392751348.882805</v>
      </c>
      <c r="I16" s="184">
        <f>I164</f>
        <v>33178886160.86441</v>
      </c>
      <c r="J16" s="184">
        <f>J164</f>
        <v>34851484888.394447</v>
      </c>
      <c r="K16" s="184">
        <f>K164</f>
        <v>36026388552.033836</v>
      </c>
    </row>
    <row r="17" spans="3:11" ht="15" customHeight="1" x14ac:dyDescent="0.25">
      <c r="C17" s="6" t="s">
        <v>114</v>
      </c>
      <c r="D17" s="10">
        <v>-2735322554</v>
      </c>
      <c r="E17" s="10">
        <v>-10802884928</v>
      </c>
      <c r="F17" s="10">
        <v>-13307578650</v>
      </c>
      <c r="G17" s="184">
        <f>-G16*(1-G42)</f>
        <v>-13962033786.803661</v>
      </c>
      <c r="H17" s="184">
        <f>-H16*(1-H42)</f>
        <v>-15066785511.763138</v>
      </c>
      <c r="I17" s="184">
        <f>-I16*(1-I42)</f>
        <v>-16447973254.10047</v>
      </c>
      <c r="J17" s="184">
        <f>-J16*(1-J42)</f>
        <v>-17277140906.138966</v>
      </c>
      <c r="K17" s="184">
        <f>-K16*(1-K42)</f>
        <v>-17859583123.818943</v>
      </c>
    </row>
    <row r="18" spans="3:11" s="13" customFormat="1" ht="15" customHeight="1" x14ac:dyDescent="0.25">
      <c r="C18" s="13" t="s">
        <v>115</v>
      </c>
      <c r="D18" s="14">
        <f t="shared" ref="D18:K18" si="0">SUM(D16:D17)</f>
        <v>3224230790</v>
      </c>
      <c r="E18" s="14">
        <f t="shared" si="0"/>
        <v>8847435930</v>
      </c>
      <c r="F18" s="14">
        <f t="shared" si="0"/>
        <v>13536496926</v>
      </c>
      <c r="G18" s="184">
        <f t="shared" si="0"/>
        <v>14202210064.396343</v>
      </c>
      <c r="H18" s="184">
        <f t="shared" si="0"/>
        <v>15325965837.119667</v>
      </c>
      <c r="I18" s="184">
        <f t="shared" si="0"/>
        <v>16730912906.763941</v>
      </c>
      <c r="J18" s="184">
        <f t="shared" si="0"/>
        <v>17574343982.255482</v>
      </c>
      <c r="K18" s="184">
        <f t="shared" si="0"/>
        <v>18166805428.214893</v>
      </c>
    </row>
    <row r="19" spans="3:11" s="15" customFormat="1" ht="15" customHeight="1" x14ac:dyDescent="0.25">
      <c r="C19" s="223" t="s">
        <v>116</v>
      </c>
      <c r="D19" s="234">
        <v>155257336</v>
      </c>
      <c r="E19" s="186">
        <v>173469168</v>
      </c>
      <c r="F19" s="186">
        <v>273707416</v>
      </c>
      <c r="G19" s="184">
        <f t="shared" ref="G19:K21" si="1">G$16*G43</f>
        <v>267898257.15535992</v>
      </c>
      <c r="H19" s="184">
        <f t="shared" si="1"/>
        <v>289095818.07128835</v>
      </c>
      <c r="I19" s="184">
        <f t="shared" si="1"/>
        <v>315597529.39977998</v>
      </c>
      <c r="J19" s="184">
        <f t="shared" si="1"/>
        <v>331507286.69320995</v>
      </c>
      <c r="K19" s="184">
        <f t="shared" si="1"/>
        <v>342682969.07536024</v>
      </c>
    </row>
    <row r="20" spans="3:11" s="15" customFormat="1" ht="15" customHeight="1" x14ac:dyDescent="0.25">
      <c r="C20" s="223" t="s">
        <v>117</v>
      </c>
      <c r="D20" s="234">
        <v>-160487452</v>
      </c>
      <c r="E20" s="186">
        <v>-531853525</v>
      </c>
      <c r="F20" s="186">
        <v>-526930783</v>
      </c>
      <c r="G20" s="184">
        <f t="shared" si="1"/>
        <v>-691194217.28431022</v>
      </c>
      <c r="H20" s="184">
        <f t="shared" si="1"/>
        <v>-745885246.93563354</v>
      </c>
      <c r="I20" s="184">
        <f t="shared" si="1"/>
        <v>-814261315.5704087</v>
      </c>
      <c r="J20" s="184">
        <f t="shared" si="1"/>
        <v>-855309481.9765023</v>
      </c>
      <c r="K20" s="184">
        <f t="shared" si="1"/>
        <v>-884143439.75872397</v>
      </c>
    </row>
    <row r="21" spans="3:11" s="15" customFormat="1" ht="15" customHeight="1" x14ac:dyDescent="0.25">
      <c r="C21" s="223" t="s">
        <v>118</v>
      </c>
      <c r="D21" s="234">
        <v>-213266360</v>
      </c>
      <c r="E21" s="186">
        <v>-591253894</v>
      </c>
      <c r="F21" s="186">
        <v>-648542515</v>
      </c>
      <c r="G21" s="184">
        <f t="shared" si="1"/>
        <v>-845246584.97663569</v>
      </c>
      <c r="H21" s="184">
        <f t="shared" si="1"/>
        <v>-912127072.23427451</v>
      </c>
      <c r="I21" s="184">
        <f t="shared" si="1"/>
        <v>-995742700.17564511</v>
      </c>
      <c r="J21" s="184">
        <f t="shared" si="1"/>
        <v>-1045939622.5553238</v>
      </c>
      <c r="K21" s="184">
        <f t="shared" si="1"/>
        <v>-1081200051.1545961</v>
      </c>
    </row>
    <row r="22" spans="3:11" s="15" customFormat="1" ht="15" customHeight="1" x14ac:dyDescent="0.25">
      <c r="C22" s="223" t="s">
        <v>119</v>
      </c>
      <c r="D22" s="234">
        <v>-97672</v>
      </c>
      <c r="E22" s="186">
        <v>3619907</v>
      </c>
      <c r="F22" s="186">
        <v>13156038</v>
      </c>
      <c r="G22" s="184">
        <v>0</v>
      </c>
      <c r="H22" s="184">
        <f t="shared" ref="H22:K25" si="2">G22</f>
        <v>0</v>
      </c>
      <c r="I22" s="184">
        <f t="shared" si="2"/>
        <v>0</v>
      </c>
      <c r="J22" s="184">
        <f t="shared" si="2"/>
        <v>0</v>
      </c>
      <c r="K22" s="184">
        <f t="shared" si="2"/>
        <v>0</v>
      </c>
    </row>
    <row r="23" spans="3:11" s="15" customFormat="1" ht="15" customHeight="1" x14ac:dyDescent="0.25">
      <c r="C23" s="223" t="s">
        <v>120</v>
      </c>
      <c r="D23" s="234">
        <v>-36607935</v>
      </c>
      <c r="E23" s="186">
        <v>-233949210</v>
      </c>
      <c r="F23" s="186">
        <v>-44594149</v>
      </c>
      <c r="G23" s="184">
        <f>F23</f>
        <v>-44594149</v>
      </c>
      <c r="H23" s="184">
        <f t="shared" si="2"/>
        <v>-44594149</v>
      </c>
      <c r="I23" s="184">
        <f t="shared" si="2"/>
        <v>-44594149</v>
      </c>
      <c r="J23" s="184">
        <f t="shared" si="2"/>
        <v>-44594149</v>
      </c>
      <c r="K23" s="184">
        <f t="shared" si="2"/>
        <v>-44594149</v>
      </c>
    </row>
    <row r="24" spans="3:11" s="15" customFormat="1" ht="15" customHeight="1" x14ac:dyDescent="0.25">
      <c r="C24" s="223" t="s">
        <v>121</v>
      </c>
      <c r="D24" s="234">
        <v>0</v>
      </c>
      <c r="E24" s="186">
        <v>310962888</v>
      </c>
      <c r="F24" s="186">
        <v>0</v>
      </c>
      <c r="G24" s="184">
        <v>0</v>
      </c>
      <c r="H24" s="184">
        <f t="shared" si="2"/>
        <v>0</v>
      </c>
      <c r="I24" s="184">
        <f t="shared" si="2"/>
        <v>0</v>
      </c>
      <c r="J24" s="184">
        <f t="shared" si="2"/>
        <v>0</v>
      </c>
      <c r="K24" s="184">
        <f t="shared" si="2"/>
        <v>0</v>
      </c>
    </row>
    <row r="25" spans="3:11" s="15" customFormat="1" ht="15" customHeight="1" x14ac:dyDescent="0.25">
      <c r="C25" s="223" t="s">
        <v>122</v>
      </c>
      <c r="D25" s="234">
        <v>-4418140</v>
      </c>
      <c r="E25" s="186">
        <v>-390502424</v>
      </c>
      <c r="F25" s="186">
        <v>357037587</v>
      </c>
      <c r="G25" s="184">
        <v>0</v>
      </c>
      <c r="H25" s="184">
        <f t="shared" si="2"/>
        <v>0</v>
      </c>
      <c r="I25" s="184">
        <f t="shared" si="2"/>
        <v>0</v>
      </c>
      <c r="J25" s="184">
        <f t="shared" si="2"/>
        <v>0</v>
      </c>
      <c r="K25" s="184">
        <f t="shared" si="2"/>
        <v>0</v>
      </c>
    </row>
    <row r="26" spans="3:11" ht="15" customHeight="1" x14ac:dyDescent="0.25">
      <c r="C26" s="196" t="s">
        <v>123</v>
      </c>
      <c r="D26" s="216">
        <f t="shared" ref="D26:K26" si="3">SUM(D18:D25)</f>
        <v>2964610567</v>
      </c>
      <c r="E26" s="216">
        <f t="shared" si="3"/>
        <v>7587928840</v>
      </c>
      <c r="F26" s="216">
        <f t="shared" si="3"/>
        <v>12960330520</v>
      </c>
      <c r="G26" s="184">
        <f t="shared" si="3"/>
        <v>12889073370.290758</v>
      </c>
      <c r="H26" s="184">
        <f t="shared" si="3"/>
        <v>13912455187.021049</v>
      </c>
      <c r="I26" s="184">
        <f t="shared" si="3"/>
        <v>15191912271.417667</v>
      </c>
      <c r="J26" s="184">
        <f t="shared" si="3"/>
        <v>15960008015.416866</v>
      </c>
      <c r="K26" s="184">
        <f t="shared" si="3"/>
        <v>16499550757.376932</v>
      </c>
    </row>
    <row r="27" spans="3:11" ht="15" customHeight="1" x14ac:dyDescent="0.25">
      <c r="C27" s="224" t="s">
        <v>124</v>
      </c>
      <c r="D27" s="234">
        <v>879572186</v>
      </c>
      <c r="E27" s="186">
        <v>2278100869</v>
      </c>
      <c r="F27" s="186">
        <v>2251247715</v>
      </c>
      <c r="G27" s="184">
        <f>G243</f>
        <v>2181580133.4381838</v>
      </c>
      <c r="H27" s="184">
        <f>H243</f>
        <v>2151383992.2805395</v>
      </c>
      <c r="I27" s="184">
        <f>I243</f>
        <v>2398133275.5219121</v>
      </c>
      <c r="J27" s="184">
        <f>J243</f>
        <v>2779170090.166532</v>
      </c>
      <c r="K27" s="184">
        <f>K243</f>
        <v>3188915753.4341135</v>
      </c>
    </row>
    <row r="28" spans="3:11" ht="15" customHeight="1" x14ac:dyDescent="0.25">
      <c r="C28" s="224" t="s">
        <v>125</v>
      </c>
      <c r="D28" s="234">
        <v>-31046190</v>
      </c>
      <c r="E28" s="186">
        <v>-52409291</v>
      </c>
      <c r="F28" s="186">
        <v>-89817340</v>
      </c>
      <c r="G28" s="184">
        <f>G242</f>
        <v>-83170763.948304012</v>
      </c>
      <c r="H28" s="184">
        <f>H242</f>
        <v>-96463916.051695973</v>
      </c>
      <c r="I28" s="184">
        <f>I242</f>
        <v>-118040236.28384449</v>
      </c>
      <c r="J28" s="184">
        <f>J242</f>
        <v>-145488352.52171239</v>
      </c>
      <c r="K28" s="184">
        <f>K242</f>
        <v>-180406219.74380499</v>
      </c>
    </row>
    <row r="29" spans="3:11" ht="15" customHeight="1" x14ac:dyDescent="0.25">
      <c r="C29" s="224" t="s">
        <v>126</v>
      </c>
      <c r="D29" s="234">
        <v>2119579834</v>
      </c>
      <c r="E29" s="186">
        <v>9244689987</v>
      </c>
      <c r="F29" s="186">
        <v>-1093616444</v>
      </c>
      <c r="G29" s="184">
        <v>0</v>
      </c>
      <c r="H29" s="184">
        <f>G29</f>
        <v>0</v>
      </c>
      <c r="I29" s="184">
        <f>H29</f>
        <v>0</v>
      </c>
      <c r="J29" s="184">
        <f>I29</f>
        <v>0</v>
      </c>
      <c r="K29" s="184">
        <f>J29</f>
        <v>0</v>
      </c>
    </row>
    <row r="30" spans="3:11" ht="15" customHeight="1" x14ac:dyDescent="0.25">
      <c r="C30" s="196" t="s">
        <v>127</v>
      </c>
      <c r="D30" s="216">
        <f t="shared" ref="D30:K30" si="4">SUM(D26:D29)</f>
        <v>5932716397</v>
      </c>
      <c r="E30" s="216">
        <f t="shared" si="4"/>
        <v>19058310405</v>
      </c>
      <c r="F30" s="216">
        <f t="shared" si="4"/>
        <v>14028144451</v>
      </c>
      <c r="G30" s="184">
        <f t="shared" si="4"/>
        <v>14987482739.78064</v>
      </c>
      <c r="H30" s="184">
        <f t="shared" si="4"/>
        <v>15967375263.249893</v>
      </c>
      <c r="I30" s="184">
        <f t="shared" si="4"/>
        <v>17472005310.655735</v>
      </c>
      <c r="J30" s="184">
        <f t="shared" si="4"/>
        <v>18593689753.061684</v>
      </c>
      <c r="K30" s="184">
        <f t="shared" si="4"/>
        <v>19508060291.067242</v>
      </c>
    </row>
    <row r="31" spans="3:11" ht="15" customHeight="1" x14ac:dyDescent="0.25">
      <c r="C31" s="224" t="s">
        <v>128</v>
      </c>
      <c r="D31" s="234">
        <v>1530854436</v>
      </c>
      <c r="E31" s="186">
        <v>0</v>
      </c>
      <c r="F31" s="186">
        <v>0</v>
      </c>
      <c r="G31" s="184">
        <v>0</v>
      </c>
      <c r="H31" s="184">
        <f>G31</f>
        <v>0</v>
      </c>
      <c r="I31" s="184">
        <f>H31</f>
        <v>0</v>
      </c>
      <c r="J31" s="184">
        <f>I31</f>
        <v>0</v>
      </c>
      <c r="K31" s="184">
        <f>J31</f>
        <v>0</v>
      </c>
    </row>
    <row r="32" spans="3:11" s="13" customFormat="1" ht="15" customHeight="1" x14ac:dyDescent="0.25">
      <c r="C32" s="13" t="s">
        <v>129</v>
      </c>
      <c r="D32" s="216">
        <f t="shared" ref="D32:K32" si="5">SUM(D30:D31)</f>
        <v>7463570833</v>
      </c>
      <c r="E32" s="216">
        <f t="shared" si="5"/>
        <v>19058310405</v>
      </c>
      <c r="F32" s="216">
        <f t="shared" si="5"/>
        <v>14028144451</v>
      </c>
      <c r="G32" s="184">
        <f t="shared" si="5"/>
        <v>14987482739.78064</v>
      </c>
      <c r="H32" s="184">
        <f t="shared" si="5"/>
        <v>15967375263.249893</v>
      </c>
      <c r="I32" s="184">
        <f t="shared" si="5"/>
        <v>17472005310.655735</v>
      </c>
      <c r="J32" s="184">
        <f t="shared" si="5"/>
        <v>18593689753.061684</v>
      </c>
      <c r="K32" s="184">
        <f t="shared" si="5"/>
        <v>19508060291.067242</v>
      </c>
    </row>
    <row r="33" spans="3:11" ht="15" customHeight="1" x14ac:dyDescent="0.25">
      <c r="C33" s="6" t="s">
        <v>130</v>
      </c>
      <c r="D33" s="234">
        <v>-2247664489</v>
      </c>
      <c r="E33" s="234">
        <v>-3006164058</v>
      </c>
      <c r="F33" s="234">
        <v>-3315742675</v>
      </c>
      <c r="G33" s="184">
        <f>G32*-G46</f>
        <v>-3372183616.450644</v>
      </c>
      <c r="H33" s="184">
        <f>H32*-H46</f>
        <v>-3592659434.231226</v>
      </c>
      <c r="I33" s="184">
        <f>I32*-I46</f>
        <v>-3931201194.8975406</v>
      </c>
      <c r="J33" s="184">
        <f>J32*-J46</f>
        <v>-4183580194.438879</v>
      </c>
      <c r="K33" s="184">
        <f>K32*-K46</f>
        <v>-4389313565.4901295</v>
      </c>
    </row>
    <row r="34" spans="3:11" ht="15" customHeight="1" x14ac:dyDescent="0.25">
      <c r="C34" s="6" t="s">
        <v>131</v>
      </c>
      <c r="D34" s="234">
        <v>758450055</v>
      </c>
      <c r="E34" s="234">
        <v>-932406979</v>
      </c>
      <c r="F34" s="234">
        <v>584138511</v>
      </c>
      <c r="G34" s="184">
        <v>0</v>
      </c>
      <c r="H34" s="184">
        <f>G34</f>
        <v>0</v>
      </c>
      <c r="I34" s="184">
        <f>H34</f>
        <v>0</v>
      </c>
      <c r="J34" s="184">
        <f>I34</f>
        <v>0</v>
      </c>
      <c r="K34" s="184">
        <f>J34</f>
        <v>0</v>
      </c>
    </row>
    <row r="35" spans="3:11" s="13" customFormat="1" ht="15" customHeight="1" x14ac:dyDescent="0.25">
      <c r="C35" s="13" t="s">
        <v>132</v>
      </c>
      <c r="D35" s="216">
        <f t="shared" ref="D35:K35" si="6">SUM(D32:D34)</f>
        <v>5974356399</v>
      </c>
      <c r="E35" s="216">
        <f t="shared" si="6"/>
        <v>15119739368</v>
      </c>
      <c r="F35" s="216">
        <f t="shared" si="6"/>
        <v>11296540287</v>
      </c>
      <c r="G35" s="14">
        <f t="shared" si="6"/>
        <v>11615299123.329996</v>
      </c>
      <c r="H35" s="14">
        <f t="shared" si="6"/>
        <v>12374715829.018667</v>
      </c>
      <c r="I35" s="14">
        <f t="shared" si="6"/>
        <v>13540804115.758194</v>
      </c>
      <c r="J35" s="14">
        <f t="shared" si="6"/>
        <v>14410109558.622805</v>
      </c>
      <c r="K35" s="14">
        <f t="shared" si="6"/>
        <v>15118746725.577112</v>
      </c>
    </row>
    <row r="36" spans="3:11" ht="15" customHeight="1" x14ac:dyDescent="0.25">
      <c r="D36" s="14"/>
      <c r="E36" s="14"/>
      <c r="F36" s="14"/>
      <c r="G36" s="184"/>
      <c r="H36" s="184"/>
      <c r="I36" s="184"/>
      <c r="J36" s="184"/>
      <c r="K36" s="184"/>
    </row>
    <row r="37" spans="3:11" s="13" customFormat="1" ht="15" customHeight="1" x14ac:dyDescent="0.25">
      <c r="C37" s="225" t="s">
        <v>21</v>
      </c>
      <c r="D37" s="14">
        <f t="shared" ref="D37:K37" si="7">D26+D155</f>
        <v>3230610451</v>
      </c>
      <c r="E37" s="14">
        <f t="shared" si="7"/>
        <v>9826083444</v>
      </c>
      <c r="F37" s="14">
        <f t="shared" si="7"/>
        <v>15279059550</v>
      </c>
      <c r="G37" s="14">
        <f t="shared" si="7"/>
        <v>15358734777.444307</v>
      </c>
      <c r="H37" s="14">
        <f t="shared" si="7"/>
        <v>16587896582.732182</v>
      </c>
      <c r="I37" s="14">
        <f t="shared" si="7"/>
        <v>17933107450.184052</v>
      </c>
      <c r="J37" s="14">
        <f t="shared" si="7"/>
        <v>18719670584.314888</v>
      </c>
      <c r="K37" s="14">
        <f t="shared" si="7"/>
        <v>19285866023.547848</v>
      </c>
    </row>
    <row r="38" spans="3:11" ht="15" customHeight="1" x14ac:dyDescent="0.25">
      <c r="C38" s="226" t="s">
        <v>133</v>
      </c>
      <c r="D38" s="15">
        <f t="shared" ref="D38:K38" si="8">D37/D16</f>
        <v>0.54208935880279285</v>
      </c>
      <c r="E38" s="15">
        <f t="shared" si="8"/>
        <v>0.50004697200654735</v>
      </c>
      <c r="F38" s="15">
        <f t="shared" si="8"/>
        <v>0.56917808574716855</v>
      </c>
      <c r="G38" s="269">
        <f t="shared" si="8"/>
        <v>0.54532743213661361</v>
      </c>
      <c r="H38" s="269">
        <f t="shared" si="8"/>
        <v>0.54578463108908137</v>
      </c>
      <c r="I38" s="269">
        <f t="shared" si="8"/>
        <v>0.54049757316255975</v>
      </c>
      <c r="J38" s="269">
        <f t="shared" si="8"/>
        <v>0.53712691566116144</v>
      </c>
      <c r="K38" s="269">
        <f t="shared" si="8"/>
        <v>0.5353260984151319</v>
      </c>
    </row>
    <row r="39" spans="3:11" ht="15" customHeight="1" x14ac:dyDescent="0.25">
      <c r="C39" s="17"/>
      <c r="D39" s="14"/>
      <c r="E39" s="14"/>
      <c r="F39" s="14"/>
      <c r="G39" s="195"/>
      <c r="H39" s="14"/>
      <c r="I39" s="14"/>
      <c r="J39" s="14"/>
      <c r="K39" s="14"/>
    </row>
    <row r="40" spans="3:11" ht="15" customHeight="1" x14ac:dyDescent="0.25">
      <c r="C40" s="20" t="s">
        <v>134</v>
      </c>
      <c r="D40" s="21"/>
      <c r="E40" s="21"/>
      <c r="F40" s="14"/>
      <c r="H40" s="21"/>
      <c r="I40" s="21"/>
      <c r="J40" s="21"/>
      <c r="K40" s="21"/>
    </row>
    <row r="41" spans="3:11" ht="15" customHeight="1" x14ac:dyDescent="0.25">
      <c r="C41" s="17" t="s">
        <v>135</v>
      </c>
      <c r="D41" s="208">
        <f>D16/6992193630-1</f>
        <v>-0.14768473824429829</v>
      </c>
      <c r="E41" s="208">
        <f t="shared" ref="E41:K41" si="9">E16/D16-1</f>
        <v>2.2972808067543662</v>
      </c>
      <c r="F41" s="208">
        <f t="shared" si="9"/>
        <v>0.3660884099544508</v>
      </c>
      <c r="G41" s="208">
        <f t="shared" si="9"/>
        <v>4.9179129728732507E-2</v>
      </c>
      <c r="H41" s="208">
        <f t="shared" si="9"/>
        <v>7.9125415525325815E-2</v>
      </c>
      <c r="I41" s="208">
        <f t="shared" si="9"/>
        <v>9.1671029713603636E-2</v>
      </c>
      <c r="J41" s="208">
        <f t="shared" si="9"/>
        <v>5.0411539417586582E-2</v>
      </c>
      <c r="K41" s="208">
        <f t="shared" si="9"/>
        <v>3.3711724691266598E-2</v>
      </c>
    </row>
    <row r="42" spans="3:11" ht="15" customHeight="1" x14ac:dyDescent="0.25">
      <c r="C42" s="17" t="s">
        <v>136</v>
      </c>
      <c r="D42" s="22">
        <f>D18/D16</f>
        <v>0.54101886565813073</v>
      </c>
      <c r="E42" s="22">
        <f>E18/E16</f>
        <v>0.45024384049169608</v>
      </c>
      <c r="F42" s="22">
        <f>F18/F16</f>
        <v>0.50426385098179105</v>
      </c>
      <c r="G42" s="241">
        <f>F42</f>
        <v>0.50426385098179105</v>
      </c>
      <c r="H42" s="241">
        <f>G42</f>
        <v>0.50426385098179105</v>
      </c>
      <c r="I42" s="241">
        <f>H42</f>
        <v>0.50426385098179105</v>
      </c>
      <c r="J42" s="241">
        <f>I42</f>
        <v>0.50426385098179105</v>
      </c>
      <c r="K42" s="241">
        <f>J42</f>
        <v>0.50426385098179105</v>
      </c>
    </row>
    <row r="43" spans="3:11" ht="15" customHeight="1" x14ac:dyDescent="0.25">
      <c r="C43" s="17" t="s">
        <v>116</v>
      </c>
      <c r="D43" s="22">
        <f t="shared" ref="D43:F45" si="10">D19/D$16</f>
        <v>2.6051840975013847E-2</v>
      </c>
      <c r="E43" s="22">
        <f t="shared" si="10"/>
        <v>8.8278033347927529E-3</v>
      </c>
      <c r="F43" s="22">
        <f t="shared" si="10"/>
        <v>1.0196194509477117E-2</v>
      </c>
      <c r="G43" s="241">
        <f>AVERAGE(E43:F43)</f>
        <v>9.5119989221349351E-3</v>
      </c>
      <c r="H43" s="241">
        <f t="shared" ref="H43:K46" si="11">G43</f>
        <v>9.5119989221349351E-3</v>
      </c>
      <c r="I43" s="241">
        <f t="shared" si="11"/>
        <v>9.5119989221349351E-3</v>
      </c>
      <c r="J43" s="241">
        <f t="shared" si="11"/>
        <v>9.5119989221349351E-3</v>
      </c>
      <c r="K43" s="241">
        <f t="shared" si="11"/>
        <v>9.5119989221349351E-3</v>
      </c>
    </row>
    <row r="44" spans="3:11" ht="15" customHeight="1" x14ac:dyDescent="0.25">
      <c r="C44" s="17" t="s">
        <v>117</v>
      </c>
      <c r="D44" s="22">
        <f t="shared" si="10"/>
        <v>-2.692944298612188E-2</v>
      </c>
      <c r="E44" s="22">
        <f t="shared" si="10"/>
        <v>-2.7065895200559683E-2</v>
      </c>
      <c r="F44" s="22">
        <f t="shared" si="10"/>
        <v>-1.9629313794329483E-2</v>
      </c>
      <c r="G44" s="241">
        <f>AVERAGE(D44:F44)</f>
        <v>-2.4541550660337016E-2</v>
      </c>
      <c r="H44" s="241">
        <f t="shared" si="11"/>
        <v>-2.4541550660337016E-2</v>
      </c>
      <c r="I44" s="241">
        <f t="shared" si="11"/>
        <v>-2.4541550660337016E-2</v>
      </c>
      <c r="J44" s="241">
        <f t="shared" si="11"/>
        <v>-2.4541550660337016E-2</v>
      </c>
      <c r="K44" s="241">
        <f t="shared" si="11"/>
        <v>-2.4541550660337016E-2</v>
      </c>
    </row>
    <row r="45" spans="3:11" ht="15" customHeight="1" x14ac:dyDescent="0.25">
      <c r="C45" s="17" t="s">
        <v>118</v>
      </c>
      <c r="D45" s="22">
        <f t="shared" si="10"/>
        <v>-3.5785628165358026E-2</v>
      </c>
      <c r="E45" s="22">
        <f t="shared" si="10"/>
        <v>-3.0088765383150976E-2</v>
      </c>
      <c r="F45" s="22">
        <f t="shared" si="10"/>
        <v>-2.4159614405937328E-2</v>
      </c>
      <c r="G45" s="241">
        <f>AVERAGE(D45:F45)</f>
        <v>-3.0011335984815441E-2</v>
      </c>
      <c r="H45" s="241">
        <f t="shared" si="11"/>
        <v>-3.0011335984815441E-2</v>
      </c>
      <c r="I45" s="241">
        <f t="shared" si="11"/>
        <v>-3.0011335984815441E-2</v>
      </c>
      <c r="J45" s="241">
        <f t="shared" si="11"/>
        <v>-3.0011335984815441E-2</v>
      </c>
      <c r="K45" s="241">
        <f t="shared" si="11"/>
        <v>-3.0011335984815441E-2</v>
      </c>
    </row>
    <row r="46" spans="3:11" ht="15" customHeight="1" x14ac:dyDescent="0.25">
      <c r="C46" s="17" t="s">
        <v>25</v>
      </c>
      <c r="D46" s="209">
        <f t="shared" ref="D46:E46" si="12">SUM(D33:D34)/D32</f>
        <v>-0.19953109139334138</v>
      </c>
      <c r="E46" s="209">
        <f t="shared" si="12"/>
        <v>-0.20665898252799497</v>
      </c>
      <c r="F46" s="209">
        <f>SUM(F33:F34)/F32</f>
        <v>-0.19472312774803777</v>
      </c>
      <c r="G46" s="241">
        <v>0.22500000000000001</v>
      </c>
      <c r="H46" s="241">
        <f t="shared" si="11"/>
        <v>0.22500000000000001</v>
      </c>
      <c r="I46" s="241">
        <f t="shared" si="11"/>
        <v>0.22500000000000001</v>
      </c>
      <c r="J46" s="241">
        <f t="shared" si="11"/>
        <v>0.22500000000000001</v>
      </c>
      <c r="K46" s="241">
        <f t="shared" si="11"/>
        <v>0.22500000000000001</v>
      </c>
    </row>
    <row r="47" spans="3:11" ht="15" customHeight="1" x14ac:dyDescent="0.25">
      <c r="C47" s="17"/>
      <c r="D47" s="23"/>
      <c r="E47" s="23"/>
      <c r="F47" s="23"/>
      <c r="G47" s="23"/>
      <c r="H47" s="23"/>
      <c r="I47" s="23"/>
      <c r="J47" s="23"/>
      <c r="K47" s="23"/>
    </row>
    <row r="48" spans="3:11" x14ac:dyDescent="0.25">
      <c r="C48" s="39" t="s">
        <v>137</v>
      </c>
      <c r="D48" s="245"/>
      <c r="E48" s="46"/>
      <c r="F48" s="46"/>
      <c r="G48" s="40"/>
      <c r="H48" s="40"/>
      <c r="I48" s="40"/>
      <c r="J48" s="40"/>
      <c r="K48" s="40"/>
    </row>
    <row r="49" spans="3:11" x14ac:dyDescent="0.25">
      <c r="C49" t="s">
        <v>111</v>
      </c>
      <c r="D49" s="41">
        <f t="shared" ref="D49:K49" si="13">D$13</f>
        <v>2023</v>
      </c>
      <c r="E49" s="41">
        <f t="shared" si="13"/>
        <v>2024</v>
      </c>
      <c r="F49" s="41">
        <f t="shared" si="13"/>
        <v>2025</v>
      </c>
      <c r="G49" s="42">
        <f t="shared" si="13"/>
        <v>2026</v>
      </c>
      <c r="H49" s="42">
        <f t="shared" si="13"/>
        <v>2027</v>
      </c>
      <c r="I49" s="42">
        <f t="shared" si="13"/>
        <v>2028</v>
      </c>
      <c r="J49" s="42">
        <f t="shared" si="13"/>
        <v>2029</v>
      </c>
      <c r="K49" s="42">
        <f t="shared" si="13"/>
        <v>2030</v>
      </c>
    </row>
    <row r="50" spans="3:11" x14ac:dyDescent="0.25">
      <c r="C50" s="43" t="s">
        <v>112</v>
      </c>
      <c r="D50" s="244">
        <f t="shared" ref="D50:K50" si="14">D$14</f>
        <v>45291</v>
      </c>
      <c r="E50" s="227">
        <f t="shared" si="14"/>
        <v>45657</v>
      </c>
      <c r="F50" s="227">
        <f t="shared" si="14"/>
        <v>46022</v>
      </c>
      <c r="G50" s="227">
        <f t="shared" si="14"/>
        <v>46387</v>
      </c>
      <c r="H50" s="227">
        <f t="shared" si="14"/>
        <v>46752</v>
      </c>
      <c r="I50" s="227">
        <f t="shared" si="14"/>
        <v>47118</v>
      </c>
      <c r="J50" s="227">
        <f t="shared" si="14"/>
        <v>47483</v>
      </c>
      <c r="K50" s="227">
        <f t="shared" si="14"/>
        <v>47848</v>
      </c>
    </row>
    <row r="51" spans="3:11" s="35" customFormat="1" ht="15" customHeight="1" x14ac:dyDescent="0.25">
      <c r="C51" s="45" t="s">
        <v>138</v>
      </c>
    </row>
    <row r="52" spans="3:11" ht="15" customHeight="1" x14ac:dyDescent="0.25"/>
    <row r="53" spans="3:11" ht="15" customHeight="1" x14ac:dyDescent="0.25">
      <c r="C53" s="13" t="s">
        <v>139</v>
      </c>
    </row>
    <row r="54" spans="3:11" ht="15" customHeight="1" x14ac:dyDescent="0.25">
      <c r="C54" s="17" t="s">
        <v>140</v>
      </c>
      <c r="D54" s="10">
        <v>1235471092</v>
      </c>
      <c r="E54" s="10">
        <v>1713951385</v>
      </c>
      <c r="F54" s="10">
        <v>1927396704</v>
      </c>
      <c r="G54" s="184">
        <f t="shared" ref="G54:K55" si="15">G204</f>
        <v>2118678148.9606071</v>
      </c>
      <c r="H54" s="184">
        <f t="shared" si="15"/>
        <v>2286319437.8615427</v>
      </c>
      <c r="I54" s="184">
        <f t="shared" si="15"/>
        <v>2495908694.9845381</v>
      </c>
      <c r="J54" s="184">
        <f t="shared" si="15"/>
        <v>2621731294.5444484</v>
      </c>
      <c r="K54" s="184">
        <f t="shared" si="15"/>
        <v>2710114378.1606088</v>
      </c>
    </row>
    <row r="55" spans="3:11" ht="15" customHeight="1" x14ac:dyDescent="0.25">
      <c r="C55" s="17" t="s">
        <v>141</v>
      </c>
      <c r="D55" s="10">
        <v>727877314</v>
      </c>
      <c r="E55" s="10">
        <v>541148818</v>
      </c>
      <c r="F55" s="10">
        <v>1446674104</v>
      </c>
      <c r="G55" s="184">
        <f t="shared" si="15"/>
        <v>1146716713.9916065</v>
      </c>
      <c r="H55" s="184">
        <f t="shared" si="15"/>
        <v>1237451150.4760284</v>
      </c>
      <c r="I55" s="184">
        <f t="shared" si="15"/>
        <v>1350889571.6604497</v>
      </c>
      <c r="J55" s="184">
        <f t="shared" si="15"/>
        <v>1418989994.551017</v>
      </c>
      <c r="K55" s="184">
        <f t="shared" si="15"/>
        <v>1466826594.5869827</v>
      </c>
    </row>
    <row r="56" spans="3:11" ht="15" customHeight="1" x14ac:dyDescent="0.25">
      <c r="C56" s="17" t="s">
        <v>142</v>
      </c>
      <c r="D56" s="10">
        <v>4466296953</v>
      </c>
      <c r="E56" s="10">
        <v>3827217186</v>
      </c>
      <c r="F56" s="10">
        <v>734010745</v>
      </c>
      <c r="G56" s="19">
        <f t="shared" ref="G56:K57" si="16">F56</f>
        <v>734010745</v>
      </c>
      <c r="H56" s="19">
        <f t="shared" si="16"/>
        <v>734010745</v>
      </c>
      <c r="I56" s="19">
        <f t="shared" si="16"/>
        <v>734010745</v>
      </c>
      <c r="J56" s="19">
        <f t="shared" si="16"/>
        <v>734010745</v>
      </c>
      <c r="K56" s="19">
        <f t="shared" si="16"/>
        <v>734010745</v>
      </c>
    </row>
    <row r="57" spans="3:11" ht="15" customHeight="1" x14ac:dyDescent="0.25">
      <c r="C57" s="17" t="s">
        <v>143</v>
      </c>
      <c r="D57" s="10">
        <v>620378810</v>
      </c>
      <c r="E57" s="10">
        <v>2869467104</v>
      </c>
      <c r="F57" s="10">
        <v>2573762308</v>
      </c>
      <c r="G57" s="19">
        <f t="shared" si="16"/>
        <v>2573762308</v>
      </c>
      <c r="H57" s="19">
        <f t="shared" si="16"/>
        <v>2573762308</v>
      </c>
      <c r="I57" s="19">
        <f t="shared" si="16"/>
        <v>2573762308</v>
      </c>
      <c r="J57" s="19">
        <f t="shared" si="16"/>
        <v>2573762308</v>
      </c>
      <c r="K57" s="19">
        <f t="shared" si="16"/>
        <v>2573762308</v>
      </c>
    </row>
    <row r="58" spans="3:11" ht="15" customHeight="1" x14ac:dyDescent="0.25">
      <c r="C58" s="17" t="s">
        <v>144</v>
      </c>
      <c r="D58" s="10">
        <v>240052060</v>
      </c>
      <c r="E58" s="10">
        <v>845817862</v>
      </c>
      <c r="F58" s="10">
        <v>1449408364</v>
      </c>
      <c r="G58" s="19">
        <f t="shared" ref="G58:K60" si="17">G206</f>
        <v>1520689005.9630661</v>
      </c>
      <c r="H58" s="19">
        <f t="shared" si="17"/>
        <v>1641014155.4446881</v>
      </c>
      <c r="I58" s="19">
        <f t="shared" si="17"/>
        <v>1791447612.8489025</v>
      </c>
      <c r="J58" s="19">
        <f t="shared" si="17"/>
        <v>1881757244.7985766</v>
      </c>
      <c r="K58" s="19">
        <f t="shared" si="17"/>
        <v>1945194526.9710224</v>
      </c>
    </row>
    <row r="59" spans="3:11" ht="15" customHeight="1" x14ac:dyDescent="0.25">
      <c r="C59" s="17" t="s">
        <v>145</v>
      </c>
      <c r="D59" s="10">
        <v>0</v>
      </c>
      <c r="E59" s="10">
        <v>42873</v>
      </c>
      <c r="F59" s="10">
        <v>0</v>
      </c>
      <c r="G59" s="19">
        <f t="shared" si="17"/>
        <v>0</v>
      </c>
      <c r="H59" s="19">
        <f t="shared" si="17"/>
        <v>0</v>
      </c>
      <c r="I59" s="19">
        <f t="shared" si="17"/>
        <v>0</v>
      </c>
      <c r="J59" s="19">
        <f t="shared" si="17"/>
        <v>0</v>
      </c>
      <c r="K59" s="19">
        <f t="shared" si="17"/>
        <v>0</v>
      </c>
    </row>
    <row r="60" spans="3:11" ht="15" customHeight="1" x14ac:dyDescent="0.25">
      <c r="C60" s="17" t="s">
        <v>146</v>
      </c>
      <c r="D60" s="10">
        <v>77024326</v>
      </c>
      <c r="E60" s="10">
        <v>40559983</v>
      </c>
      <c r="F60" s="10">
        <v>75072047</v>
      </c>
      <c r="G60" s="19">
        <f t="shared" si="17"/>
        <v>78764024.938414499</v>
      </c>
      <c r="H60" s="19">
        <f t="shared" si="17"/>
        <v>84996261.140113667</v>
      </c>
      <c r="I60" s="19">
        <f t="shared" si="17"/>
        <v>92787955.920634255</v>
      </c>
      <c r="J60" s="19">
        <f t="shared" si="17"/>
        <v>97465539.61800459</v>
      </c>
      <c r="K60" s="19">
        <f t="shared" si="17"/>
        <v>100751271.05649249</v>
      </c>
    </row>
    <row r="61" spans="3:11" ht="15" customHeight="1" x14ac:dyDescent="0.25">
      <c r="C61" s="17" t="s">
        <v>147</v>
      </c>
      <c r="D61" s="10">
        <v>7814757372</v>
      </c>
      <c r="E61" s="10">
        <v>6679913892</v>
      </c>
      <c r="F61" s="10">
        <v>2971664846</v>
      </c>
      <c r="G61" s="19">
        <f>G135</f>
        <v>2737211048.2246094</v>
      </c>
      <c r="H61" s="19">
        <f>H135</f>
        <v>4653062025.7475967</v>
      </c>
      <c r="I61" s="19">
        <f>I135</f>
        <v>7611570128.4643002</v>
      </c>
      <c r="J61" s="19">
        <f>J135</f>
        <v>10792984149.996006</v>
      </c>
      <c r="K61" s="19">
        <f>K135</f>
        <v>14191955003.471874</v>
      </c>
    </row>
    <row r="62" spans="3:11" ht="15" customHeight="1" x14ac:dyDescent="0.25">
      <c r="C62" s="11" t="s">
        <v>148</v>
      </c>
      <c r="D62" s="12">
        <f t="shared" ref="D62:K62" si="18">SUM(D54:D61)</f>
        <v>15181857927</v>
      </c>
      <c r="E62" s="12">
        <f t="shared" si="18"/>
        <v>16518119103</v>
      </c>
      <c r="F62" s="12">
        <f t="shared" si="18"/>
        <v>11177989118</v>
      </c>
      <c r="G62" s="12">
        <f t="shared" si="18"/>
        <v>10909831995.078304</v>
      </c>
      <c r="H62" s="12">
        <f t="shared" si="18"/>
        <v>13210616083.66997</v>
      </c>
      <c r="I62" s="12">
        <f t="shared" si="18"/>
        <v>16650377016.878824</v>
      </c>
      <c r="J62" s="12">
        <f t="shared" si="18"/>
        <v>20120701276.508053</v>
      </c>
      <c r="K62" s="12">
        <f t="shared" si="18"/>
        <v>23722614827.246979</v>
      </c>
    </row>
    <row r="63" spans="3:11" ht="15" customHeight="1" x14ac:dyDescent="0.25">
      <c r="E63" s="18"/>
      <c r="F63" s="18"/>
      <c r="G63" s="18"/>
      <c r="H63" s="18"/>
      <c r="I63" s="18"/>
      <c r="J63" s="18"/>
      <c r="K63" s="18"/>
    </row>
    <row r="64" spans="3:11" ht="15" customHeight="1" x14ac:dyDescent="0.25">
      <c r="C64" s="13" t="s">
        <v>149</v>
      </c>
      <c r="E64" s="18"/>
      <c r="F64" s="18"/>
      <c r="G64" s="18"/>
      <c r="H64" s="18"/>
      <c r="I64" s="18"/>
      <c r="J64" s="18"/>
      <c r="K64" s="18"/>
    </row>
    <row r="65" spans="3:11" ht="15" customHeight="1" x14ac:dyDescent="0.25">
      <c r="C65" s="24" t="s">
        <v>150</v>
      </c>
      <c r="D65" s="10">
        <v>35606433627</v>
      </c>
      <c r="E65" s="10">
        <v>34632006997</v>
      </c>
      <c r="F65" s="10">
        <v>38192488081</v>
      </c>
      <c r="G65" s="19">
        <f>G146</f>
        <v>41376146858.347885</v>
      </c>
      <c r="H65" s="19">
        <f>H146</f>
        <v>42369926847.923943</v>
      </c>
      <c r="I65" s="19">
        <f>I146</f>
        <v>42638947772.255272</v>
      </c>
      <c r="J65" s="19">
        <f>J146</f>
        <v>43041250934.191727</v>
      </c>
      <c r="K65" s="19">
        <f>K146</f>
        <v>43523496717.056396</v>
      </c>
    </row>
    <row r="66" spans="3:11" ht="15" customHeight="1" x14ac:dyDescent="0.25">
      <c r="C66" s="17" t="s">
        <v>151</v>
      </c>
      <c r="D66" s="10">
        <v>45251573</v>
      </c>
      <c r="E66" s="10">
        <v>68215075</v>
      </c>
      <c r="F66" s="10">
        <v>79638512</v>
      </c>
      <c r="G66" s="19">
        <f>G294</f>
        <v>91623743.690171003</v>
      </c>
      <c r="H66" s="19">
        <f>H294</f>
        <v>104557311.81799409</v>
      </c>
      <c r="I66" s="19">
        <f>I294</f>
        <v>118676513.45396575</v>
      </c>
      <c r="J66" s="19">
        <f>J294</f>
        <v>133507485.77975407</v>
      </c>
      <c r="K66" s="19">
        <f>K294</f>
        <v>148838435.76149315</v>
      </c>
    </row>
    <row r="67" spans="3:11" ht="15" customHeight="1" x14ac:dyDescent="0.25">
      <c r="C67" s="17" t="s">
        <v>152</v>
      </c>
      <c r="D67" s="10">
        <v>114162591</v>
      </c>
      <c r="E67" s="10">
        <v>88041967</v>
      </c>
      <c r="F67" s="10">
        <v>72034336</v>
      </c>
      <c r="G67" s="19">
        <f>G267</f>
        <v>72034336</v>
      </c>
      <c r="H67" s="19">
        <f>H267</f>
        <v>72034336</v>
      </c>
      <c r="I67" s="19">
        <f>I267</f>
        <v>72034336</v>
      </c>
      <c r="J67" s="19">
        <f>J267</f>
        <v>72034336</v>
      </c>
      <c r="K67" s="19">
        <f>K267</f>
        <v>72034336</v>
      </c>
    </row>
    <row r="68" spans="3:11" ht="15" customHeight="1" x14ac:dyDescent="0.25">
      <c r="C68" s="17" t="s">
        <v>153</v>
      </c>
      <c r="D68" s="10">
        <v>1566325</v>
      </c>
      <c r="E68" s="10">
        <v>2407651</v>
      </c>
      <c r="F68" s="10">
        <v>2424170</v>
      </c>
      <c r="G68" s="19">
        <f t="shared" ref="G68:K70" si="19">F68</f>
        <v>2424170</v>
      </c>
      <c r="H68" s="19">
        <f t="shared" si="19"/>
        <v>2424170</v>
      </c>
      <c r="I68" s="19">
        <f t="shared" si="19"/>
        <v>2424170</v>
      </c>
      <c r="J68" s="19">
        <f t="shared" si="19"/>
        <v>2424170</v>
      </c>
      <c r="K68" s="19">
        <f t="shared" si="19"/>
        <v>2424170</v>
      </c>
    </row>
    <row r="69" spans="3:11" ht="15" customHeight="1" x14ac:dyDescent="0.25">
      <c r="C69" s="17" t="s">
        <v>142</v>
      </c>
      <c r="D69" s="10">
        <v>2651983898</v>
      </c>
      <c r="E69" s="10">
        <v>5562646156</v>
      </c>
      <c r="F69" s="10">
        <v>10659141927</v>
      </c>
      <c r="G69" s="19">
        <f t="shared" si="19"/>
        <v>10659141927</v>
      </c>
      <c r="H69" s="19">
        <f t="shared" si="19"/>
        <v>10659141927</v>
      </c>
      <c r="I69" s="19">
        <f t="shared" si="19"/>
        <v>10659141927</v>
      </c>
      <c r="J69" s="19">
        <f t="shared" si="19"/>
        <v>10659141927</v>
      </c>
      <c r="K69" s="19">
        <f t="shared" si="19"/>
        <v>10659141927</v>
      </c>
    </row>
    <row r="70" spans="3:11" ht="15" customHeight="1" x14ac:dyDescent="0.25">
      <c r="C70" s="17" t="s">
        <v>154</v>
      </c>
      <c r="D70" s="10">
        <v>588141794</v>
      </c>
      <c r="E70" s="10">
        <v>1131212791</v>
      </c>
      <c r="F70" s="10">
        <v>1010115488</v>
      </c>
      <c r="G70" s="19">
        <f t="shared" si="19"/>
        <v>1010115488</v>
      </c>
      <c r="H70" s="19">
        <f t="shared" si="19"/>
        <v>1010115488</v>
      </c>
      <c r="I70" s="19">
        <f t="shared" si="19"/>
        <v>1010115488</v>
      </c>
      <c r="J70" s="19">
        <f t="shared" si="19"/>
        <v>1010115488</v>
      </c>
      <c r="K70" s="19">
        <f t="shared" si="19"/>
        <v>1010115488</v>
      </c>
    </row>
    <row r="71" spans="3:11" ht="15" customHeight="1" x14ac:dyDescent="0.25">
      <c r="C71" s="11" t="s">
        <v>155</v>
      </c>
      <c r="D71" s="12">
        <f>SUM(D65:D70)</f>
        <v>39007539808</v>
      </c>
      <c r="E71" s="12">
        <f>SUM(E65:E70)</f>
        <v>41484530637</v>
      </c>
      <c r="F71" s="12">
        <f t="shared" ref="F71:K71" si="20">SUM(F65:F70)+1</f>
        <v>50015842515</v>
      </c>
      <c r="G71" s="12">
        <f t="shared" si="20"/>
        <v>53211486524.038055</v>
      </c>
      <c r="H71" s="12">
        <f t="shared" si="20"/>
        <v>54218200081.741936</v>
      </c>
      <c r="I71" s="12">
        <f t="shared" si="20"/>
        <v>54501340207.709236</v>
      </c>
      <c r="J71" s="12">
        <f t="shared" si="20"/>
        <v>54918474341.971481</v>
      </c>
      <c r="K71" s="12">
        <f t="shared" si="20"/>
        <v>55416051074.817886</v>
      </c>
    </row>
    <row r="72" spans="3:11" ht="15" customHeight="1" x14ac:dyDescent="0.25">
      <c r="E72" s="19"/>
      <c r="F72" s="19"/>
      <c r="G72" s="19"/>
      <c r="H72" s="19"/>
      <c r="I72" s="19"/>
      <c r="J72" s="19"/>
      <c r="K72" s="19"/>
    </row>
    <row r="73" spans="3:11" ht="15" customHeight="1" x14ac:dyDescent="0.25">
      <c r="C73" s="13" t="s">
        <v>156</v>
      </c>
      <c r="D73" s="14">
        <f t="shared" ref="D73:K73" si="21">D62+D71</f>
        <v>54189397735</v>
      </c>
      <c r="E73" s="14">
        <f t="shared" si="21"/>
        <v>58002649740</v>
      </c>
      <c r="F73" s="14">
        <f t="shared" si="21"/>
        <v>61193831633</v>
      </c>
      <c r="G73" s="14">
        <f t="shared" si="21"/>
        <v>64121318519.116364</v>
      </c>
      <c r="H73" s="14">
        <f t="shared" si="21"/>
        <v>67428816165.411903</v>
      </c>
      <c r="I73" s="14">
        <f t="shared" si="21"/>
        <v>71151717224.588058</v>
      </c>
      <c r="J73" s="14">
        <f t="shared" si="21"/>
        <v>75039175618.479538</v>
      </c>
      <c r="K73" s="14">
        <f t="shared" si="21"/>
        <v>79138665902.064865</v>
      </c>
    </row>
    <row r="74" spans="3:11" ht="15" customHeight="1" x14ac:dyDescent="0.25">
      <c r="E74" s="18"/>
      <c r="F74" s="18"/>
      <c r="G74" s="18"/>
      <c r="H74" s="18"/>
      <c r="I74" s="18"/>
      <c r="J74" s="18"/>
      <c r="K74" s="18"/>
    </row>
    <row r="75" spans="3:11" s="35" customFormat="1" ht="15" customHeight="1" x14ac:dyDescent="0.25">
      <c r="C75" s="45" t="s">
        <v>157</v>
      </c>
      <c r="D75" s="246"/>
      <c r="E75" s="47"/>
      <c r="F75" s="47"/>
      <c r="G75" s="215"/>
      <c r="H75" s="215"/>
      <c r="I75" s="215"/>
      <c r="J75" s="215"/>
      <c r="K75" s="215"/>
    </row>
    <row r="76" spans="3:11" ht="15" customHeight="1" x14ac:dyDescent="0.25">
      <c r="E76" s="18"/>
      <c r="F76" s="18"/>
      <c r="G76" s="18"/>
      <c r="H76" s="18"/>
      <c r="I76" s="18"/>
      <c r="J76" s="18"/>
      <c r="K76" s="18"/>
    </row>
    <row r="77" spans="3:11" ht="15" customHeight="1" x14ac:dyDescent="0.25">
      <c r="C77" s="13" t="s">
        <v>158</v>
      </c>
      <c r="E77" s="18"/>
      <c r="F77" s="18"/>
      <c r="G77" s="18"/>
      <c r="H77" s="18"/>
      <c r="I77" s="18"/>
      <c r="J77" s="18"/>
      <c r="K77" s="18"/>
    </row>
    <row r="78" spans="3:11" ht="15" customHeight="1" x14ac:dyDescent="0.25">
      <c r="C78" s="17" t="s">
        <v>159</v>
      </c>
      <c r="D78" s="10">
        <v>2613879927</v>
      </c>
      <c r="E78" s="10">
        <v>2913267306</v>
      </c>
      <c r="F78" s="10">
        <v>3260993930</v>
      </c>
      <c r="G78" s="19">
        <f>F78</f>
        <v>3260993930</v>
      </c>
      <c r="H78" s="19">
        <f>G78</f>
        <v>3260993930</v>
      </c>
      <c r="I78" s="19">
        <f>H78</f>
        <v>3260993930</v>
      </c>
      <c r="J78" s="19">
        <f>I78</f>
        <v>3260993930</v>
      </c>
      <c r="K78" s="19">
        <f>J78</f>
        <v>3260993930</v>
      </c>
    </row>
    <row r="79" spans="3:11" ht="15" customHeight="1" x14ac:dyDescent="0.25">
      <c r="C79" s="17" t="s">
        <v>160</v>
      </c>
      <c r="D79" s="10">
        <v>20765534</v>
      </c>
      <c r="E79" s="10">
        <v>26425248</v>
      </c>
      <c r="F79" s="10">
        <v>30901794</v>
      </c>
      <c r="G79" s="19">
        <f>G280*G281</f>
        <v>30901794</v>
      </c>
      <c r="H79" s="19">
        <f>H280*H281</f>
        <v>30901794</v>
      </c>
      <c r="I79" s="19">
        <f>I280*I281</f>
        <v>30901794</v>
      </c>
      <c r="J79" s="19">
        <f>J280*J281</f>
        <v>30901794</v>
      </c>
      <c r="K79" s="19">
        <f>K280*K281</f>
        <v>30901794</v>
      </c>
    </row>
    <row r="80" spans="3:11" ht="15" customHeight="1" x14ac:dyDescent="0.25">
      <c r="C80" s="17" t="s">
        <v>161</v>
      </c>
      <c r="D80" s="10">
        <v>241425813</v>
      </c>
      <c r="E80" s="10">
        <v>397661913</v>
      </c>
      <c r="F80" s="10">
        <v>571060350</v>
      </c>
      <c r="G80" s="19">
        <f t="shared" ref="G80:K82" si="22">G212</f>
        <v>556548520.39033389</v>
      </c>
      <c r="H80" s="19">
        <f t="shared" si="22"/>
        <v>600585653.32622421</v>
      </c>
      <c r="I80" s="19">
        <f t="shared" si="22"/>
        <v>655641958.59785664</v>
      </c>
      <c r="J80" s="19">
        <f t="shared" si="22"/>
        <v>688693879.03753614</v>
      </c>
      <c r="K80" s="19">
        <f t="shared" si="22"/>
        <v>711910937.48421001</v>
      </c>
    </row>
    <row r="81" spans="3:12" ht="15" customHeight="1" x14ac:dyDescent="0.25">
      <c r="C81" s="17" t="s">
        <v>162</v>
      </c>
      <c r="D81" s="10">
        <v>295685111</v>
      </c>
      <c r="E81" s="10">
        <v>429516144</v>
      </c>
      <c r="F81" s="10">
        <v>1102966124</v>
      </c>
      <c r="G81" s="19">
        <f t="shared" si="22"/>
        <v>1157209038.0985932</v>
      </c>
      <c r="H81" s="19">
        <f t="shared" si="22"/>
        <v>1248773684.0878069</v>
      </c>
      <c r="I81" s="19">
        <f t="shared" si="22"/>
        <v>1363250053.5873866</v>
      </c>
      <c r="J81" s="19">
        <f t="shared" si="22"/>
        <v>1431973587.3998344</v>
      </c>
      <c r="K81" s="19">
        <f t="shared" si="22"/>
        <v>1480247886.7434227</v>
      </c>
    </row>
    <row r="82" spans="3:12" ht="15" customHeight="1" x14ac:dyDescent="0.25">
      <c r="C82" s="17" t="s">
        <v>163</v>
      </c>
      <c r="D82" s="10">
        <v>192240116</v>
      </c>
      <c r="E82" s="10">
        <v>135401296</v>
      </c>
      <c r="F82" s="10">
        <v>386154612</v>
      </c>
      <c r="G82" s="19">
        <f t="shared" si="22"/>
        <v>405145359.75889635</v>
      </c>
      <c r="H82" s="19">
        <f t="shared" si="22"/>
        <v>437202654.69797659</v>
      </c>
      <c r="I82" s="19">
        <f t="shared" si="22"/>
        <v>477281472.24766123</v>
      </c>
      <c r="J82" s="19">
        <f t="shared" si="22"/>
        <v>501341965.99915802</v>
      </c>
      <c r="K82" s="19">
        <f t="shared" si="22"/>
        <v>518243068.33309996</v>
      </c>
    </row>
    <row r="83" spans="3:12" ht="15" customHeight="1" x14ac:dyDescent="0.25">
      <c r="C83" s="17" t="s">
        <v>164</v>
      </c>
      <c r="D83" s="10">
        <v>3291062</v>
      </c>
      <c r="E83" s="10">
        <v>3063879</v>
      </c>
      <c r="F83" s="10">
        <v>75958208</v>
      </c>
      <c r="G83" s="19">
        <f>G306*G307</f>
        <v>96629531.818760052</v>
      </c>
      <c r="H83" s="19">
        <f>H306*H307</f>
        <v>122926365.23906359</v>
      </c>
      <c r="I83" s="19">
        <f>I306*I307</f>
        <v>156379638.67226326</v>
      </c>
      <c r="J83" s="19">
        <f>J306*J307</f>
        <v>198936911.08257407</v>
      </c>
      <c r="K83" s="19">
        <f>K306*K307</f>
        <v>253075751.59460622</v>
      </c>
    </row>
    <row r="84" spans="3:12" ht="15" customHeight="1" x14ac:dyDescent="0.25">
      <c r="C84" s="17" t="s">
        <v>165</v>
      </c>
      <c r="D84" s="10">
        <v>281602367</v>
      </c>
      <c r="E84" s="10">
        <v>255256008</v>
      </c>
      <c r="F84" s="10">
        <v>54344705</v>
      </c>
      <c r="G84" s="19">
        <f>G215</f>
        <v>57017330.297264703</v>
      </c>
      <c r="H84" s="19">
        <f>H215</f>
        <v>61528850.249180511</v>
      </c>
      <c r="I84" s="19">
        <f>I215</f>
        <v>67169263.308617011</v>
      </c>
      <c r="J84" s="19">
        <f>J215</f>
        <v>70555369.273549616</v>
      </c>
      <c r="K84" s="19">
        <f>K215</f>
        <v>72933912.45799017</v>
      </c>
    </row>
    <row r="85" spans="3:12" ht="15" customHeight="1" x14ac:dyDescent="0.25">
      <c r="C85" s="11" t="s">
        <v>166</v>
      </c>
      <c r="D85" s="12">
        <f t="shared" ref="D85:K85" si="23">SUM(D78:D84)</f>
        <v>3648889930</v>
      </c>
      <c r="E85" s="12">
        <f t="shared" si="23"/>
        <v>4160591794</v>
      </c>
      <c r="F85" s="12">
        <f t="shared" si="23"/>
        <v>5482379723</v>
      </c>
      <c r="G85" s="12">
        <f t="shared" si="23"/>
        <v>5564445504.3638487</v>
      </c>
      <c r="H85" s="12">
        <f t="shared" si="23"/>
        <v>5762912931.6002512</v>
      </c>
      <c r="I85" s="12">
        <f t="shared" si="23"/>
        <v>6011618110.413785</v>
      </c>
      <c r="J85" s="12">
        <f t="shared" si="23"/>
        <v>6183397436.7926521</v>
      </c>
      <c r="K85" s="12">
        <f t="shared" si="23"/>
        <v>6328307280.6133289</v>
      </c>
      <c r="L85" s="18"/>
    </row>
    <row r="86" spans="3:12" ht="15" customHeight="1" x14ac:dyDescent="0.25">
      <c r="D86" s="258"/>
      <c r="E86" s="258"/>
      <c r="F86" s="258"/>
      <c r="G86" s="259"/>
      <c r="H86" s="259"/>
      <c r="I86" s="259"/>
      <c r="J86" s="259"/>
      <c r="K86" s="259"/>
    </row>
    <row r="87" spans="3:12" ht="15" customHeight="1" x14ac:dyDescent="0.25">
      <c r="C87" s="13" t="s">
        <v>167</v>
      </c>
      <c r="E87" s="18"/>
      <c r="F87" s="18"/>
      <c r="G87" s="18"/>
      <c r="H87" s="18"/>
      <c r="I87" s="18"/>
      <c r="J87" s="18"/>
      <c r="K87" s="18"/>
    </row>
    <row r="88" spans="3:12" ht="15" customHeight="1" x14ac:dyDescent="0.25">
      <c r="C88" s="17" t="s">
        <v>160</v>
      </c>
      <c r="D88" s="10">
        <v>127711334</v>
      </c>
      <c r="E88" s="10">
        <v>165150556</v>
      </c>
      <c r="F88" s="10">
        <v>119068258</v>
      </c>
      <c r="G88" s="19">
        <f>G280*(1-G281)</f>
        <v>119068258</v>
      </c>
      <c r="H88" s="19">
        <f>H280*(1-H281)</f>
        <v>119068258</v>
      </c>
      <c r="I88" s="19">
        <f>I280*(1-I281)</f>
        <v>119068258</v>
      </c>
      <c r="J88" s="19">
        <f>J280*(1-J281)</f>
        <v>119068258</v>
      </c>
      <c r="K88" s="19">
        <f>K280*(1-K281)</f>
        <v>119068258</v>
      </c>
    </row>
    <row r="89" spans="3:12" ht="15" customHeight="1" x14ac:dyDescent="0.25">
      <c r="C89" s="17" t="s">
        <v>168</v>
      </c>
      <c r="D89" s="10">
        <v>6852611239</v>
      </c>
      <c r="E89" s="10">
        <v>7767168024</v>
      </c>
      <c r="F89" s="10">
        <v>7169688279</v>
      </c>
      <c r="G89" s="19">
        <f>F89</f>
        <v>7169688279</v>
      </c>
      <c r="H89" s="19">
        <f>G89</f>
        <v>7169688279</v>
      </c>
      <c r="I89" s="19">
        <f>H89</f>
        <v>7169688279</v>
      </c>
      <c r="J89" s="19">
        <f>I89</f>
        <v>7169688279</v>
      </c>
      <c r="K89" s="19">
        <f>J89</f>
        <v>7169688279</v>
      </c>
    </row>
    <row r="90" spans="3:12" ht="15" customHeight="1" x14ac:dyDescent="0.25">
      <c r="C90" s="17" t="s">
        <v>169</v>
      </c>
      <c r="D90" s="10">
        <v>307457991</v>
      </c>
      <c r="E90" s="10">
        <v>531376168</v>
      </c>
      <c r="F90" s="10">
        <v>616126433</v>
      </c>
      <c r="G90" s="19">
        <f>G306*(1-G307)</f>
        <v>783799543.58523881</v>
      </c>
      <c r="H90" s="19">
        <f>H306*(1-H307)</f>
        <v>997103340.51587212</v>
      </c>
      <c r="I90" s="19">
        <f>I306*(1-I307)</f>
        <v>1268455793.0720329</v>
      </c>
      <c r="J90" s="19">
        <f>J306*(1-J307)</f>
        <v>1613654306.0276582</v>
      </c>
      <c r="K90" s="19">
        <f>K306*(1-K307)</f>
        <v>2052795401.7659132</v>
      </c>
    </row>
    <row r="91" spans="3:12" ht="15" customHeight="1" x14ac:dyDescent="0.25">
      <c r="C91" s="11" t="s">
        <v>170</v>
      </c>
      <c r="D91" s="12">
        <f t="shared" ref="D91:K91" si="24">SUM(D88:D90)</f>
        <v>7287780564</v>
      </c>
      <c r="E91" s="12">
        <f t="shared" si="24"/>
        <v>8463694748</v>
      </c>
      <c r="F91" s="12">
        <f t="shared" si="24"/>
        <v>7904882970</v>
      </c>
      <c r="G91" s="12">
        <f t="shared" si="24"/>
        <v>8072556080.5852385</v>
      </c>
      <c r="H91" s="12">
        <f t="shared" si="24"/>
        <v>8285859877.515872</v>
      </c>
      <c r="I91" s="12">
        <f t="shared" si="24"/>
        <v>8557212330.0720329</v>
      </c>
      <c r="J91" s="12">
        <f t="shared" si="24"/>
        <v>8902410843.0276585</v>
      </c>
      <c r="K91" s="12">
        <f t="shared" si="24"/>
        <v>9341551938.765913</v>
      </c>
    </row>
    <row r="92" spans="3:12" ht="15" customHeight="1" x14ac:dyDescent="0.25">
      <c r="D92" s="1"/>
      <c r="E92" s="1"/>
      <c r="F92" s="1"/>
      <c r="G92" s="210"/>
      <c r="H92" s="210"/>
      <c r="I92" s="210"/>
      <c r="J92" s="210"/>
      <c r="K92" s="210"/>
    </row>
    <row r="93" spans="3:12" ht="15" customHeight="1" x14ac:dyDescent="0.25">
      <c r="C93" s="13" t="s">
        <v>171</v>
      </c>
      <c r="D93" s="25">
        <f t="shared" ref="D93:K93" si="25">D85+D91</f>
        <v>10936670494</v>
      </c>
      <c r="E93" s="25">
        <f t="shared" si="25"/>
        <v>12624286542</v>
      </c>
      <c r="F93" s="25">
        <f t="shared" si="25"/>
        <v>13387262693</v>
      </c>
      <c r="G93" s="25">
        <f t="shared" si="25"/>
        <v>13637001584.949087</v>
      </c>
      <c r="H93" s="25">
        <f t="shared" si="25"/>
        <v>14048772809.116123</v>
      </c>
      <c r="I93" s="25">
        <f t="shared" si="25"/>
        <v>14568830440.485817</v>
      </c>
      <c r="J93" s="25">
        <f t="shared" si="25"/>
        <v>15085808279.820311</v>
      </c>
      <c r="K93" s="25">
        <f t="shared" si="25"/>
        <v>15669859219.379242</v>
      </c>
    </row>
    <row r="94" spans="3:12" ht="15" customHeight="1" x14ac:dyDescent="0.25">
      <c r="E94" s="18"/>
      <c r="F94" s="18"/>
      <c r="G94" s="18"/>
      <c r="H94" s="18"/>
      <c r="I94" s="18"/>
      <c r="J94" s="18"/>
      <c r="K94" s="18"/>
    </row>
    <row r="95" spans="3:12" ht="15" customHeight="1" x14ac:dyDescent="0.25">
      <c r="C95" s="13" t="s">
        <v>172</v>
      </c>
      <c r="E95" s="18"/>
      <c r="F95" s="18"/>
      <c r="G95" s="18"/>
      <c r="H95" s="18"/>
      <c r="I95" s="18"/>
      <c r="J95" s="18"/>
      <c r="K95" s="18"/>
    </row>
    <row r="96" spans="3:12" ht="15" customHeight="1" x14ac:dyDescent="0.25">
      <c r="C96" s="17" t="s">
        <v>173</v>
      </c>
      <c r="D96" s="10">
        <v>20791840110</v>
      </c>
      <c r="E96" s="10">
        <v>20791840110</v>
      </c>
      <c r="F96" s="10">
        <v>28681402630</v>
      </c>
      <c r="G96" s="19">
        <f t="shared" ref="G96:K99" si="26">F96</f>
        <v>28681402630</v>
      </c>
      <c r="H96" s="19">
        <f t="shared" si="26"/>
        <v>28681402630</v>
      </c>
      <c r="I96" s="19">
        <f t="shared" si="26"/>
        <v>28681402630</v>
      </c>
      <c r="J96" s="19">
        <f t="shared" si="26"/>
        <v>28681402630</v>
      </c>
      <c r="K96" s="19">
        <f t="shared" si="26"/>
        <v>28681402630</v>
      </c>
    </row>
    <row r="97" spans="3:11" ht="15" customHeight="1" x14ac:dyDescent="0.25">
      <c r="C97" s="17" t="s">
        <v>174</v>
      </c>
      <c r="D97" s="10">
        <v>734200772</v>
      </c>
      <c r="E97" s="10">
        <v>1212315306</v>
      </c>
      <c r="F97" s="10">
        <v>1968302274</v>
      </c>
      <c r="G97" s="19">
        <f t="shared" si="26"/>
        <v>1968302274</v>
      </c>
      <c r="H97" s="19">
        <f t="shared" si="26"/>
        <v>1968302274</v>
      </c>
      <c r="I97" s="19">
        <f t="shared" si="26"/>
        <v>1968302274</v>
      </c>
      <c r="J97" s="19">
        <f t="shared" si="26"/>
        <v>1968302274</v>
      </c>
      <c r="K97" s="19">
        <f t="shared" si="26"/>
        <v>1968302274</v>
      </c>
    </row>
    <row r="98" spans="3:11" ht="15" customHeight="1" x14ac:dyDescent="0.25">
      <c r="C98" s="17" t="s">
        <v>175</v>
      </c>
      <c r="D98" s="10">
        <v>352383742</v>
      </c>
      <c r="E98" s="10">
        <v>352383742</v>
      </c>
      <c r="F98" s="10">
        <v>352383742</v>
      </c>
      <c r="G98" s="19">
        <f t="shared" si="26"/>
        <v>352383742</v>
      </c>
      <c r="H98" s="19">
        <f t="shared" si="26"/>
        <v>352383742</v>
      </c>
      <c r="I98" s="19">
        <f t="shared" si="26"/>
        <v>352383742</v>
      </c>
      <c r="J98" s="19">
        <f t="shared" si="26"/>
        <v>352383742</v>
      </c>
      <c r="K98" s="19">
        <f t="shared" si="26"/>
        <v>352383742</v>
      </c>
    </row>
    <row r="99" spans="3:11" ht="15" customHeight="1" x14ac:dyDescent="0.25">
      <c r="C99" s="17" t="s">
        <v>176</v>
      </c>
      <c r="D99" s="10">
        <v>7889562509</v>
      </c>
      <c r="E99" s="10">
        <v>7889562509</v>
      </c>
      <c r="F99" s="10">
        <v>0</v>
      </c>
      <c r="G99" s="19">
        <f t="shared" si="26"/>
        <v>0</v>
      </c>
      <c r="H99" s="19">
        <f t="shared" si="26"/>
        <v>0</v>
      </c>
      <c r="I99" s="19">
        <f t="shared" si="26"/>
        <v>0</v>
      </c>
      <c r="J99" s="19">
        <f t="shared" si="26"/>
        <v>0</v>
      </c>
      <c r="K99" s="19">
        <f t="shared" si="26"/>
        <v>0</v>
      </c>
    </row>
    <row r="100" spans="3:11" ht="15" customHeight="1" x14ac:dyDescent="0.25">
      <c r="C100" s="17" t="s">
        <v>177</v>
      </c>
      <c r="D100" s="10">
        <v>13484740108</v>
      </c>
      <c r="E100" s="10">
        <v>15132261531</v>
      </c>
      <c r="F100" s="10">
        <v>16804480294</v>
      </c>
      <c r="G100" s="19">
        <f>G255</f>
        <v>19482228288.167267</v>
      </c>
      <c r="H100" s="19">
        <f>H255</f>
        <v>22377954710.29578</v>
      </c>
      <c r="I100" s="19">
        <f>I255</f>
        <v>25580798138.102234</v>
      </c>
      <c r="J100" s="19">
        <f>J255</f>
        <v>28951278692.65921</v>
      </c>
      <c r="K100" s="19">
        <f>K255</f>
        <v>32466718036.685616</v>
      </c>
    </row>
    <row r="101" spans="3:11" ht="15" customHeight="1" x14ac:dyDescent="0.25">
      <c r="C101" s="26" t="s">
        <v>178</v>
      </c>
      <c r="D101" s="12">
        <f t="shared" ref="D101:K101" si="27">SUM(D96:D100)</f>
        <v>43252727241</v>
      </c>
      <c r="E101" s="12">
        <f t="shared" si="27"/>
        <v>45378363198</v>
      </c>
      <c r="F101" s="12">
        <f t="shared" si="27"/>
        <v>47806568940</v>
      </c>
      <c r="G101" s="12">
        <f t="shared" si="27"/>
        <v>50484316934.167267</v>
      </c>
      <c r="H101" s="12">
        <f t="shared" si="27"/>
        <v>53380043356.295776</v>
      </c>
      <c r="I101" s="12">
        <f t="shared" si="27"/>
        <v>56582886784.102234</v>
      </c>
      <c r="J101" s="12">
        <f t="shared" si="27"/>
        <v>59953367338.65921</v>
      </c>
      <c r="K101" s="12">
        <f t="shared" si="27"/>
        <v>63468806682.685616</v>
      </c>
    </row>
    <row r="102" spans="3:11" ht="15" customHeight="1" x14ac:dyDescent="0.25">
      <c r="E102" s="19"/>
      <c r="F102" s="19"/>
      <c r="G102" s="19"/>
      <c r="H102" s="19"/>
      <c r="I102" s="19"/>
      <c r="J102" s="19"/>
      <c r="K102" s="19"/>
    </row>
    <row r="103" spans="3:11" ht="15" customHeight="1" x14ac:dyDescent="0.25">
      <c r="C103" s="13" t="s">
        <v>179</v>
      </c>
      <c r="D103" s="14">
        <f t="shared" ref="D103:K103" si="28">D93+D101</f>
        <v>54189397735</v>
      </c>
      <c r="E103" s="14">
        <f t="shared" si="28"/>
        <v>58002649740</v>
      </c>
      <c r="F103" s="14">
        <f t="shared" si="28"/>
        <v>61193831633</v>
      </c>
      <c r="G103" s="14">
        <f t="shared" si="28"/>
        <v>64121318519.116356</v>
      </c>
      <c r="H103" s="14">
        <f t="shared" si="28"/>
        <v>67428816165.411896</v>
      </c>
      <c r="I103" s="14">
        <f t="shared" si="28"/>
        <v>71151717224.588043</v>
      </c>
      <c r="J103" s="14">
        <f t="shared" si="28"/>
        <v>75039175618.479523</v>
      </c>
      <c r="K103" s="14">
        <f t="shared" si="28"/>
        <v>79138665902.06485</v>
      </c>
    </row>
    <row r="104" spans="3:11" ht="15" customHeight="1" x14ac:dyDescent="0.25">
      <c r="E104" s="18"/>
      <c r="F104" s="18"/>
      <c r="G104" s="18"/>
      <c r="H104" s="18"/>
      <c r="I104" s="18"/>
      <c r="J104" s="18"/>
      <c r="K104" s="18"/>
    </row>
    <row r="105" spans="3:11" ht="15" customHeight="1" x14ac:dyDescent="0.25">
      <c r="C105" s="6" t="s">
        <v>180</v>
      </c>
      <c r="D105" s="262">
        <f t="shared" ref="D105:K105" si="29">D73-D103</f>
        <v>0</v>
      </c>
      <c r="E105" s="262">
        <f t="shared" si="29"/>
        <v>0</v>
      </c>
      <c r="F105" s="262">
        <f t="shared" si="29"/>
        <v>0</v>
      </c>
      <c r="G105" s="262">
        <f t="shared" si="29"/>
        <v>0</v>
      </c>
      <c r="H105" s="262">
        <f t="shared" si="29"/>
        <v>0</v>
      </c>
      <c r="I105" s="262">
        <f t="shared" si="29"/>
        <v>0</v>
      </c>
      <c r="J105" s="262">
        <f t="shared" si="29"/>
        <v>0</v>
      </c>
      <c r="K105" s="262">
        <f t="shared" si="29"/>
        <v>0</v>
      </c>
    </row>
    <row r="106" spans="3:11" ht="15" customHeight="1" x14ac:dyDescent="0.25"/>
    <row r="107" spans="3:11" x14ac:dyDescent="0.25">
      <c r="C107" s="39" t="s">
        <v>181</v>
      </c>
      <c r="D107" s="245"/>
      <c r="E107" s="46"/>
      <c r="F107" s="46"/>
      <c r="G107" s="46"/>
      <c r="H107" s="46"/>
      <c r="I107" s="46"/>
      <c r="J107" s="46"/>
      <c r="K107" s="46"/>
    </row>
    <row r="108" spans="3:11" x14ac:dyDescent="0.25">
      <c r="C108" t="s">
        <v>111</v>
      </c>
      <c r="D108" s="41"/>
      <c r="E108" s="41"/>
      <c r="F108" s="42"/>
      <c r="G108" s="42">
        <f>G$13</f>
        <v>2026</v>
      </c>
      <c r="H108" s="42">
        <f>H$13</f>
        <v>2027</v>
      </c>
      <c r="I108" s="42">
        <f>I$13</f>
        <v>2028</v>
      </c>
      <c r="J108" s="42">
        <f>J$13</f>
        <v>2029</v>
      </c>
      <c r="K108" s="42">
        <f>K$13</f>
        <v>2030</v>
      </c>
    </row>
    <row r="109" spans="3:11" x14ac:dyDescent="0.25">
      <c r="C109" s="43" t="s">
        <v>112</v>
      </c>
      <c r="D109" s="247"/>
      <c r="E109" s="44"/>
      <c r="F109" s="227"/>
      <c r="G109" s="227">
        <f>G$14</f>
        <v>46387</v>
      </c>
      <c r="H109" s="227">
        <f>H$14</f>
        <v>46752</v>
      </c>
      <c r="I109" s="227">
        <f>I$14</f>
        <v>47118</v>
      </c>
      <c r="J109" s="227">
        <f>J$14</f>
        <v>47483</v>
      </c>
      <c r="K109" s="227">
        <f>K$14</f>
        <v>47848</v>
      </c>
    </row>
    <row r="110" spans="3:11" ht="15" customHeight="1" x14ac:dyDescent="0.25"/>
    <row r="111" spans="3:11" s="13" customFormat="1" ht="15" customHeight="1" x14ac:dyDescent="0.25">
      <c r="C111" s="17" t="s">
        <v>182</v>
      </c>
      <c r="D111" s="198"/>
      <c r="E111" s="198"/>
      <c r="F111" s="200"/>
      <c r="G111" s="200">
        <f>G35</f>
        <v>11615299123.329996</v>
      </c>
      <c r="H111" s="200">
        <f>H35</f>
        <v>12374715829.018667</v>
      </c>
      <c r="I111" s="200">
        <f>I35</f>
        <v>13540804115.758194</v>
      </c>
      <c r="J111" s="200">
        <f>J35</f>
        <v>14410109558.622805</v>
      </c>
      <c r="K111" s="200">
        <f>K35</f>
        <v>15118746725.577112</v>
      </c>
    </row>
    <row r="112" spans="3:11" ht="15" customHeight="1" x14ac:dyDescent="0.25">
      <c r="C112" s="17" t="s">
        <v>183</v>
      </c>
      <c r="D112" s="200"/>
      <c r="E112" s="199"/>
      <c r="F112" s="199"/>
      <c r="G112" s="199">
        <f>G145</f>
        <v>2449189992.8921218</v>
      </c>
      <c r="H112" s="199">
        <f>H145</f>
        <v>2653350172.2898774</v>
      </c>
      <c r="I112" s="199">
        <f>I145</f>
        <v>2717078830.146472</v>
      </c>
      <c r="J112" s="199">
        <f>J145</f>
        <v>2734330478.0190458</v>
      </c>
      <c r="K112" s="199">
        <f>K145</f>
        <v>2760129186.8183761</v>
      </c>
    </row>
    <row r="113" spans="3:11" ht="15" customHeight="1" x14ac:dyDescent="0.25">
      <c r="C113" s="17" t="s">
        <v>184</v>
      </c>
      <c r="D113" s="200"/>
      <c r="E113" s="199"/>
      <c r="F113" s="199"/>
      <c r="G113" s="199">
        <f>G153</f>
        <v>20471414.261427142</v>
      </c>
      <c r="H113" s="199">
        <f>H153</f>
        <v>22091223.421253644</v>
      </c>
      <c r="I113" s="199">
        <f>I153</f>
        <v>24116348.619913246</v>
      </c>
      <c r="J113" s="199">
        <f>J153</f>
        <v>25332090.878974263</v>
      </c>
      <c r="K113" s="199">
        <f>K153</f>
        <v>26186079.352540389</v>
      </c>
    </row>
    <row r="114" spans="3:11" ht="15" customHeight="1" x14ac:dyDescent="0.25">
      <c r="C114" s="17" t="s">
        <v>185</v>
      </c>
      <c r="D114" s="200"/>
      <c r="E114" s="199"/>
      <c r="F114" s="199"/>
      <c r="G114" s="199">
        <f>G304</f>
        <v>207625392.29999998</v>
      </c>
      <c r="H114" s="199">
        <f>H304</f>
        <v>264128722.62119964</v>
      </c>
      <c r="I114" s="199">
        <f>I304</f>
        <v>336008911.72648072</v>
      </c>
      <c r="J114" s="199">
        <f>J304</f>
        <v>427450629.52328879</v>
      </c>
      <c r="K114" s="199">
        <f>K304</f>
        <v>543777365.13306963</v>
      </c>
    </row>
    <row r="115" spans="3:11" ht="15" customHeight="1" x14ac:dyDescent="0.25">
      <c r="C115" s="17" t="s">
        <v>186</v>
      </c>
      <c r="D115" s="200"/>
      <c r="E115" s="199"/>
      <c r="F115" s="199"/>
      <c r="G115" s="199">
        <f>-G305</f>
        <v>-19280957.896001041</v>
      </c>
      <c r="H115" s="199">
        <f>-H305</f>
        <v>-24528092.270262688</v>
      </c>
      <c r="I115" s="199">
        <f>-I305</f>
        <v>-31203185.737120487</v>
      </c>
      <c r="J115" s="199">
        <f>-J305</f>
        <v>-39694844.157352477</v>
      </c>
      <c r="K115" s="199">
        <f>-K305</f>
        <v>-50497428.882782668</v>
      </c>
    </row>
    <row r="116" spans="3:11" s="13" customFormat="1" ht="15" customHeight="1" x14ac:dyDescent="0.25">
      <c r="C116" s="13" t="s">
        <v>187</v>
      </c>
      <c r="D116" s="198"/>
      <c r="E116" s="198"/>
      <c r="F116" s="198"/>
      <c r="G116" s="198">
        <f>SUM(G111:G115)</f>
        <v>14273304964.887543</v>
      </c>
      <c r="H116" s="198">
        <f>SUM(H111:H115)</f>
        <v>15289757855.080736</v>
      </c>
      <c r="I116" s="198">
        <f>SUM(I111:I115)</f>
        <v>16586805020.513941</v>
      </c>
      <c r="J116" s="198">
        <f>SUM(J111:J115)</f>
        <v>17557527912.886761</v>
      </c>
      <c r="K116" s="198">
        <f>SUM(K111:K115)</f>
        <v>18398341927.998314</v>
      </c>
    </row>
    <row r="117" spans="3:11" s="13" customFormat="1" ht="15" customHeight="1" x14ac:dyDescent="0.25">
      <c r="D117" s="198"/>
      <c r="E117" s="202"/>
      <c r="F117" s="202"/>
      <c r="G117" s="203"/>
      <c r="H117" s="203"/>
      <c r="I117" s="203"/>
      <c r="J117" s="203"/>
      <c r="K117" s="203"/>
    </row>
    <row r="118" spans="3:11" ht="15" customHeight="1" x14ac:dyDescent="0.25">
      <c r="C118" s="196" t="s">
        <v>188</v>
      </c>
      <c r="D118" s="199"/>
      <c r="E118" s="199"/>
      <c r="F118" s="199"/>
      <c r="G118" s="199"/>
      <c r="H118" s="199"/>
      <c r="I118" s="199"/>
      <c r="J118" s="199"/>
      <c r="K118" s="199"/>
    </row>
    <row r="119" spans="3:11" ht="15" customHeight="1" x14ac:dyDescent="0.25">
      <c r="C119" s="17" t="s">
        <v>189</v>
      </c>
      <c r="D119" s="199"/>
      <c r="E119" s="199"/>
      <c r="F119" s="199"/>
      <c r="G119" s="199">
        <f>G220</f>
        <v>95097782.691394329</v>
      </c>
      <c r="H119" s="199">
        <f>H220</f>
        <v>-212762517.25257921</v>
      </c>
      <c r="I119" s="199">
        <f>I220</f>
        <v>-266000925.11181879</v>
      </c>
      <c r="J119" s="199">
        <f>J220</f>
        <v>-159688184.1289649</v>
      </c>
      <c r="K119" s="199">
        <f>K220</f>
        <v>-112171693.95441532</v>
      </c>
    </row>
    <row r="120" spans="3:11" s="13" customFormat="1" ht="15" customHeight="1" x14ac:dyDescent="0.25">
      <c r="C120" s="13" t="s">
        <v>190</v>
      </c>
      <c r="D120" s="202"/>
      <c r="E120" s="202"/>
      <c r="F120" s="202"/>
      <c r="G120" s="202">
        <f>SUM(G119)</f>
        <v>95097782.691394329</v>
      </c>
      <c r="H120" s="202">
        <f>SUM(H119)</f>
        <v>-212762517.25257921</v>
      </c>
      <c r="I120" s="202">
        <f>SUM(I119)</f>
        <v>-266000925.11181879</v>
      </c>
      <c r="J120" s="202">
        <f>SUM(J119)</f>
        <v>-159688184.1289649</v>
      </c>
      <c r="K120" s="202">
        <f>SUM(K119)</f>
        <v>-112171693.95441532</v>
      </c>
    </row>
    <row r="121" spans="3:11" s="13" customFormat="1" ht="15" customHeight="1" x14ac:dyDescent="0.25">
      <c r="C121" s="13" t="s">
        <v>191</v>
      </c>
      <c r="D121" s="198"/>
      <c r="E121" s="198"/>
      <c r="F121" s="198"/>
      <c r="G121" s="198">
        <f>G116+G120</f>
        <v>14368402747.578938</v>
      </c>
      <c r="H121" s="198">
        <f>H116+H120</f>
        <v>15076995337.828157</v>
      </c>
      <c r="I121" s="198">
        <f>I116+I120</f>
        <v>16320804095.402122</v>
      </c>
      <c r="J121" s="198">
        <f>J116+J120</f>
        <v>17397839728.757797</v>
      </c>
      <c r="K121" s="198">
        <f>K116+K120</f>
        <v>18286170234.0439</v>
      </c>
    </row>
    <row r="122" spans="3:11" ht="15" customHeight="1" x14ac:dyDescent="0.25">
      <c r="D122" s="200"/>
      <c r="E122" s="201"/>
      <c r="F122" s="201"/>
      <c r="G122" s="201"/>
      <c r="H122" s="201"/>
      <c r="I122" s="201"/>
      <c r="J122" s="201"/>
      <c r="K122" s="201"/>
    </row>
    <row r="123" spans="3:11" x14ac:dyDescent="0.25">
      <c r="C123" s="221" t="s">
        <v>192</v>
      </c>
      <c r="D123" s="248"/>
      <c r="E123" s="222"/>
      <c r="F123" s="222"/>
      <c r="G123" s="222"/>
      <c r="H123" s="222"/>
      <c r="I123" s="222"/>
      <c r="J123" s="222"/>
      <c r="K123" s="222"/>
    </row>
    <row r="124" spans="3:11" ht="15" customHeight="1" x14ac:dyDescent="0.25">
      <c r="C124" s="17" t="s">
        <v>193</v>
      </c>
      <c r="D124" s="200"/>
      <c r="E124" s="199"/>
      <c r="F124" s="199"/>
      <c r="G124" s="199">
        <f>-G144</f>
        <v>-5632848770.2400017</v>
      </c>
      <c r="H124" s="199">
        <f>-H144</f>
        <v>-3647130161.8659363</v>
      </c>
      <c r="I124" s="199">
        <f>-I144</f>
        <v>-2986099754.477797</v>
      </c>
      <c r="J124" s="199">
        <f>-J144</f>
        <v>-3136633639.9555001</v>
      </c>
      <c r="K124" s="199">
        <f>-K144</f>
        <v>-3242374969.6830454</v>
      </c>
    </row>
    <row r="125" spans="3:11" ht="15" customHeight="1" x14ac:dyDescent="0.25">
      <c r="C125" s="17" t="s">
        <v>194</v>
      </c>
      <c r="D125" s="200"/>
      <c r="E125" s="199"/>
      <c r="F125" s="199"/>
      <c r="G125" s="199">
        <f>-G292</f>
        <v>-32456645.951598145</v>
      </c>
      <c r="H125" s="199">
        <f>-H292</f>
        <v>-35024791.549076729</v>
      </c>
      <c r="I125" s="199">
        <f>-I292</f>
        <v>-38235550.255884916</v>
      </c>
      <c r="J125" s="199">
        <f>-J292</f>
        <v>-40163063.204762578</v>
      </c>
      <c r="K125" s="199">
        <f>-K292</f>
        <v>-41517029.33427947</v>
      </c>
    </row>
    <row r="126" spans="3:11" ht="15" customHeight="1" x14ac:dyDescent="0.25">
      <c r="C126" s="13" t="s">
        <v>195</v>
      </c>
      <c r="D126" s="200"/>
      <c r="E126" s="202"/>
      <c r="F126" s="202"/>
      <c r="G126" s="202">
        <f>SUM(G124:G125)</f>
        <v>-5665305416.1915998</v>
      </c>
      <c r="H126" s="202">
        <f>SUM(H124:H125)</f>
        <v>-3682154953.4150128</v>
      </c>
      <c r="I126" s="202">
        <f>SUM(I124:I125)</f>
        <v>-3024335304.7336822</v>
      </c>
      <c r="J126" s="202">
        <f>SUM(J124:J125)</f>
        <v>-3176796703.1602626</v>
      </c>
      <c r="K126" s="202">
        <f>SUM(K124:K125)</f>
        <v>-3283891999.0173249</v>
      </c>
    </row>
    <row r="127" spans="3:11" ht="15" customHeight="1" x14ac:dyDescent="0.25">
      <c r="D127" s="200"/>
      <c r="E127" s="204"/>
      <c r="F127" s="204"/>
      <c r="G127" s="201"/>
      <c r="H127" s="201"/>
      <c r="I127" s="201"/>
      <c r="J127" s="201"/>
      <c r="K127" s="201"/>
    </row>
    <row r="128" spans="3:11" s="35" customFormat="1" ht="15" customHeight="1" x14ac:dyDescent="0.25">
      <c r="C128" s="45" t="s">
        <v>196</v>
      </c>
      <c r="D128" s="249"/>
      <c r="E128" s="205"/>
      <c r="F128" s="205"/>
      <c r="G128" s="205"/>
      <c r="H128" s="205"/>
      <c r="I128" s="205"/>
      <c r="J128" s="205"/>
      <c r="K128" s="205"/>
    </row>
    <row r="129" spans="3:11" ht="15" customHeight="1" x14ac:dyDescent="0.25">
      <c r="C129" s="17" t="s">
        <v>197</v>
      </c>
      <c r="D129" s="200"/>
      <c r="E129" s="199"/>
      <c r="F129" s="199"/>
      <c r="G129" s="199">
        <f t="shared" ref="G129:K130" si="30">-G253</f>
        <v>-7783044711.3902178</v>
      </c>
      <c r="H129" s="199">
        <f t="shared" si="30"/>
        <v>-8291905836.0322742</v>
      </c>
      <c r="I129" s="199">
        <f t="shared" si="30"/>
        <v>-9073264729.7428169</v>
      </c>
      <c r="J129" s="199">
        <f t="shared" si="30"/>
        <v>-9655758822.9065952</v>
      </c>
      <c r="K129" s="199">
        <f t="shared" si="30"/>
        <v>-10130594184.096766</v>
      </c>
    </row>
    <row r="130" spans="3:11" ht="15" customHeight="1" x14ac:dyDescent="0.25">
      <c r="C130" s="17" t="s">
        <v>198</v>
      </c>
      <c r="D130" s="200"/>
      <c r="E130" s="199"/>
      <c r="F130" s="199"/>
      <c r="G130" s="199">
        <f t="shared" si="30"/>
        <v>-1154506417.7725105</v>
      </c>
      <c r="H130" s="199">
        <f t="shared" si="30"/>
        <v>-1187083570.8578832</v>
      </c>
      <c r="I130" s="199">
        <f t="shared" si="30"/>
        <v>-1264695958.2089193</v>
      </c>
      <c r="J130" s="199">
        <f t="shared" si="30"/>
        <v>-1383870181.1592326</v>
      </c>
      <c r="K130" s="199">
        <f t="shared" si="30"/>
        <v>-1472713197.4539409</v>
      </c>
    </row>
    <row r="131" spans="3:11" ht="15" customHeight="1" x14ac:dyDescent="0.25">
      <c r="C131" s="13" t="s">
        <v>199</v>
      </c>
      <c r="D131" s="198"/>
      <c r="E131" s="202"/>
      <c r="F131" s="202"/>
      <c r="G131" s="202">
        <f>SUM(G129:G130)</f>
        <v>-8937551129.1627274</v>
      </c>
      <c r="H131" s="202">
        <f>SUM(H129:H130)</f>
        <v>-9478989406.8901577</v>
      </c>
      <c r="I131" s="202">
        <f>SUM(I129:I130)</f>
        <v>-10337960687.951736</v>
      </c>
      <c r="J131" s="202">
        <f>SUM(J129:J130)</f>
        <v>-11039629004.065828</v>
      </c>
      <c r="K131" s="202">
        <f>SUM(K129:K130)</f>
        <v>-11603307381.550707</v>
      </c>
    </row>
    <row r="132" spans="3:11" ht="15" customHeight="1" x14ac:dyDescent="0.25">
      <c r="C132" s="13"/>
      <c r="D132" s="198"/>
      <c r="E132" s="202"/>
      <c r="F132" s="202"/>
      <c r="G132" s="202"/>
      <c r="H132" s="202"/>
      <c r="I132" s="202"/>
      <c r="J132" s="202"/>
      <c r="K132" s="202"/>
    </row>
    <row r="133" spans="3:11" ht="15" customHeight="1" x14ac:dyDescent="0.25">
      <c r="C133" s="13" t="s">
        <v>200</v>
      </c>
      <c r="D133" s="198"/>
      <c r="E133" s="202"/>
      <c r="F133" s="202"/>
      <c r="G133" s="202">
        <f>G121+G126+G131</f>
        <v>-234453797.77539063</v>
      </c>
      <c r="H133" s="202">
        <f>H121+H126+H131</f>
        <v>1915850977.5229874</v>
      </c>
      <c r="I133" s="202">
        <f>I121+I126+I131</f>
        <v>2958508102.7167034</v>
      </c>
      <c r="J133" s="202">
        <f>J121+J126+J131</f>
        <v>3181414021.5317059</v>
      </c>
      <c r="K133" s="202">
        <f>K121+K126+K131</f>
        <v>3398970853.4758682</v>
      </c>
    </row>
    <row r="134" spans="3:11" ht="15" customHeight="1" x14ac:dyDescent="0.25">
      <c r="C134" s="6" t="s">
        <v>201</v>
      </c>
      <c r="D134" s="198"/>
      <c r="E134" s="202"/>
      <c r="F134" s="202"/>
      <c r="G134" s="202">
        <f>F61</f>
        <v>2971664846</v>
      </c>
      <c r="H134" s="202">
        <f>G61</f>
        <v>2737211048.2246094</v>
      </c>
      <c r="I134" s="202">
        <f>H61</f>
        <v>4653062025.7475967</v>
      </c>
      <c r="J134" s="202">
        <f>I61</f>
        <v>7611570128.4643002</v>
      </c>
      <c r="K134" s="202">
        <f>J61</f>
        <v>10792984149.996006</v>
      </c>
    </row>
    <row r="135" spans="3:11" ht="15" customHeight="1" x14ac:dyDescent="0.25">
      <c r="C135" s="13" t="s">
        <v>202</v>
      </c>
      <c r="D135" s="200"/>
      <c r="E135" s="202"/>
      <c r="F135" s="202"/>
      <c r="G135" s="202">
        <f>SUM(G133:G134)</f>
        <v>2737211048.2246094</v>
      </c>
      <c r="H135" s="202">
        <f>SUM(H133:H134)</f>
        <v>4653062025.7475967</v>
      </c>
      <c r="I135" s="202">
        <f>SUM(I133:I134)</f>
        <v>7611570128.4643002</v>
      </c>
      <c r="J135" s="202">
        <f>SUM(J133:J134)</f>
        <v>10792984149.996006</v>
      </c>
      <c r="K135" s="202">
        <f>SUM(K133:K134)</f>
        <v>14191955003.471874</v>
      </c>
    </row>
    <row r="136" spans="3:11" ht="15" customHeight="1" x14ac:dyDescent="0.25">
      <c r="C136" s="13"/>
      <c r="D136" s="200"/>
      <c r="E136" s="203"/>
      <c r="F136" s="202"/>
      <c r="G136" s="203"/>
      <c r="H136" s="203"/>
      <c r="I136" s="203"/>
      <c r="J136" s="203"/>
      <c r="K136" s="203"/>
    </row>
    <row r="137" spans="3:11" ht="15" customHeight="1" x14ac:dyDescent="0.25">
      <c r="C137" s="13" t="s">
        <v>203</v>
      </c>
      <c r="D137" s="231"/>
      <c r="E137" s="231"/>
      <c r="F137" s="199"/>
      <c r="G137" s="199">
        <f>G135-G61</f>
        <v>0</v>
      </c>
      <c r="H137" s="199">
        <f>H135-H61</f>
        <v>0</v>
      </c>
      <c r="I137" s="199">
        <f>I135-I61</f>
        <v>0</v>
      </c>
      <c r="J137" s="199">
        <f>J135-J61</f>
        <v>0</v>
      </c>
      <c r="K137" s="199">
        <f>K135-K61</f>
        <v>0</v>
      </c>
    </row>
    <row r="138" spans="3:11" ht="15" customHeight="1" x14ac:dyDescent="0.25"/>
    <row r="139" spans="3:11" x14ac:dyDescent="0.25">
      <c r="C139" s="39" t="s">
        <v>204</v>
      </c>
      <c r="D139" s="243"/>
      <c r="E139" s="40"/>
      <c r="F139" s="40"/>
      <c r="G139" s="40"/>
      <c r="H139" s="40"/>
      <c r="I139" s="40"/>
      <c r="J139" s="40"/>
      <c r="K139" s="40"/>
    </row>
    <row r="140" spans="3:11" x14ac:dyDescent="0.25">
      <c r="C140" t="s">
        <v>111</v>
      </c>
      <c r="D140" s="41">
        <f t="shared" ref="D140:K140" si="31">D$13</f>
        <v>2023</v>
      </c>
      <c r="E140" s="41">
        <f t="shared" si="31"/>
        <v>2024</v>
      </c>
      <c r="F140" s="41">
        <f t="shared" si="31"/>
        <v>2025</v>
      </c>
      <c r="G140" s="42">
        <f t="shared" si="31"/>
        <v>2026</v>
      </c>
      <c r="H140" s="42">
        <f t="shared" si="31"/>
        <v>2027</v>
      </c>
      <c r="I140" s="42">
        <f t="shared" si="31"/>
        <v>2028</v>
      </c>
      <c r="J140" s="42">
        <f t="shared" si="31"/>
        <v>2029</v>
      </c>
      <c r="K140" s="42">
        <f t="shared" si="31"/>
        <v>2030</v>
      </c>
    </row>
    <row r="141" spans="3:11" x14ac:dyDescent="0.25">
      <c r="C141" s="43" t="s">
        <v>112</v>
      </c>
      <c r="D141" s="244">
        <f t="shared" ref="D141:K141" si="32">D$14</f>
        <v>45291</v>
      </c>
      <c r="E141" s="227">
        <f t="shared" si="32"/>
        <v>45657</v>
      </c>
      <c r="F141" s="227">
        <f t="shared" si="32"/>
        <v>46022</v>
      </c>
      <c r="G141" s="227">
        <f t="shared" si="32"/>
        <v>46387</v>
      </c>
      <c r="H141" s="227">
        <f t="shared" si="32"/>
        <v>46752</v>
      </c>
      <c r="I141" s="227">
        <f t="shared" si="32"/>
        <v>47118</v>
      </c>
      <c r="J141" s="227">
        <f t="shared" si="32"/>
        <v>47483</v>
      </c>
      <c r="K141" s="227">
        <f t="shared" si="32"/>
        <v>47848</v>
      </c>
    </row>
    <row r="142" spans="3:11" ht="15" customHeight="1" x14ac:dyDescent="0.25"/>
    <row r="143" spans="3:11" ht="15" customHeight="1" x14ac:dyDescent="0.25">
      <c r="C143" s="17" t="s">
        <v>205</v>
      </c>
      <c r="D143" s="305">
        <v>1174057956</v>
      </c>
      <c r="E143" s="185">
        <f t="shared" ref="E143:K143" si="33">D146</f>
        <v>35606433627</v>
      </c>
      <c r="F143" s="185">
        <f t="shared" si="33"/>
        <v>34632006997</v>
      </c>
      <c r="G143" s="185">
        <f t="shared" si="33"/>
        <v>38192488081</v>
      </c>
      <c r="H143" s="185">
        <f t="shared" si="33"/>
        <v>41376146858.347885</v>
      </c>
      <c r="I143" s="185">
        <f t="shared" si="33"/>
        <v>42369926847.923943</v>
      </c>
      <c r="J143" s="185">
        <f t="shared" si="33"/>
        <v>42638947772.255272</v>
      </c>
      <c r="K143" s="185">
        <f t="shared" si="33"/>
        <v>43041250934.191727</v>
      </c>
    </row>
    <row r="144" spans="3:11" ht="15" customHeight="1" x14ac:dyDescent="0.25">
      <c r="C144" s="29" t="s">
        <v>206</v>
      </c>
      <c r="D144" s="197">
        <v>85495513</v>
      </c>
      <c r="E144" s="197">
        <v>1275986560</v>
      </c>
      <c r="F144" s="197">
        <v>5848069006</v>
      </c>
      <c r="G144" s="184">
        <f>G148*G16</f>
        <v>5632848770.2400017</v>
      </c>
      <c r="H144" s="184">
        <f>H148*H16</f>
        <v>3647130161.8659363</v>
      </c>
      <c r="I144" s="184">
        <f>I148*I16</f>
        <v>2986099754.477797</v>
      </c>
      <c r="J144" s="184">
        <f>J148*J16</f>
        <v>3136633639.9555001</v>
      </c>
      <c r="K144" s="184">
        <f>K148*K16</f>
        <v>3242374969.6830454</v>
      </c>
    </row>
    <row r="145" spans="1:11" ht="15" customHeight="1" x14ac:dyDescent="0.25">
      <c r="C145" s="29" t="s">
        <v>207</v>
      </c>
      <c r="D145" s="197">
        <v>260909444</v>
      </c>
      <c r="E145" s="197">
        <v>2219254113</v>
      </c>
      <c r="F145" s="197">
        <v>2283209560</v>
      </c>
      <c r="G145" s="184">
        <f>G149*G143</f>
        <v>2449189992.8921218</v>
      </c>
      <c r="H145" s="184">
        <f>H149*H143</f>
        <v>2653350172.2898774</v>
      </c>
      <c r="I145" s="184">
        <f>I149*I143</f>
        <v>2717078830.146472</v>
      </c>
      <c r="J145" s="184">
        <f>J149*J143</f>
        <v>2734330478.0190458</v>
      </c>
      <c r="K145" s="184">
        <f>K149*K143</f>
        <v>2760129186.8183761</v>
      </c>
    </row>
    <row r="146" spans="1:11" ht="15" customHeight="1" x14ac:dyDescent="0.25">
      <c r="C146" s="16" t="s">
        <v>208</v>
      </c>
      <c r="D146" s="229">
        <f>D65</f>
        <v>35606433627</v>
      </c>
      <c r="E146" s="229">
        <f>E65</f>
        <v>34632006997</v>
      </c>
      <c r="F146" s="229">
        <f>F65</f>
        <v>38192488081</v>
      </c>
      <c r="G146" s="229">
        <f>G143+G144-G145</f>
        <v>41376146858.347885</v>
      </c>
      <c r="H146" s="229">
        <f>H143+H144-H145</f>
        <v>42369926847.923943</v>
      </c>
      <c r="I146" s="229">
        <f>I143+I144-I145</f>
        <v>42638947772.255272</v>
      </c>
      <c r="J146" s="229">
        <f>J143+J144-J145</f>
        <v>43041250934.191727</v>
      </c>
      <c r="K146" s="229">
        <f>K143+K144-K145</f>
        <v>43523496717.056396</v>
      </c>
    </row>
    <row r="147" spans="1:11" ht="15" customHeight="1" x14ac:dyDescent="0.25">
      <c r="C147" s="13"/>
      <c r="D147" s="10"/>
      <c r="E147" s="157"/>
      <c r="F147" s="157"/>
      <c r="G147" s="158"/>
      <c r="H147" s="158"/>
      <c r="I147" s="158"/>
      <c r="J147" s="158"/>
      <c r="K147" s="158"/>
    </row>
    <row r="148" spans="1:11" ht="15" customHeight="1" x14ac:dyDescent="0.25">
      <c r="C148" s="6" t="s">
        <v>209</v>
      </c>
      <c r="D148" s="22">
        <f>D144/D16</f>
        <v>1.4345959850510568E-2</v>
      </c>
      <c r="E148" s="22">
        <f>E144/E16</f>
        <v>6.4934642503840997E-2</v>
      </c>
      <c r="F148" s="22">
        <f>F144/F16</f>
        <v>0.21785324621975352</v>
      </c>
      <c r="G148" s="210">
        <v>0.2</v>
      </c>
      <c r="H148" s="210">
        <v>0.12</v>
      </c>
      <c r="I148" s="210">
        <v>0.09</v>
      </c>
      <c r="J148" s="210">
        <v>0.09</v>
      </c>
      <c r="K148" s="210">
        <v>0.09</v>
      </c>
    </row>
    <row r="149" spans="1:11" ht="15" customHeight="1" x14ac:dyDescent="0.25">
      <c r="C149" s="6" t="s">
        <v>210</v>
      </c>
      <c r="D149" s="22">
        <f>D145/D143</f>
        <v>0.22222876022995922</v>
      </c>
      <c r="E149" s="22">
        <f>E145/E143</f>
        <v>6.2327334892567338E-2</v>
      </c>
      <c r="F149" s="22">
        <f>F145/F143</f>
        <v>6.5927728652797488E-2</v>
      </c>
      <c r="G149" s="210">
        <f>AVERAGE(E149:F149)</f>
        <v>6.4127531772682406E-2</v>
      </c>
      <c r="H149" s="210">
        <f>G149</f>
        <v>6.4127531772682406E-2</v>
      </c>
      <c r="I149" s="210">
        <f>H149</f>
        <v>6.4127531772682406E-2</v>
      </c>
      <c r="J149" s="210">
        <f>I149</f>
        <v>6.4127531772682406E-2</v>
      </c>
      <c r="K149" s="210">
        <f>J149</f>
        <v>6.4127531772682406E-2</v>
      </c>
    </row>
    <row r="150" spans="1:11" ht="15" customHeight="1" x14ac:dyDescent="0.25">
      <c r="E150" s="1"/>
      <c r="F150" s="1"/>
      <c r="G150" s="1"/>
      <c r="H150" s="1"/>
      <c r="I150" s="1"/>
      <c r="J150" s="1"/>
      <c r="K150" s="1"/>
    </row>
    <row r="151" spans="1:11" s="35" customFormat="1" ht="15" customHeight="1" x14ac:dyDescent="0.25">
      <c r="C151" s="45" t="s">
        <v>211</v>
      </c>
      <c r="D151" s="47"/>
      <c r="E151" s="47"/>
      <c r="F151" s="47"/>
      <c r="G151" s="47"/>
      <c r="H151" s="47"/>
      <c r="I151" s="47"/>
      <c r="J151" s="47"/>
      <c r="K151" s="47"/>
    </row>
    <row r="152" spans="1:11" s="31" customFormat="1" ht="15" customHeight="1" x14ac:dyDescent="0.25">
      <c r="C152" s="32"/>
      <c r="D152" s="33"/>
      <c r="E152" s="34"/>
      <c r="F152" s="34"/>
      <c r="G152" s="34"/>
      <c r="H152" s="34"/>
      <c r="I152" s="34"/>
      <c r="J152" s="34"/>
      <c r="K152" s="34"/>
    </row>
    <row r="153" spans="1:11" s="31" customFormat="1" ht="15" customHeight="1" x14ac:dyDescent="0.25">
      <c r="C153" s="35" t="s">
        <v>212</v>
      </c>
      <c r="D153" s="10">
        <f>4018402+1072038</f>
        <v>5090440</v>
      </c>
      <c r="E153" s="10">
        <f>16007631+2892860</f>
        <v>18900491</v>
      </c>
      <c r="F153" s="10">
        <f>16007631+19511839</f>
        <v>35519470</v>
      </c>
      <c r="G153" s="36">
        <f>G293+G266</f>
        <v>20471414.261427142</v>
      </c>
      <c r="H153" s="36">
        <f>H293+H266</f>
        <v>22091223.421253644</v>
      </c>
      <c r="I153" s="36">
        <f>I293+I266</f>
        <v>24116348.619913246</v>
      </c>
      <c r="J153" s="36">
        <f>J293+J266</f>
        <v>25332090.878974263</v>
      </c>
      <c r="K153" s="36">
        <f>K293+K266</f>
        <v>26186079.352540389</v>
      </c>
    </row>
    <row r="154" spans="1:11" s="31" customFormat="1" ht="15" customHeight="1" x14ac:dyDescent="0.25">
      <c r="A154" s="32"/>
      <c r="B154" s="32"/>
      <c r="C154" s="24" t="s">
        <v>30</v>
      </c>
      <c r="D154" s="37">
        <f t="shared" ref="D154:K154" si="34">D153/D16</f>
        <v>8.5416468419147358E-4</v>
      </c>
      <c r="E154" s="37">
        <f t="shared" si="34"/>
        <v>9.618413427740682E-4</v>
      </c>
      <c r="F154" s="37">
        <f t="shared" si="34"/>
        <v>1.3231772462955012E-3</v>
      </c>
      <c r="G154" s="37">
        <f t="shared" si="34"/>
        <v>7.2685829485015301E-4</v>
      </c>
      <c r="H154" s="37">
        <f t="shared" si="34"/>
        <v>7.2685829485015301E-4</v>
      </c>
      <c r="I154" s="37">
        <f t="shared" si="34"/>
        <v>7.2685829485015301E-4</v>
      </c>
      <c r="J154" s="37">
        <f t="shared" si="34"/>
        <v>7.2685829485015301E-4</v>
      </c>
      <c r="K154" s="37">
        <f t="shared" si="34"/>
        <v>7.2685829485015301E-4</v>
      </c>
    </row>
    <row r="155" spans="1:11" ht="15" customHeight="1" x14ac:dyDescent="0.25">
      <c r="C155" s="38" t="s">
        <v>213</v>
      </c>
      <c r="D155" s="30">
        <f t="shared" ref="D155:K155" si="35">D145+D153</f>
        <v>265999884</v>
      </c>
      <c r="E155" s="30">
        <f t="shared" si="35"/>
        <v>2238154604</v>
      </c>
      <c r="F155" s="30">
        <f t="shared" si="35"/>
        <v>2318729030</v>
      </c>
      <c r="G155" s="30">
        <f t="shared" si="35"/>
        <v>2469661407.1535487</v>
      </c>
      <c r="H155" s="30">
        <f t="shared" si="35"/>
        <v>2675441395.7111311</v>
      </c>
      <c r="I155" s="30">
        <f t="shared" si="35"/>
        <v>2741195178.7663851</v>
      </c>
      <c r="J155" s="30">
        <f t="shared" si="35"/>
        <v>2759662568.8980203</v>
      </c>
      <c r="K155" s="30">
        <f t="shared" si="35"/>
        <v>2786315266.1709166</v>
      </c>
    </row>
    <row r="157" spans="1:11" x14ac:dyDescent="0.25">
      <c r="C157" s="13" t="s">
        <v>214</v>
      </c>
      <c r="D157" s="252"/>
      <c r="E157" s="13"/>
      <c r="F157" s="13"/>
      <c r="G157" s="13"/>
      <c r="H157" s="13"/>
      <c r="I157" s="13"/>
      <c r="J157" s="13"/>
      <c r="K157" s="13"/>
    </row>
    <row r="158" spans="1:11" x14ac:dyDescent="0.25">
      <c r="C158" s="48" t="s">
        <v>111</v>
      </c>
      <c r="D158" s="49">
        <f t="shared" ref="D158:K158" si="36">D$13</f>
        <v>2023</v>
      </c>
      <c r="E158" s="49">
        <f t="shared" si="36"/>
        <v>2024</v>
      </c>
      <c r="F158" s="49">
        <f t="shared" si="36"/>
        <v>2025</v>
      </c>
      <c r="G158" s="50">
        <f t="shared" si="36"/>
        <v>2026</v>
      </c>
      <c r="H158" s="50">
        <f t="shared" si="36"/>
        <v>2027</v>
      </c>
      <c r="I158" s="50">
        <f t="shared" si="36"/>
        <v>2028</v>
      </c>
      <c r="J158" s="50">
        <f t="shared" si="36"/>
        <v>2029</v>
      </c>
      <c r="K158" s="50">
        <f t="shared" si="36"/>
        <v>2030</v>
      </c>
    </row>
    <row r="159" spans="1:11" x14ac:dyDescent="0.25">
      <c r="C159" s="43" t="s">
        <v>112</v>
      </c>
      <c r="D159" s="44">
        <f t="shared" ref="D159:K159" si="37">D$14</f>
        <v>45291</v>
      </c>
      <c r="E159" s="44">
        <f t="shared" si="37"/>
        <v>45657</v>
      </c>
      <c r="F159" s="44">
        <f t="shared" si="37"/>
        <v>46022</v>
      </c>
      <c r="G159" s="44">
        <f t="shared" si="37"/>
        <v>46387</v>
      </c>
      <c r="H159" s="44">
        <f t="shared" si="37"/>
        <v>46752</v>
      </c>
      <c r="I159" s="44">
        <f t="shared" si="37"/>
        <v>47118</v>
      </c>
      <c r="J159" s="44">
        <f t="shared" si="37"/>
        <v>47483</v>
      </c>
      <c r="K159" s="44">
        <f t="shared" si="37"/>
        <v>47848</v>
      </c>
    </row>
    <row r="160" spans="1:11" x14ac:dyDescent="0.25">
      <c r="C160" s="35"/>
      <c r="D160" s="253"/>
      <c r="E160" s="35"/>
      <c r="F160" s="195"/>
      <c r="G160" s="256"/>
      <c r="H160" s="35"/>
    </row>
    <row r="161" spans="3:11" x14ac:dyDescent="0.25">
      <c r="C161" s="45" t="s">
        <v>215</v>
      </c>
      <c r="D161" s="253"/>
      <c r="E161" s="35"/>
      <c r="F161" s="195"/>
      <c r="G161" s="256"/>
      <c r="H161" s="35"/>
    </row>
    <row r="162" spans="3:11" x14ac:dyDescent="0.25">
      <c r="C162" s="17" t="s">
        <v>216</v>
      </c>
      <c r="D162" s="263">
        <v>3694970474</v>
      </c>
      <c r="E162" s="263">
        <v>15069860384</v>
      </c>
      <c r="F162" s="263">
        <v>21466612052</v>
      </c>
      <c r="G162" s="199">
        <f t="shared" ref="G162:K163" si="38">G170+G175+G180</f>
        <v>22553910472.140003</v>
      </c>
      <c r="H162" s="199">
        <f t="shared" si="38"/>
        <v>24539344754.855404</v>
      </c>
      <c r="I162" s="199">
        <f t="shared" si="38"/>
        <v>27071750429.280666</v>
      </c>
      <c r="J162" s="199">
        <f t="shared" si="38"/>
        <v>28479491210.062336</v>
      </c>
      <c r="K162" s="199">
        <f t="shared" si="38"/>
        <v>29377913983.209179</v>
      </c>
    </row>
    <row r="163" spans="3:11" x14ac:dyDescent="0.25">
      <c r="C163" s="17" t="s">
        <v>217</v>
      </c>
      <c r="D163" s="263">
        <v>2264582870</v>
      </c>
      <c r="E163" s="263">
        <v>4580460474</v>
      </c>
      <c r="F163" s="263">
        <v>5377463524</v>
      </c>
      <c r="G163" s="199">
        <f t="shared" si="38"/>
        <v>5610333379.0599995</v>
      </c>
      <c r="H163" s="199">
        <f t="shared" si="38"/>
        <v>5853406594.027401</v>
      </c>
      <c r="I163" s="199">
        <f t="shared" si="38"/>
        <v>6107135731.583746</v>
      </c>
      <c r="J163" s="199">
        <f t="shared" si="38"/>
        <v>6371993678.3321095</v>
      </c>
      <c r="K163" s="199">
        <f t="shared" si="38"/>
        <v>6648474568.8246565</v>
      </c>
    </row>
    <row r="164" spans="3:11" x14ac:dyDescent="0.25">
      <c r="C164" s="38" t="s">
        <v>218</v>
      </c>
      <c r="D164" s="254">
        <f t="shared" ref="D164:K164" si="39">SUM(D162:D163)</f>
        <v>5959553344</v>
      </c>
      <c r="E164" s="254">
        <f t="shared" si="39"/>
        <v>19650320858</v>
      </c>
      <c r="F164" s="254">
        <f t="shared" si="39"/>
        <v>26844075576</v>
      </c>
      <c r="G164" s="254">
        <f t="shared" si="39"/>
        <v>28164243851.200005</v>
      </c>
      <c r="H164" s="254">
        <f t="shared" si="39"/>
        <v>30392751348.882805</v>
      </c>
      <c r="I164" s="254">
        <f t="shared" si="39"/>
        <v>33178886160.86441</v>
      </c>
      <c r="J164" s="254">
        <f t="shared" si="39"/>
        <v>34851484888.394447</v>
      </c>
      <c r="K164" s="254">
        <f t="shared" si="39"/>
        <v>36026388552.033836</v>
      </c>
    </row>
    <row r="165" spans="3:11" x14ac:dyDescent="0.25">
      <c r="C165" s="255"/>
      <c r="D165" s="199"/>
      <c r="E165" s="199"/>
      <c r="F165" s="199"/>
      <c r="G165" s="199"/>
      <c r="H165" s="199"/>
      <c r="I165" s="199"/>
      <c r="J165" s="199"/>
      <c r="K165" s="199"/>
    </row>
    <row r="166" spans="3:11" x14ac:dyDescent="0.25">
      <c r="C166" s="6" t="s">
        <v>219</v>
      </c>
      <c r="D166" s="199">
        <f t="shared" ref="D166:K166" si="40">D164-D16</f>
        <v>0</v>
      </c>
      <c r="E166" s="199">
        <f t="shared" si="40"/>
        <v>0</v>
      </c>
      <c r="F166" s="199">
        <f t="shared" si="40"/>
        <v>0</v>
      </c>
      <c r="G166" s="199">
        <f t="shared" si="40"/>
        <v>0</v>
      </c>
      <c r="H166" s="199">
        <f t="shared" si="40"/>
        <v>0</v>
      </c>
      <c r="I166" s="199">
        <f t="shared" si="40"/>
        <v>0</v>
      </c>
      <c r="J166" s="199">
        <f t="shared" si="40"/>
        <v>0</v>
      </c>
      <c r="K166" s="199">
        <f t="shared" si="40"/>
        <v>0</v>
      </c>
    </row>
    <row r="167" spans="3:11" x14ac:dyDescent="0.25">
      <c r="D167" s="199"/>
      <c r="E167" s="199"/>
      <c r="F167" s="199"/>
      <c r="G167" s="199"/>
      <c r="H167" s="199"/>
      <c r="I167" s="199"/>
      <c r="J167" s="199"/>
      <c r="K167" s="199"/>
    </row>
    <row r="168" spans="3:11" x14ac:dyDescent="0.25">
      <c r="C168" s="13" t="s">
        <v>220</v>
      </c>
      <c r="D168" s="199"/>
      <c r="E168" s="199"/>
      <c r="F168" s="199"/>
      <c r="G168" s="199"/>
      <c r="H168" s="199"/>
      <c r="I168" s="199"/>
      <c r="J168" s="199"/>
      <c r="K168" s="199"/>
    </row>
    <row r="169" spans="3:11" s="13" customFormat="1" x14ac:dyDescent="0.25">
      <c r="C169" s="196" t="s">
        <v>221</v>
      </c>
      <c r="D169" s="14"/>
      <c r="E169" s="14"/>
      <c r="F169" s="14"/>
      <c r="G169" s="14"/>
      <c r="H169" s="14"/>
      <c r="I169" s="14"/>
      <c r="J169" s="14"/>
      <c r="K169" s="14"/>
    </row>
    <row r="170" spans="3:11" x14ac:dyDescent="0.25">
      <c r="C170" s="17" t="s">
        <v>222</v>
      </c>
      <c r="D170" s="186">
        <v>3503446269</v>
      </c>
      <c r="E170" s="186">
        <v>13859909120</v>
      </c>
      <c r="F170" s="186">
        <v>20069830298</v>
      </c>
      <c r="G170" s="184">
        <f t="shared" ref="G170:K171" si="41">F170*(1+G188)</f>
        <v>21073321812.900002</v>
      </c>
      <c r="H170" s="184">
        <f t="shared" si="41"/>
        <v>22969920776.061005</v>
      </c>
      <c r="I170" s="184">
        <f t="shared" si="41"/>
        <v>25266912853.667107</v>
      </c>
      <c r="J170" s="184">
        <f t="shared" si="41"/>
        <v>26277589367.813793</v>
      </c>
      <c r="K170" s="184">
        <f t="shared" si="41"/>
        <v>27065917048.848209</v>
      </c>
    </row>
    <row r="171" spans="3:11" x14ac:dyDescent="0.25">
      <c r="C171" s="17" t="s">
        <v>223</v>
      </c>
      <c r="D171" s="186">
        <v>1608929861</v>
      </c>
      <c r="E171" s="186">
        <v>3407353630</v>
      </c>
      <c r="F171" s="186">
        <v>3600332114</v>
      </c>
      <c r="G171" s="184">
        <f t="shared" si="41"/>
        <v>3744345398.5599999</v>
      </c>
      <c r="H171" s="184">
        <f t="shared" si="41"/>
        <v>3894119214.5023999</v>
      </c>
      <c r="I171" s="184">
        <f t="shared" si="41"/>
        <v>4049883983.0824962</v>
      </c>
      <c r="J171" s="184">
        <f t="shared" si="41"/>
        <v>4211879342.4057961</v>
      </c>
      <c r="K171" s="184">
        <f t="shared" si="41"/>
        <v>4380354516.1020279</v>
      </c>
    </row>
    <row r="172" spans="3:11" s="13" customFormat="1" x14ac:dyDescent="0.25">
      <c r="C172" s="196" t="s">
        <v>224</v>
      </c>
      <c r="D172" s="14">
        <f t="shared" ref="D172:K172" si="42">SUM(D170:D171)</f>
        <v>5112376130</v>
      </c>
      <c r="E172" s="14">
        <f t="shared" si="42"/>
        <v>17267262750</v>
      </c>
      <c r="F172" s="14">
        <f t="shared" si="42"/>
        <v>23670162412</v>
      </c>
      <c r="G172" s="14">
        <f t="shared" si="42"/>
        <v>24817667211.460003</v>
      </c>
      <c r="H172" s="14">
        <f t="shared" si="42"/>
        <v>26864039990.563404</v>
      </c>
      <c r="I172" s="14">
        <f t="shared" si="42"/>
        <v>29316796836.749603</v>
      </c>
      <c r="J172" s="14">
        <f t="shared" si="42"/>
        <v>30489468710.219589</v>
      </c>
      <c r="K172" s="14">
        <f t="shared" si="42"/>
        <v>31446271564.950237</v>
      </c>
    </row>
    <row r="173" spans="3:11" x14ac:dyDescent="0.25">
      <c r="C173" s="224"/>
      <c r="D173" s="184"/>
      <c r="E173" s="184"/>
      <c r="F173" s="184"/>
      <c r="G173" s="184"/>
      <c r="H173" s="184"/>
      <c r="I173" s="184"/>
      <c r="J173" s="184"/>
      <c r="K173" s="184"/>
    </row>
    <row r="174" spans="3:11" x14ac:dyDescent="0.25">
      <c r="C174" s="13" t="s">
        <v>225</v>
      </c>
      <c r="D174" s="184"/>
      <c r="E174" s="184"/>
      <c r="F174" s="184"/>
      <c r="G174" s="184"/>
      <c r="H174" s="184"/>
      <c r="I174" s="184"/>
      <c r="J174" s="184"/>
      <c r="K174" s="184"/>
    </row>
    <row r="175" spans="3:11" x14ac:dyDescent="0.25">
      <c r="C175" s="17" t="s">
        <v>222</v>
      </c>
      <c r="D175" s="234">
        <v>191524205</v>
      </c>
      <c r="E175" s="234">
        <v>1209590347</v>
      </c>
      <c r="F175" s="234">
        <v>1396781754</v>
      </c>
      <c r="G175" s="184">
        <f t="shared" ref="G175:K176" si="43">F175*(1+G192)</f>
        <v>1480588659.24</v>
      </c>
      <c r="H175" s="184">
        <f t="shared" si="43"/>
        <v>1569423978.7944</v>
      </c>
      <c r="I175" s="184">
        <f t="shared" si="43"/>
        <v>1804837575.6135597</v>
      </c>
      <c r="J175" s="184">
        <f t="shared" si="43"/>
        <v>2201901842.2485428</v>
      </c>
      <c r="K175" s="184">
        <f t="shared" si="43"/>
        <v>2311996934.36097</v>
      </c>
    </row>
    <row r="176" spans="3:11" x14ac:dyDescent="0.25">
      <c r="C176" s="17" t="s">
        <v>223</v>
      </c>
      <c r="D176" s="234">
        <v>655182635</v>
      </c>
      <c r="E176" s="234">
        <v>1172939262</v>
      </c>
      <c r="F176" s="234">
        <v>1776815820</v>
      </c>
      <c r="G176" s="184">
        <f t="shared" si="43"/>
        <v>1865656611</v>
      </c>
      <c r="H176" s="184">
        <f t="shared" si="43"/>
        <v>1958939441.5500002</v>
      </c>
      <c r="I176" s="184">
        <f t="shared" si="43"/>
        <v>2056886413.6275003</v>
      </c>
      <c r="J176" s="184">
        <f t="shared" si="43"/>
        <v>2159730734.3088756</v>
      </c>
      <c r="K176" s="184">
        <f t="shared" si="43"/>
        <v>2267717271.0243196</v>
      </c>
    </row>
    <row r="177" spans="3:11" s="13" customFormat="1" x14ac:dyDescent="0.25">
      <c r="C177" s="196" t="s">
        <v>226</v>
      </c>
      <c r="D177" s="14">
        <f t="shared" ref="D177:K177" si="44">SUM(D175:D176)</f>
        <v>846706840</v>
      </c>
      <c r="E177" s="14">
        <f t="shared" si="44"/>
        <v>2382529609</v>
      </c>
      <c r="F177" s="14">
        <f t="shared" si="44"/>
        <v>3173597574</v>
      </c>
      <c r="G177" s="14">
        <f t="shared" si="44"/>
        <v>3346245270.2399998</v>
      </c>
      <c r="H177" s="14">
        <f t="shared" si="44"/>
        <v>3528363420.3444004</v>
      </c>
      <c r="I177" s="14">
        <f t="shared" si="44"/>
        <v>3861723989.2410603</v>
      </c>
      <c r="J177" s="14">
        <f t="shared" si="44"/>
        <v>4361632576.5574188</v>
      </c>
      <c r="K177" s="14">
        <f t="shared" si="44"/>
        <v>4579714205.3852901</v>
      </c>
    </row>
    <row r="178" spans="3:11" x14ac:dyDescent="0.25">
      <c r="C178" s="255"/>
      <c r="D178" s="14"/>
      <c r="E178" s="14"/>
      <c r="F178" s="14"/>
      <c r="G178" s="184"/>
      <c r="H178" s="184"/>
      <c r="I178" s="184"/>
      <c r="J178" s="184"/>
      <c r="K178" s="184"/>
    </row>
    <row r="179" spans="3:11" s="13" customFormat="1" x14ac:dyDescent="0.25">
      <c r="C179" s="255" t="s">
        <v>227</v>
      </c>
      <c r="D179" s="14"/>
      <c r="E179" s="14"/>
      <c r="F179" s="14"/>
      <c r="G179" s="184"/>
      <c r="H179" s="184"/>
      <c r="I179" s="184"/>
      <c r="J179" s="184"/>
      <c r="K179" s="184"/>
    </row>
    <row r="180" spans="3:11" x14ac:dyDescent="0.25">
      <c r="C180" s="29" t="s">
        <v>222</v>
      </c>
      <c r="D180" s="234">
        <v>0</v>
      </c>
      <c r="E180" s="234">
        <v>360917</v>
      </c>
      <c r="F180" s="234">
        <v>0</v>
      </c>
      <c r="G180" s="184">
        <f t="shared" ref="G180:K181" si="45">F180*(1+G196)</f>
        <v>0</v>
      </c>
      <c r="H180" s="184">
        <f t="shared" si="45"/>
        <v>0</v>
      </c>
      <c r="I180" s="184">
        <f t="shared" si="45"/>
        <v>0</v>
      </c>
      <c r="J180" s="184">
        <f t="shared" si="45"/>
        <v>0</v>
      </c>
      <c r="K180" s="184">
        <f t="shared" si="45"/>
        <v>0</v>
      </c>
    </row>
    <row r="181" spans="3:11" x14ac:dyDescent="0.25">
      <c r="C181" s="29" t="s">
        <v>223</v>
      </c>
      <c r="D181" s="234">
        <v>470374</v>
      </c>
      <c r="E181" s="234">
        <v>167582</v>
      </c>
      <c r="F181" s="234">
        <v>315590</v>
      </c>
      <c r="G181" s="184">
        <f t="shared" si="45"/>
        <v>331369.5</v>
      </c>
      <c r="H181" s="184">
        <f t="shared" si="45"/>
        <v>347937.97500000003</v>
      </c>
      <c r="I181" s="184">
        <f t="shared" si="45"/>
        <v>365334.87375000003</v>
      </c>
      <c r="J181" s="184">
        <f t="shared" si="45"/>
        <v>383601.61743750004</v>
      </c>
      <c r="K181" s="184">
        <f t="shared" si="45"/>
        <v>402781.69830937503</v>
      </c>
    </row>
    <row r="182" spans="3:11" s="13" customFormat="1" x14ac:dyDescent="0.25">
      <c r="C182" s="255" t="s">
        <v>228</v>
      </c>
      <c r="D182" s="14">
        <f t="shared" ref="D182:K182" si="46">SUM(D180:D181)</f>
        <v>470374</v>
      </c>
      <c r="E182" s="14">
        <f t="shared" si="46"/>
        <v>528499</v>
      </c>
      <c r="F182" s="14">
        <f t="shared" si="46"/>
        <v>315590</v>
      </c>
      <c r="G182" s="14">
        <f t="shared" si="46"/>
        <v>331369.5</v>
      </c>
      <c r="H182" s="14">
        <f t="shared" si="46"/>
        <v>347937.97500000003</v>
      </c>
      <c r="I182" s="14">
        <f t="shared" si="46"/>
        <v>365334.87375000003</v>
      </c>
      <c r="J182" s="14">
        <f t="shared" si="46"/>
        <v>383601.61743750004</v>
      </c>
      <c r="K182" s="14">
        <f t="shared" si="46"/>
        <v>402781.69830937503</v>
      </c>
    </row>
    <row r="183" spans="3:11" s="13" customFormat="1" x14ac:dyDescent="0.25">
      <c r="C183" s="255"/>
      <c r="D183" s="14"/>
      <c r="E183" s="14"/>
      <c r="F183" s="14"/>
      <c r="G183" s="184"/>
      <c r="H183" s="184"/>
      <c r="I183" s="184"/>
      <c r="J183" s="184"/>
      <c r="K183" s="184"/>
    </row>
    <row r="184" spans="3:11" s="13" customFormat="1" x14ac:dyDescent="0.25">
      <c r="C184" s="255" t="s">
        <v>218</v>
      </c>
      <c r="D184" s="14">
        <f t="shared" ref="D184:K184" si="47">D172+D177+D182</f>
        <v>5959553344</v>
      </c>
      <c r="E184" s="14">
        <f t="shared" si="47"/>
        <v>19650320858</v>
      </c>
      <c r="F184" s="14">
        <f t="shared" si="47"/>
        <v>26844075576</v>
      </c>
      <c r="G184" s="14">
        <f t="shared" si="47"/>
        <v>28164243851.200005</v>
      </c>
      <c r="H184" s="14">
        <f t="shared" si="47"/>
        <v>30392751348.882805</v>
      </c>
      <c r="I184" s="14">
        <f t="shared" si="47"/>
        <v>33178886160.86441</v>
      </c>
      <c r="J184" s="14">
        <f t="shared" si="47"/>
        <v>34851484888.394447</v>
      </c>
      <c r="K184" s="14">
        <f t="shared" si="47"/>
        <v>36026388552.033836</v>
      </c>
    </row>
    <row r="185" spans="3:11" s="13" customFormat="1" x14ac:dyDescent="0.25">
      <c r="C185" s="255"/>
      <c r="D185" s="14"/>
      <c r="E185" s="14"/>
      <c r="F185" s="14"/>
      <c r="G185" s="14"/>
      <c r="H185" s="14"/>
      <c r="I185" s="14"/>
      <c r="J185" s="14"/>
      <c r="K185" s="14"/>
    </row>
    <row r="186" spans="3:11" s="13" customFormat="1" x14ac:dyDescent="0.25">
      <c r="C186" s="13" t="s">
        <v>220</v>
      </c>
      <c r="D186" s="199"/>
      <c r="E186" s="199"/>
      <c r="F186" s="199"/>
      <c r="G186" s="14"/>
      <c r="H186" s="14"/>
      <c r="I186" s="14"/>
      <c r="J186" s="14"/>
      <c r="K186" s="14"/>
    </row>
    <row r="187" spans="3:11" s="13" customFormat="1" x14ac:dyDescent="0.25">
      <c r="C187" s="196" t="s">
        <v>221</v>
      </c>
      <c r="D187" s="206"/>
      <c r="E187" s="206"/>
      <c r="F187" s="206"/>
      <c r="G187" s="206"/>
      <c r="H187" s="206"/>
      <c r="I187" s="206"/>
      <c r="J187" s="206"/>
      <c r="K187" s="206"/>
    </row>
    <row r="188" spans="3:11" s="13" customFormat="1" x14ac:dyDescent="0.25">
      <c r="C188" s="17" t="s">
        <v>222</v>
      </c>
      <c r="D188" s="206">
        <v>-0.16059322636316259</v>
      </c>
      <c r="E188" s="206">
        <f>E170/D170-1</f>
        <v>2.9560786881872398</v>
      </c>
      <c r="F188" s="206">
        <f>F170/E170-1</f>
        <v>0.44804919889691175</v>
      </c>
      <c r="G188" s="207">
        <v>0.05</v>
      </c>
      <c r="H188" s="207">
        <v>0.09</v>
      </c>
      <c r="I188" s="207">
        <v>0.1</v>
      </c>
      <c r="J188" s="207">
        <v>0.04</v>
      </c>
      <c r="K188" s="207">
        <v>0.03</v>
      </c>
    </row>
    <row r="189" spans="3:11" s="13" customFormat="1" x14ac:dyDescent="0.25">
      <c r="C189" s="17" t="s">
        <v>223</v>
      </c>
      <c r="D189" s="206">
        <v>3.9823083160597017E-2</v>
      </c>
      <c r="E189" s="206">
        <f>E171/D171-1</f>
        <v>1.1177763634035753</v>
      </c>
      <c r="F189" s="206">
        <f>F171/E171-1</f>
        <v>5.6635883725400182E-2</v>
      </c>
      <c r="G189" s="207">
        <v>0.04</v>
      </c>
      <c r="H189" s="207">
        <v>0.04</v>
      </c>
      <c r="I189" s="207">
        <v>0.04</v>
      </c>
      <c r="J189" s="207">
        <v>0.04</v>
      </c>
      <c r="K189" s="207">
        <v>0.04</v>
      </c>
    </row>
    <row r="190" spans="3:11" s="13" customFormat="1" x14ac:dyDescent="0.25">
      <c r="C190" s="224"/>
      <c r="D190" s="206"/>
      <c r="E190" s="206"/>
      <c r="F190" s="206"/>
      <c r="G190" s="207"/>
      <c r="H190" s="207"/>
      <c r="I190" s="207"/>
      <c r="J190" s="207"/>
      <c r="K190" s="207"/>
    </row>
    <row r="191" spans="3:11" s="13" customFormat="1" x14ac:dyDescent="0.25">
      <c r="C191" s="13" t="s">
        <v>225</v>
      </c>
      <c r="D191" s="206"/>
      <c r="E191" s="206"/>
      <c r="F191" s="206"/>
      <c r="G191" s="207"/>
      <c r="H191" s="207"/>
      <c r="I191" s="207"/>
      <c r="J191" s="207"/>
      <c r="K191" s="207"/>
    </row>
    <row r="192" spans="3:11" s="13" customFormat="1" x14ac:dyDescent="0.25">
      <c r="C192" s="17" t="s">
        <v>222</v>
      </c>
      <c r="D192" s="206">
        <v>-0.30402974428422269</v>
      </c>
      <c r="E192" s="206">
        <f>E175/D175-1</f>
        <v>5.315600406747544</v>
      </c>
      <c r="F192" s="206">
        <f>F175/E175-1</f>
        <v>0.15475603576389974</v>
      </c>
      <c r="G192" s="207">
        <v>0.06</v>
      </c>
      <c r="H192" s="207">
        <v>0.06</v>
      </c>
      <c r="I192" s="207">
        <v>0.15</v>
      </c>
      <c r="J192" s="207">
        <v>0.22</v>
      </c>
      <c r="K192" s="207">
        <v>0.05</v>
      </c>
    </row>
    <row r="193" spans="3:11" s="13" customFormat="1" x14ac:dyDescent="0.25">
      <c r="C193" s="17" t="s">
        <v>223</v>
      </c>
      <c r="D193" s="206">
        <v>-0.34216980634487942</v>
      </c>
      <c r="E193" s="206">
        <f>E176/D176-1</f>
        <v>0.79024778640538917</v>
      </c>
      <c r="F193" s="206">
        <f>F176/E176-1</f>
        <v>0.51484043340003738</v>
      </c>
      <c r="G193" s="207">
        <v>0.05</v>
      </c>
      <c r="H193" s="207">
        <v>0.05</v>
      </c>
      <c r="I193" s="207">
        <v>0.05</v>
      </c>
      <c r="J193" s="207">
        <v>0.05</v>
      </c>
      <c r="K193" s="207">
        <v>0.05</v>
      </c>
    </row>
    <row r="194" spans="3:11" s="13" customFormat="1" x14ac:dyDescent="0.25">
      <c r="C194" s="255"/>
      <c r="D194" s="206"/>
      <c r="E194" s="206"/>
      <c r="F194" s="206"/>
      <c r="G194" s="207"/>
      <c r="H194" s="207"/>
      <c r="I194" s="207"/>
      <c r="J194" s="207"/>
      <c r="K194" s="207"/>
    </row>
    <row r="195" spans="3:11" s="13" customFormat="1" x14ac:dyDescent="0.25">
      <c r="C195" s="255" t="s">
        <v>227</v>
      </c>
      <c r="D195" s="206"/>
      <c r="E195" s="206"/>
      <c r="F195" s="206"/>
      <c r="G195" s="207"/>
      <c r="H195" s="207"/>
      <c r="I195" s="207"/>
      <c r="J195" s="207"/>
      <c r="K195" s="207"/>
    </row>
    <row r="196" spans="3:11" s="13" customFormat="1" x14ac:dyDescent="0.25">
      <c r="C196" s="29" t="s">
        <v>222</v>
      </c>
      <c r="D196" s="268" t="s">
        <v>229</v>
      </c>
      <c r="E196" s="268" t="str">
        <f>IFERROR((E180/D180-1),"N/A")</f>
        <v>N/A</v>
      </c>
      <c r="F196" s="206">
        <f>F180/E180-1</f>
        <v>-1</v>
      </c>
      <c r="G196" s="207">
        <v>0</v>
      </c>
      <c r="H196" s="207">
        <v>0</v>
      </c>
      <c r="I196" s="207">
        <v>0</v>
      </c>
      <c r="J196" s="207">
        <v>0</v>
      </c>
      <c r="K196" s="207">
        <v>0</v>
      </c>
    </row>
    <row r="197" spans="3:11" s="13" customFormat="1" x14ac:dyDescent="0.25">
      <c r="C197" s="29" t="s">
        <v>223</v>
      </c>
      <c r="D197" s="268" t="s">
        <v>229</v>
      </c>
      <c r="E197" s="206">
        <f>E181/D181-1</f>
        <v>-0.64372605628712476</v>
      </c>
      <c r="F197" s="206">
        <f>F181/E181-1</f>
        <v>0.88319747944289961</v>
      </c>
      <c r="G197" s="207">
        <v>0.05</v>
      </c>
      <c r="H197" s="207">
        <v>0.05</v>
      </c>
      <c r="I197" s="207">
        <v>0.05</v>
      </c>
      <c r="J197" s="207">
        <v>0.05</v>
      </c>
      <c r="K197" s="207">
        <v>0.05</v>
      </c>
    </row>
    <row r="198" spans="3:11" x14ac:dyDescent="0.25">
      <c r="C198" s="224"/>
      <c r="D198" s="7"/>
      <c r="E198" s="1"/>
      <c r="F198" s="1"/>
      <c r="G198" s="1"/>
      <c r="H198" s="1"/>
      <c r="I198" s="1"/>
      <c r="J198" s="1"/>
      <c r="K198" s="1"/>
    </row>
    <row r="199" spans="3:11" x14ac:dyDescent="0.25">
      <c r="C199" s="13" t="s">
        <v>230</v>
      </c>
    </row>
    <row r="200" spans="3:11" x14ac:dyDescent="0.25">
      <c r="C200" s="48" t="s">
        <v>111</v>
      </c>
      <c r="D200" s="49">
        <f t="shared" ref="D200:K200" si="48">D$13</f>
        <v>2023</v>
      </c>
      <c r="E200" s="49">
        <f t="shared" si="48"/>
        <v>2024</v>
      </c>
      <c r="F200" s="49">
        <f t="shared" si="48"/>
        <v>2025</v>
      </c>
      <c r="G200" s="50">
        <f t="shared" si="48"/>
        <v>2026</v>
      </c>
      <c r="H200" s="50">
        <f t="shared" si="48"/>
        <v>2027</v>
      </c>
      <c r="I200" s="50">
        <f t="shared" si="48"/>
        <v>2028</v>
      </c>
      <c r="J200" s="50">
        <f t="shared" si="48"/>
        <v>2029</v>
      </c>
      <c r="K200" s="50">
        <f t="shared" si="48"/>
        <v>2030</v>
      </c>
    </row>
    <row r="201" spans="3:11" x14ac:dyDescent="0.25">
      <c r="C201" s="43" t="s">
        <v>112</v>
      </c>
      <c r="D201" s="244">
        <f t="shared" ref="D201:K201" si="49">D$14</f>
        <v>45291</v>
      </c>
      <c r="E201" s="227">
        <f t="shared" si="49"/>
        <v>45657</v>
      </c>
      <c r="F201" s="227">
        <f t="shared" si="49"/>
        <v>46022</v>
      </c>
      <c r="G201" s="227">
        <f t="shared" si="49"/>
        <v>46387</v>
      </c>
      <c r="H201" s="227">
        <f t="shared" si="49"/>
        <v>46752</v>
      </c>
      <c r="I201" s="227">
        <f t="shared" si="49"/>
        <v>47118</v>
      </c>
      <c r="J201" s="227">
        <f t="shared" si="49"/>
        <v>47483</v>
      </c>
      <c r="K201" s="227">
        <f t="shared" si="49"/>
        <v>47848</v>
      </c>
    </row>
    <row r="202" spans="3:11" x14ac:dyDescent="0.25">
      <c r="D202" s="6"/>
    </row>
    <row r="203" spans="3:11" x14ac:dyDescent="0.25">
      <c r="C203" s="13" t="s">
        <v>231</v>
      </c>
      <c r="D203" s="6"/>
    </row>
    <row r="204" spans="3:11" x14ac:dyDescent="0.25">
      <c r="C204" s="17" t="s">
        <v>140</v>
      </c>
      <c r="D204" s="27">
        <f t="shared" ref="D204:F205" si="50">D54</f>
        <v>1235471092</v>
      </c>
      <c r="E204" s="27">
        <f t="shared" si="50"/>
        <v>1713951385</v>
      </c>
      <c r="F204" s="27">
        <f t="shared" si="50"/>
        <v>1927396704</v>
      </c>
      <c r="G204" s="27">
        <f>G223/365*-G17</f>
        <v>2118678148.9606071</v>
      </c>
      <c r="H204" s="27">
        <f>H223/365*-H17</f>
        <v>2286319437.8615427</v>
      </c>
      <c r="I204" s="27">
        <f>I223/365*-I17</f>
        <v>2495908694.9845381</v>
      </c>
      <c r="J204" s="27">
        <f>J223/365*-J17</f>
        <v>2621731294.5444484</v>
      </c>
      <c r="K204" s="27">
        <f>K223/365*-K17</f>
        <v>2710114378.1606088</v>
      </c>
    </row>
    <row r="205" spans="3:11" x14ac:dyDescent="0.25">
      <c r="C205" s="17" t="s">
        <v>141</v>
      </c>
      <c r="D205" s="27">
        <f t="shared" si="50"/>
        <v>727877314</v>
      </c>
      <c r="E205" s="27">
        <f t="shared" si="50"/>
        <v>541148818</v>
      </c>
      <c r="F205" s="27">
        <f t="shared" si="50"/>
        <v>1446674104</v>
      </c>
      <c r="G205" s="27">
        <f>G224/365*G16</f>
        <v>1146716713.9916065</v>
      </c>
      <c r="H205" s="27">
        <f>H224/365*H16</f>
        <v>1237451150.4760284</v>
      </c>
      <c r="I205" s="27">
        <f>I224/365*I16</f>
        <v>1350889571.6604497</v>
      </c>
      <c r="J205" s="27">
        <f>J224/365*J16</f>
        <v>1418989994.551017</v>
      </c>
      <c r="K205" s="27">
        <f>K224/365*K16</f>
        <v>1466826594.5869827</v>
      </c>
    </row>
    <row r="206" spans="3:11" x14ac:dyDescent="0.25">
      <c r="C206" s="17" t="s">
        <v>144</v>
      </c>
      <c r="D206" s="27">
        <f t="shared" ref="D206:F208" si="51">D58</f>
        <v>240052060</v>
      </c>
      <c r="E206" s="27">
        <f t="shared" si="51"/>
        <v>845817862</v>
      </c>
      <c r="F206" s="27">
        <f t="shared" si="51"/>
        <v>1449408364</v>
      </c>
      <c r="G206" s="27">
        <f t="shared" ref="G206:K208" si="52">$F206/$F$16*G$16</f>
        <v>1520689005.9630661</v>
      </c>
      <c r="H206" s="27">
        <f t="shared" si="52"/>
        <v>1641014155.4446881</v>
      </c>
      <c r="I206" s="27">
        <f t="shared" si="52"/>
        <v>1791447612.8489025</v>
      </c>
      <c r="J206" s="27">
        <f t="shared" si="52"/>
        <v>1881757244.7985766</v>
      </c>
      <c r="K206" s="27">
        <f t="shared" si="52"/>
        <v>1945194526.9710224</v>
      </c>
    </row>
    <row r="207" spans="3:11" x14ac:dyDescent="0.25">
      <c r="C207" s="17" t="s">
        <v>145</v>
      </c>
      <c r="D207" s="27">
        <f t="shared" si="51"/>
        <v>0</v>
      </c>
      <c r="E207" s="27">
        <f t="shared" si="51"/>
        <v>42873</v>
      </c>
      <c r="F207" s="27">
        <f t="shared" si="51"/>
        <v>0</v>
      </c>
      <c r="G207" s="27">
        <f t="shared" si="52"/>
        <v>0</v>
      </c>
      <c r="H207" s="27">
        <f t="shared" si="52"/>
        <v>0</v>
      </c>
      <c r="I207" s="27">
        <f t="shared" si="52"/>
        <v>0</v>
      </c>
      <c r="J207" s="27">
        <f t="shared" si="52"/>
        <v>0</v>
      </c>
      <c r="K207" s="27">
        <f t="shared" si="52"/>
        <v>0</v>
      </c>
    </row>
    <row r="208" spans="3:11" x14ac:dyDescent="0.25">
      <c r="C208" s="17" t="s">
        <v>146</v>
      </c>
      <c r="D208" s="27">
        <f t="shared" si="51"/>
        <v>77024326</v>
      </c>
      <c r="E208" s="27">
        <f t="shared" si="51"/>
        <v>40559983</v>
      </c>
      <c r="F208" s="27">
        <f t="shared" si="51"/>
        <v>75072047</v>
      </c>
      <c r="G208" s="27">
        <f t="shared" si="52"/>
        <v>78764024.938414499</v>
      </c>
      <c r="H208" s="27">
        <f t="shared" si="52"/>
        <v>84996261.140113667</v>
      </c>
      <c r="I208" s="27">
        <f t="shared" si="52"/>
        <v>92787955.920634255</v>
      </c>
      <c r="J208" s="27">
        <f t="shared" si="52"/>
        <v>97465539.61800459</v>
      </c>
      <c r="K208" s="27">
        <f t="shared" si="52"/>
        <v>100751271.05649249</v>
      </c>
    </row>
    <row r="209" spans="3:11" x14ac:dyDescent="0.25">
      <c r="C209" s="13" t="s">
        <v>232</v>
      </c>
      <c r="D209" s="211">
        <f t="shared" ref="D209:K209" si="53">SUM(D204:D208)</f>
        <v>2280424792</v>
      </c>
      <c r="E209" s="211">
        <f t="shared" si="53"/>
        <v>3141520921</v>
      </c>
      <c r="F209" s="211">
        <f t="shared" si="53"/>
        <v>4898551219</v>
      </c>
      <c r="G209" s="211">
        <f t="shared" si="53"/>
        <v>4864847893.853694</v>
      </c>
      <c r="H209" s="211">
        <f t="shared" si="53"/>
        <v>5249781004.9223728</v>
      </c>
      <c r="I209" s="211">
        <f t="shared" si="53"/>
        <v>5731033835.414525</v>
      </c>
      <c r="J209" s="211">
        <f t="shared" si="53"/>
        <v>6019944073.5120468</v>
      </c>
      <c r="K209" s="211">
        <f t="shared" si="53"/>
        <v>6222886770.7751064</v>
      </c>
    </row>
    <row r="210" spans="3:11" x14ac:dyDescent="0.25">
      <c r="C210" s="13"/>
      <c r="E210" s="28"/>
      <c r="F210" s="28"/>
      <c r="G210" s="7"/>
      <c r="H210" s="7"/>
      <c r="I210" s="7"/>
      <c r="J210" s="7"/>
      <c r="K210" s="7"/>
    </row>
    <row r="211" spans="3:11" x14ac:dyDescent="0.25">
      <c r="C211" s="13" t="s">
        <v>233</v>
      </c>
      <c r="E211" s="28"/>
      <c r="F211" s="28"/>
      <c r="G211" s="7"/>
      <c r="H211" s="7"/>
      <c r="I211" s="7"/>
      <c r="J211" s="7"/>
      <c r="K211" s="7"/>
    </row>
    <row r="212" spans="3:11" x14ac:dyDescent="0.25">
      <c r="C212" s="17" t="s">
        <v>161</v>
      </c>
      <c r="D212" s="19">
        <f t="shared" ref="D212:F214" si="54">D80</f>
        <v>241425813</v>
      </c>
      <c r="E212" s="19">
        <f t="shared" si="54"/>
        <v>397661913</v>
      </c>
      <c r="F212" s="19">
        <f t="shared" si="54"/>
        <v>571060350</v>
      </c>
      <c r="G212" s="27">
        <f>G225/365*-G17</f>
        <v>556548520.39033389</v>
      </c>
      <c r="H212" s="27">
        <f>H225/365*-H17</f>
        <v>600585653.32622421</v>
      </c>
      <c r="I212" s="27">
        <f>I225/365*-I17</f>
        <v>655641958.59785664</v>
      </c>
      <c r="J212" s="27">
        <f>J225/365*-J17</f>
        <v>688693879.03753614</v>
      </c>
      <c r="K212" s="27">
        <f>K225/365*-K17</f>
        <v>711910937.48421001</v>
      </c>
    </row>
    <row r="213" spans="3:11" x14ac:dyDescent="0.25">
      <c r="C213" s="17" t="s">
        <v>162</v>
      </c>
      <c r="D213" s="19">
        <f t="shared" si="54"/>
        <v>295685111</v>
      </c>
      <c r="E213" s="19">
        <f t="shared" si="54"/>
        <v>429516144</v>
      </c>
      <c r="F213" s="19">
        <f t="shared" si="54"/>
        <v>1102966124</v>
      </c>
      <c r="G213" s="27">
        <f t="shared" ref="G213:K215" si="55">$F213/$F$16*G$16</f>
        <v>1157209038.0985932</v>
      </c>
      <c r="H213" s="27">
        <f t="shared" si="55"/>
        <v>1248773684.0878069</v>
      </c>
      <c r="I213" s="27">
        <f t="shared" si="55"/>
        <v>1363250053.5873866</v>
      </c>
      <c r="J213" s="27">
        <f t="shared" si="55"/>
        <v>1431973587.3998344</v>
      </c>
      <c r="K213" s="27">
        <f t="shared" si="55"/>
        <v>1480247886.7434227</v>
      </c>
    </row>
    <row r="214" spans="3:11" x14ac:dyDescent="0.25">
      <c r="C214" s="17" t="s">
        <v>163</v>
      </c>
      <c r="D214" s="19">
        <f t="shared" si="54"/>
        <v>192240116</v>
      </c>
      <c r="E214" s="19">
        <f t="shared" si="54"/>
        <v>135401296</v>
      </c>
      <c r="F214" s="19">
        <f t="shared" si="54"/>
        <v>386154612</v>
      </c>
      <c r="G214" s="27">
        <f t="shared" si="55"/>
        <v>405145359.75889635</v>
      </c>
      <c r="H214" s="27">
        <f t="shared" si="55"/>
        <v>437202654.69797659</v>
      </c>
      <c r="I214" s="27">
        <f t="shared" si="55"/>
        <v>477281472.24766123</v>
      </c>
      <c r="J214" s="27">
        <f t="shared" si="55"/>
        <v>501341965.99915802</v>
      </c>
      <c r="K214" s="27">
        <f t="shared" si="55"/>
        <v>518243068.33309996</v>
      </c>
    </row>
    <row r="215" spans="3:11" x14ac:dyDescent="0.25">
      <c r="C215" s="17" t="s">
        <v>165</v>
      </c>
      <c r="D215" s="19">
        <f>D84</f>
        <v>281602367</v>
      </c>
      <c r="E215" s="19">
        <f>E84</f>
        <v>255256008</v>
      </c>
      <c r="F215" s="19">
        <f>F84</f>
        <v>54344705</v>
      </c>
      <c r="G215" s="27">
        <f t="shared" si="55"/>
        <v>57017330.297264703</v>
      </c>
      <c r="H215" s="27">
        <f t="shared" si="55"/>
        <v>61528850.249180511</v>
      </c>
      <c r="I215" s="27">
        <f t="shared" si="55"/>
        <v>67169263.308617011</v>
      </c>
      <c r="J215" s="27">
        <f t="shared" si="55"/>
        <v>70555369.273549616</v>
      </c>
      <c r="K215" s="27">
        <f t="shared" si="55"/>
        <v>72933912.45799017</v>
      </c>
    </row>
    <row r="216" spans="3:11" x14ac:dyDescent="0.25">
      <c r="C216" s="13" t="s">
        <v>234</v>
      </c>
      <c r="D216" s="214">
        <f t="shared" ref="D216:K216" si="56">SUM(D212:D215)</f>
        <v>1010953407</v>
      </c>
      <c r="E216" s="214">
        <f t="shared" si="56"/>
        <v>1217835361</v>
      </c>
      <c r="F216" s="214">
        <f t="shared" si="56"/>
        <v>2114525791</v>
      </c>
      <c r="G216" s="214">
        <f t="shared" si="56"/>
        <v>2175920248.5450883</v>
      </c>
      <c r="H216" s="214">
        <f t="shared" si="56"/>
        <v>2348090842.3611879</v>
      </c>
      <c r="I216" s="214">
        <f t="shared" si="56"/>
        <v>2563342747.7415214</v>
      </c>
      <c r="J216" s="214">
        <f t="shared" si="56"/>
        <v>2692564801.7100782</v>
      </c>
      <c r="K216" s="214">
        <f t="shared" si="56"/>
        <v>2783335805.0187225</v>
      </c>
    </row>
    <row r="217" spans="3:11" x14ac:dyDescent="0.25">
      <c r="E217" s="28"/>
      <c r="F217" s="28"/>
      <c r="G217" s="7"/>
      <c r="H217" s="7"/>
      <c r="I217" s="7"/>
      <c r="J217" s="7"/>
      <c r="K217" s="7"/>
    </row>
    <row r="218" spans="3:11" x14ac:dyDescent="0.25">
      <c r="C218" s="6" t="s">
        <v>235</v>
      </c>
      <c r="D218" s="19">
        <f t="shared" ref="D218:K218" si="57">D209-D216</f>
        <v>1269471385</v>
      </c>
      <c r="E218" s="19">
        <f t="shared" si="57"/>
        <v>1923685560</v>
      </c>
      <c r="F218" s="19">
        <f t="shared" si="57"/>
        <v>2784025428</v>
      </c>
      <c r="G218" s="19">
        <f t="shared" si="57"/>
        <v>2688927645.3086057</v>
      </c>
      <c r="H218" s="19">
        <f t="shared" si="57"/>
        <v>2901690162.5611849</v>
      </c>
      <c r="I218" s="19">
        <f t="shared" si="57"/>
        <v>3167691087.6730037</v>
      </c>
      <c r="J218" s="19">
        <f t="shared" si="57"/>
        <v>3327379271.8019686</v>
      </c>
      <c r="K218" s="19">
        <f t="shared" si="57"/>
        <v>3439550965.7563839</v>
      </c>
    </row>
    <row r="219" spans="3:11" x14ac:dyDescent="0.25">
      <c r="C219" s="6" t="s">
        <v>236</v>
      </c>
      <c r="D219" s="22">
        <f t="shared" ref="D219:K219" si="58">D218/D16</f>
        <v>0.21301451832427795</v>
      </c>
      <c r="E219" s="22">
        <f t="shared" si="58"/>
        <v>9.7895885461678503E-2</v>
      </c>
      <c r="F219" s="22">
        <f t="shared" si="58"/>
        <v>0.10371098159509964</v>
      </c>
      <c r="G219" s="22">
        <f t="shared" si="58"/>
        <v>9.5473099136444153E-2</v>
      </c>
      <c r="H219" s="22">
        <f t="shared" si="58"/>
        <v>9.5473099136444153E-2</v>
      </c>
      <c r="I219" s="22">
        <f t="shared" si="58"/>
        <v>9.5473099136444181E-2</v>
      </c>
      <c r="J219" s="22">
        <f t="shared" si="58"/>
        <v>9.5473099136444153E-2</v>
      </c>
      <c r="K219" s="22">
        <f t="shared" si="58"/>
        <v>9.5473099136444167E-2</v>
      </c>
    </row>
    <row r="220" spans="3:11" x14ac:dyDescent="0.25">
      <c r="C220" s="6" t="s">
        <v>237</v>
      </c>
      <c r="D220" s="19"/>
      <c r="E220" s="184">
        <f t="shared" ref="E220:K220" si="59">D218-E218</f>
        <v>-654214175</v>
      </c>
      <c r="F220" s="184">
        <f t="shared" si="59"/>
        <v>-860339868</v>
      </c>
      <c r="G220" s="184">
        <f t="shared" si="59"/>
        <v>95097782.691394329</v>
      </c>
      <c r="H220" s="184">
        <f t="shared" si="59"/>
        <v>-212762517.25257921</v>
      </c>
      <c r="I220" s="184">
        <f t="shared" si="59"/>
        <v>-266000925.11181879</v>
      </c>
      <c r="J220" s="184">
        <f t="shared" si="59"/>
        <v>-159688184.1289649</v>
      </c>
      <c r="K220" s="184">
        <f t="shared" si="59"/>
        <v>-112171693.95441532</v>
      </c>
    </row>
    <row r="221" spans="3:11" x14ac:dyDescent="0.25">
      <c r="D221" s="19"/>
      <c r="E221" s="184"/>
      <c r="F221" s="184"/>
      <c r="G221" s="184"/>
      <c r="H221" s="184"/>
      <c r="I221" s="184"/>
      <c r="J221" s="184"/>
      <c r="K221" s="184"/>
    </row>
    <row r="222" spans="3:11" x14ac:dyDescent="0.25">
      <c r="C222" s="13" t="s">
        <v>238</v>
      </c>
      <c r="G222" s="235"/>
      <c r="H222" s="235"/>
      <c r="I222" s="235"/>
      <c r="J222" s="235"/>
      <c r="K222" s="235"/>
    </row>
    <row r="223" spans="3:11" x14ac:dyDescent="0.25">
      <c r="C223" s="17" t="s">
        <v>239</v>
      </c>
      <c r="D223" s="239">
        <f>D204/-D17*365</f>
        <v>164.86061138221433</v>
      </c>
      <c r="E223" s="239">
        <f>E204/-E17*365</f>
        <v>57.909739823621308</v>
      </c>
      <c r="F223" s="239">
        <f>F204/-F17*365</f>
        <v>52.864598095762524</v>
      </c>
      <c r="G223" s="257">
        <f>AVERAGE(E223:F223)</f>
        <v>55.38716895969192</v>
      </c>
      <c r="H223" s="257">
        <f t="shared" ref="H223:K225" si="60">G223</f>
        <v>55.38716895969192</v>
      </c>
      <c r="I223" s="257">
        <f t="shared" si="60"/>
        <v>55.38716895969192</v>
      </c>
      <c r="J223" s="257">
        <f t="shared" si="60"/>
        <v>55.38716895969192</v>
      </c>
      <c r="K223" s="257">
        <f t="shared" si="60"/>
        <v>55.38716895969192</v>
      </c>
    </row>
    <row r="224" spans="3:11" x14ac:dyDescent="0.25">
      <c r="C224" s="17" t="s">
        <v>240</v>
      </c>
      <c r="D224" s="239">
        <f>D205/D16*365</f>
        <v>44.579720035139601</v>
      </c>
      <c r="E224" s="239">
        <f>E205/E16*365</f>
        <v>10.051709587713237</v>
      </c>
      <c r="F224" s="239">
        <f>F205/F16*365</f>
        <v>19.670487309761999</v>
      </c>
      <c r="G224" s="257">
        <f>AVERAGE(E224:F224)</f>
        <v>14.861098448737618</v>
      </c>
      <c r="H224" s="257">
        <f t="shared" si="60"/>
        <v>14.861098448737618</v>
      </c>
      <c r="I224" s="257">
        <f t="shared" si="60"/>
        <v>14.861098448737618</v>
      </c>
      <c r="J224" s="257">
        <f t="shared" si="60"/>
        <v>14.861098448737618</v>
      </c>
      <c r="K224" s="257">
        <f t="shared" si="60"/>
        <v>14.861098448737618</v>
      </c>
    </row>
    <row r="225" spans="3:11" x14ac:dyDescent="0.25">
      <c r="C225" s="17" t="s">
        <v>241</v>
      </c>
      <c r="D225" s="239">
        <f>D212/-D17*365</f>
        <v>32.215733247304627</v>
      </c>
      <c r="E225" s="239">
        <f>E212/-E17*365</f>
        <v>13.435910797197748</v>
      </c>
      <c r="F225" s="239">
        <f>F212/-F17*365</f>
        <v>15.663031813078934</v>
      </c>
      <c r="G225" s="257">
        <f>AVERAGE(E225:F225)</f>
        <v>14.54947130513834</v>
      </c>
      <c r="H225" s="257">
        <f t="shared" si="60"/>
        <v>14.54947130513834</v>
      </c>
      <c r="I225" s="257">
        <f t="shared" si="60"/>
        <v>14.54947130513834</v>
      </c>
      <c r="J225" s="257">
        <f t="shared" si="60"/>
        <v>14.54947130513834</v>
      </c>
      <c r="K225" s="257">
        <f t="shared" si="60"/>
        <v>14.54947130513834</v>
      </c>
    </row>
    <row r="226" spans="3:11" x14ac:dyDescent="0.25">
      <c r="D226" s="236"/>
      <c r="E226" s="236"/>
      <c r="F226" s="236"/>
      <c r="G226" s="235"/>
      <c r="H226" s="235"/>
      <c r="I226" s="235"/>
      <c r="J226" s="235"/>
      <c r="K226" s="235"/>
    </row>
    <row r="227" spans="3:11" x14ac:dyDescent="0.25">
      <c r="C227" s="13" t="s">
        <v>242</v>
      </c>
    </row>
    <row r="228" spans="3:11" x14ac:dyDescent="0.25">
      <c r="C228" s="48" t="s">
        <v>111</v>
      </c>
      <c r="D228" s="49">
        <f t="shared" ref="D228:K228" si="61">D$13</f>
        <v>2023</v>
      </c>
      <c r="E228" s="49">
        <f t="shared" si="61"/>
        <v>2024</v>
      </c>
      <c r="F228" s="49">
        <f t="shared" si="61"/>
        <v>2025</v>
      </c>
      <c r="G228" s="50">
        <f t="shared" si="61"/>
        <v>2026</v>
      </c>
      <c r="H228" s="50">
        <f t="shared" si="61"/>
        <v>2027</v>
      </c>
      <c r="I228" s="50">
        <f t="shared" si="61"/>
        <v>2028</v>
      </c>
      <c r="J228" s="50">
        <f t="shared" si="61"/>
        <v>2029</v>
      </c>
      <c r="K228" s="50">
        <f t="shared" si="61"/>
        <v>2030</v>
      </c>
    </row>
    <row r="229" spans="3:11" x14ac:dyDescent="0.25">
      <c r="C229" s="43" t="s">
        <v>112</v>
      </c>
      <c r="D229" s="244">
        <f t="shared" ref="D229:K229" si="62">D$14</f>
        <v>45291</v>
      </c>
      <c r="E229" s="227">
        <f t="shared" si="62"/>
        <v>45657</v>
      </c>
      <c r="F229" s="227">
        <f t="shared" si="62"/>
        <v>46022</v>
      </c>
      <c r="G229" s="227">
        <f t="shared" si="62"/>
        <v>46387</v>
      </c>
      <c r="H229" s="227">
        <f t="shared" si="62"/>
        <v>46752</v>
      </c>
      <c r="I229" s="227">
        <f t="shared" si="62"/>
        <v>47118</v>
      </c>
      <c r="J229" s="227">
        <f t="shared" si="62"/>
        <v>47483</v>
      </c>
      <c r="K229" s="227">
        <f t="shared" si="62"/>
        <v>47848</v>
      </c>
    </row>
    <row r="231" spans="3:11" x14ac:dyDescent="0.25">
      <c r="C231" s="13" t="s">
        <v>243</v>
      </c>
      <c r="D231" s="19"/>
      <c r="E231" s="184"/>
      <c r="F231" s="184"/>
      <c r="G231" s="184"/>
      <c r="H231" s="184"/>
      <c r="I231" s="184"/>
      <c r="J231" s="184"/>
      <c r="K231" s="184"/>
    </row>
    <row r="232" spans="3:11" x14ac:dyDescent="0.25">
      <c r="C232" s="29" t="s">
        <v>205</v>
      </c>
      <c r="D232" s="19"/>
      <c r="E232" s="184">
        <f t="shared" ref="E232:K232" si="63">D233</f>
        <v>459225921</v>
      </c>
      <c r="F232" s="184">
        <f t="shared" si="63"/>
        <v>726015851</v>
      </c>
      <c r="G232" s="184">
        <f t="shared" si="63"/>
        <v>842054693</v>
      </c>
      <c r="H232" s="184">
        <f t="shared" si="63"/>
        <v>1030399127.4039989</v>
      </c>
      <c r="I232" s="184">
        <f t="shared" si="63"/>
        <v>1269999757.7549355</v>
      </c>
      <c r="J232" s="184">
        <f t="shared" si="63"/>
        <v>1574805483.7442961</v>
      </c>
      <c r="K232" s="184">
        <f t="shared" si="63"/>
        <v>1962561269.1102324</v>
      </c>
    </row>
    <row r="233" spans="3:11" x14ac:dyDescent="0.25">
      <c r="C233" s="29" t="s">
        <v>208</v>
      </c>
      <c r="D233" s="19">
        <f t="shared" ref="D233:K233" si="64">D79+D88+D90+D83</f>
        <v>459225921</v>
      </c>
      <c r="E233" s="19">
        <f t="shared" si="64"/>
        <v>726015851</v>
      </c>
      <c r="F233" s="19">
        <f t="shared" si="64"/>
        <v>842054693</v>
      </c>
      <c r="G233" s="19">
        <f t="shared" si="64"/>
        <v>1030399127.4039989</v>
      </c>
      <c r="H233" s="19">
        <f t="shared" si="64"/>
        <v>1269999757.7549355</v>
      </c>
      <c r="I233" s="19">
        <f t="shared" si="64"/>
        <v>1574805483.7442961</v>
      </c>
      <c r="J233" s="19">
        <f t="shared" si="64"/>
        <v>1962561269.1102324</v>
      </c>
      <c r="K233" s="19">
        <f t="shared" si="64"/>
        <v>2455841205.3605194</v>
      </c>
    </row>
    <row r="234" spans="3:11" x14ac:dyDescent="0.25">
      <c r="C234" s="29" t="s">
        <v>244</v>
      </c>
      <c r="D234" s="19"/>
      <c r="E234" s="184">
        <f t="shared" ref="E234:K234" si="65">AVERAGE(E232,E233)</f>
        <v>592620886</v>
      </c>
      <c r="F234" s="184">
        <f t="shared" si="65"/>
        <v>784035272</v>
      </c>
      <c r="G234" s="184">
        <f t="shared" si="65"/>
        <v>936226910.20199943</v>
      </c>
      <c r="H234" s="184">
        <f t="shared" si="65"/>
        <v>1150199442.5794673</v>
      </c>
      <c r="I234" s="184">
        <f t="shared" si="65"/>
        <v>1422402620.7496157</v>
      </c>
      <c r="J234" s="184">
        <f t="shared" si="65"/>
        <v>1768683376.4272642</v>
      </c>
      <c r="K234" s="184">
        <f t="shared" si="65"/>
        <v>2209201237.2353759</v>
      </c>
    </row>
    <row r="235" spans="3:11" x14ac:dyDescent="0.25">
      <c r="C235" s="29" t="s">
        <v>245</v>
      </c>
      <c r="D235" s="22"/>
      <c r="E235" s="1">
        <f>E242/E234</f>
        <v>-8.8436456152846427E-2</v>
      </c>
      <c r="F235" s="1">
        <f>F242/F234</f>
        <v>-0.11455777974233791</v>
      </c>
      <c r="G235" s="210">
        <f>F235</f>
        <v>-0.11455777974233791</v>
      </c>
      <c r="H235" s="210">
        <f>G235</f>
        <v>-0.11455777974233791</v>
      </c>
      <c r="I235" s="210">
        <f>H235</f>
        <v>-0.11455777974233791</v>
      </c>
      <c r="J235" s="210">
        <f>I235</f>
        <v>-0.11455777974233791</v>
      </c>
      <c r="K235" s="210">
        <f>J235</f>
        <v>-0.11455777974233791</v>
      </c>
    </row>
    <row r="236" spans="3:11" x14ac:dyDescent="0.25">
      <c r="C236" s="17"/>
      <c r="D236" s="250"/>
      <c r="E236" s="206"/>
      <c r="F236" s="206"/>
      <c r="G236" s="207"/>
      <c r="H236" s="207"/>
      <c r="I236" s="207"/>
      <c r="J236" s="207"/>
      <c r="K236" s="207"/>
    </row>
    <row r="237" spans="3:11" x14ac:dyDescent="0.25">
      <c r="C237" s="13" t="s">
        <v>246</v>
      </c>
      <c r="D237" s="7"/>
    </row>
    <row r="238" spans="3:11" x14ac:dyDescent="0.25">
      <c r="C238" s="17" t="s">
        <v>247</v>
      </c>
      <c r="D238" s="184">
        <f t="shared" ref="D238:K238" si="66">D56+D57+D69+D61</f>
        <v>15553417033</v>
      </c>
      <c r="E238" s="184">
        <f t="shared" si="66"/>
        <v>18939244338</v>
      </c>
      <c r="F238" s="184">
        <f t="shared" si="66"/>
        <v>16938579826</v>
      </c>
      <c r="G238" s="184">
        <f t="shared" si="66"/>
        <v>16704126028.224609</v>
      </c>
      <c r="H238" s="184">
        <f t="shared" si="66"/>
        <v>18619977005.747597</v>
      </c>
      <c r="I238" s="184">
        <f t="shared" si="66"/>
        <v>21578485108.464302</v>
      </c>
      <c r="J238" s="184">
        <f t="shared" si="66"/>
        <v>24759899129.996006</v>
      </c>
      <c r="K238" s="184">
        <f t="shared" si="66"/>
        <v>28158869983.471874</v>
      </c>
    </row>
    <row r="239" spans="3:11" x14ac:dyDescent="0.25">
      <c r="C239" s="17" t="s">
        <v>248</v>
      </c>
      <c r="D239" s="184"/>
      <c r="E239" s="184">
        <f t="shared" ref="E239:K239" si="67">AVERAGE(D238,E238)</f>
        <v>17246330685.5</v>
      </c>
      <c r="F239" s="184">
        <f t="shared" si="67"/>
        <v>17938912082</v>
      </c>
      <c r="G239" s="184">
        <f t="shared" si="67"/>
        <v>16821352927.112305</v>
      </c>
      <c r="H239" s="184">
        <f t="shared" si="67"/>
        <v>17662051516.986103</v>
      </c>
      <c r="I239" s="184">
        <f t="shared" si="67"/>
        <v>20099231057.105949</v>
      </c>
      <c r="J239" s="184">
        <f t="shared" si="67"/>
        <v>23169192119.230156</v>
      </c>
      <c r="K239" s="184">
        <f t="shared" si="67"/>
        <v>26459384556.73394</v>
      </c>
    </row>
    <row r="240" spans="3:11" x14ac:dyDescent="0.25">
      <c r="C240" s="17" t="s">
        <v>249</v>
      </c>
      <c r="D240" s="184"/>
      <c r="E240" s="1">
        <f>E243/E239</f>
        <v>0.13209191627731764</v>
      </c>
      <c r="F240" s="1">
        <f>F243/F239</f>
        <v>0.12549521981653022</v>
      </c>
      <c r="G240" s="210">
        <f>AVERAGE(E240:F240)</f>
        <v>0.12879356804692393</v>
      </c>
      <c r="H240" s="210">
        <f>G240</f>
        <v>0.12879356804692393</v>
      </c>
      <c r="I240" s="210">
        <f>H240</f>
        <v>0.12879356804692393</v>
      </c>
      <c r="J240" s="210">
        <f>I240</f>
        <v>0.12879356804692393</v>
      </c>
      <c r="K240" s="210">
        <f>J240</f>
        <v>0.12879356804692393</v>
      </c>
    </row>
    <row r="241" spans="3:11" x14ac:dyDescent="0.25">
      <c r="C241" s="17"/>
      <c r="D241" s="250"/>
      <c r="E241" s="206"/>
      <c r="F241" s="206"/>
      <c r="G241" s="207"/>
      <c r="H241" s="207"/>
      <c r="I241" s="207"/>
      <c r="J241" s="207"/>
      <c r="K241" s="207"/>
    </row>
    <row r="242" spans="3:11" x14ac:dyDescent="0.25">
      <c r="C242" s="6" t="s">
        <v>125</v>
      </c>
      <c r="D242" s="19">
        <f>D28</f>
        <v>-31046190</v>
      </c>
      <c r="E242" s="19">
        <f>E28</f>
        <v>-52409291</v>
      </c>
      <c r="F242" s="19">
        <f>F28</f>
        <v>-89817340</v>
      </c>
      <c r="G242" s="19">
        <f>G235*F232</f>
        <v>-83170763.948304012</v>
      </c>
      <c r="H242" s="19">
        <f>H235*G232</f>
        <v>-96463916.051695973</v>
      </c>
      <c r="I242" s="19">
        <f>I235*H232</f>
        <v>-118040236.28384449</v>
      </c>
      <c r="J242" s="19">
        <f>J235*I232</f>
        <v>-145488352.52171239</v>
      </c>
      <c r="K242" s="19">
        <f>K235*J232</f>
        <v>-180406219.74380499</v>
      </c>
    </row>
    <row r="243" spans="3:11" x14ac:dyDescent="0.25">
      <c r="C243" s="6" t="s">
        <v>124</v>
      </c>
      <c r="D243" s="184">
        <f>D27</f>
        <v>879572186</v>
      </c>
      <c r="E243" s="184">
        <f>E27</f>
        <v>2278100869</v>
      </c>
      <c r="F243" s="184">
        <f>F27</f>
        <v>2251247715</v>
      </c>
      <c r="G243" s="184">
        <f>G240*F238</f>
        <v>2181580133.4381838</v>
      </c>
      <c r="H243" s="184">
        <f>H240*G238</f>
        <v>2151383992.2805395</v>
      </c>
      <c r="I243" s="184">
        <f>I240*H238</f>
        <v>2398133275.5219121</v>
      </c>
      <c r="J243" s="184">
        <f>J240*I238</f>
        <v>2779170090.166532</v>
      </c>
      <c r="K243" s="184">
        <f>K240*J238</f>
        <v>3188915753.4341135</v>
      </c>
    </row>
    <row r="244" spans="3:11" x14ac:dyDescent="0.25">
      <c r="C244" s="6" t="s">
        <v>250</v>
      </c>
      <c r="D244" s="184">
        <f t="shared" ref="D244:K244" si="68">SUM(D242:D243)</f>
        <v>848525996</v>
      </c>
      <c r="E244" s="184">
        <f t="shared" si="68"/>
        <v>2225691578</v>
      </c>
      <c r="F244" s="184">
        <f t="shared" si="68"/>
        <v>2161430375</v>
      </c>
      <c r="G244" s="184">
        <f t="shared" si="68"/>
        <v>2098409369.4898798</v>
      </c>
      <c r="H244" s="184">
        <f t="shared" si="68"/>
        <v>2054920076.2288435</v>
      </c>
      <c r="I244" s="184">
        <f t="shared" si="68"/>
        <v>2280093039.2380676</v>
      </c>
      <c r="J244" s="184">
        <f t="shared" si="68"/>
        <v>2633681737.6448197</v>
      </c>
      <c r="K244" s="184">
        <f t="shared" si="68"/>
        <v>3008509533.6903086</v>
      </c>
    </row>
    <row r="246" spans="3:11" x14ac:dyDescent="0.25">
      <c r="C246" s="13" t="s">
        <v>251</v>
      </c>
    </row>
    <row r="247" spans="3:11" x14ac:dyDescent="0.25">
      <c r="C247" s="48" t="s">
        <v>111</v>
      </c>
      <c r="D247" s="49">
        <f t="shared" ref="D247:K247" si="69">D$13</f>
        <v>2023</v>
      </c>
      <c r="E247" s="49">
        <f t="shared" si="69"/>
        <v>2024</v>
      </c>
      <c r="F247" s="49">
        <f t="shared" si="69"/>
        <v>2025</v>
      </c>
      <c r="G247" s="50">
        <f t="shared" si="69"/>
        <v>2026</v>
      </c>
      <c r="H247" s="50">
        <f t="shared" si="69"/>
        <v>2027</v>
      </c>
      <c r="I247" s="50">
        <f t="shared" si="69"/>
        <v>2028</v>
      </c>
      <c r="J247" s="50">
        <f t="shared" si="69"/>
        <v>2029</v>
      </c>
      <c r="K247" s="50">
        <f t="shared" si="69"/>
        <v>2030</v>
      </c>
    </row>
    <row r="248" spans="3:11" x14ac:dyDescent="0.25">
      <c r="C248" s="43" t="s">
        <v>112</v>
      </c>
      <c r="D248" s="244">
        <f t="shared" ref="D248:K248" si="70">D$14</f>
        <v>45291</v>
      </c>
      <c r="E248" s="227">
        <f t="shared" si="70"/>
        <v>45657</v>
      </c>
      <c r="F248" s="227">
        <f t="shared" si="70"/>
        <v>46022</v>
      </c>
      <c r="G248" s="227">
        <f t="shared" si="70"/>
        <v>46387</v>
      </c>
      <c r="H248" s="227">
        <f t="shared" si="70"/>
        <v>46752</v>
      </c>
      <c r="I248" s="227">
        <f t="shared" si="70"/>
        <v>47118</v>
      </c>
      <c r="J248" s="227">
        <f t="shared" si="70"/>
        <v>47483</v>
      </c>
      <c r="K248" s="227">
        <f t="shared" si="70"/>
        <v>47848</v>
      </c>
    </row>
    <row r="250" spans="3:11" x14ac:dyDescent="0.25">
      <c r="C250" s="13" t="s">
        <v>252</v>
      </c>
    </row>
    <row r="251" spans="3:11" x14ac:dyDescent="0.25">
      <c r="C251" s="17" t="s">
        <v>205</v>
      </c>
      <c r="D251" s="19"/>
      <c r="E251" s="184">
        <f t="shared" ref="E251:K251" si="71">D255</f>
        <v>13484740108</v>
      </c>
      <c r="F251" s="184">
        <f t="shared" si="71"/>
        <v>15132261531</v>
      </c>
      <c r="G251" s="184">
        <f t="shared" si="71"/>
        <v>16804480294</v>
      </c>
      <c r="H251" s="184">
        <f t="shared" si="71"/>
        <v>19482228288.167267</v>
      </c>
      <c r="I251" s="184">
        <f t="shared" si="71"/>
        <v>22377954710.29578</v>
      </c>
      <c r="J251" s="184">
        <f t="shared" si="71"/>
        <v>25580798138.102234</v>
      </c>
      <c r="K251" s="184">
        <f t="shared" si="71"/>
        <v>28951278692.65921</v>
      </c>
    </row>
    <row r="252" spans="3:11" x14ac:dyDescent="0.25">
      <c r="C252" s="17" t="s">
        <v>253</v>
      </c>
      <c r="D252" s="264">
        <f t="shared" ref="D252:K252" si="72">D35</f>
        <v>5974356399</v>
      </c>
      <c r="E252" s="264">
        <f t="shared" si="72"/>
        <v>15119739368</v>
      </c>
      <c r="F252" s="264">
        <f t="shared" si="72"/>
        <v>11296540287</v>
      </c>
      <c r="G252" s="264">
        <f t="shared" si="72"/>
        <v>11615299123.329996</v>
      </c>
      <c r="H252" s="264">
        <f t="shared" si="72"/>
        <v>12374715829.018667</v>
      </c>
      <c r="I252" s="264">
        <f t="shared" si="72"/>
        <v>13540804115.758194</v>
      </c>
      <c r="J252" s="264">
        <f t="shared" si="72"/>
        <v>14410109558.622805</v>
      </c>
      <c r="K252" s="264">
        <f t="shared" si="72"/>
        <v>15118746725.577112</v>
      </c>
    </row>
    <row r="253" spans="3:11" x14ac:dyDescent="0.25">
      <c r="C253" s="17" t="s">
        <v>254</v>
      </c>
      <c r="D253" s="234">
        <v>3437011301</v>
      </c>
      <c r="E253" s="186">
        <v>11955401802</v>
      </c>
      <c r="F253" s="234">
        <v>7277190123</v>
      </c>
      <c r="G253" s="184">
        <f>G257*G252</f>
        <v>7783044711.3902178</v>
      </c>
      <c r="H253" s="184">
        <f>H257*H252</f>
        <v>8291905836.0322742</v>
      </c>
      <c r="I253" s="184">
        <f>I257*I252</f>
        <v>9073264729.7428169</v>
      </c>
      <c r="J253" s="184">
        <f>J257*J252</f>
        <v>9655758822.9065952</v>
      </c>
      <c r="K253" s="184">
        <f>K257*K252</f>
        <v>10130594184.096766</v>
      </c>
    </row>
    <row r="254" spans="3:11" x14ac:dyDescent="0.25">
      <c r="C254" s="17" t="s">
        <v>255</v>
      </c>
      <c r="D254" s="234">
        <v>152493511</v>
      </c>
      <c r="E254" s="186">
        <v>977311347</v>
      </c>
      <c r="F254" s="234">
        <v>1545237364</v>
      </c>
      <c r="G254" s="184">
        <f>F252*G258</f>
        <v>1154506417.7725105</v>
      </c>
      <c r="H254" s="184">
        <f>G252*H258</f>
        <v>1187083570.8578832</v>
      </c>
      <c r="I254" s="184">
        <f>H252*I258</f>
        <v>1264695958.2089193</v>
      </c>
      <c r="J254" s="184">
        <f>I252*J258</f>
        <v>1383870181.1592326</v>
      </c>
      <c r="K254" s="184">
        <f>J252*K258</f>
        <v>1472713197.4539409</v>
      </c>
    </row>
    <row r="255" spans="3:11" x14ac:dyDescent="0.25">
      <c r="C255" s="17" t="s">
        <v>256</v>
      </c>
      <c r="D255" s="19">
        <f>D100</f>
        <v>13484740108</v>
      </c>
      <c r="E255" s="19">
        <f>E100</f>
        <v>15132261531</v>
      </c>
      <c r="F255" s="19">
        <f>F100</f>
        <v>16804480294</v>
      </c>
      <c r="G255" s="184">
        <f>G251+G252-G253-G254</f>
        <v>19482228288.167267</v>
      </c>
      <c r="H255" s="184">
        <f>H251+H252-H253-H254</f>
        <v>22377954710.29578</v>
      </c>
      <c r="I255" s="184">
        <f>I251+I252-I253-I254</f>
        <v>25580798138.102234</v>
      </c>
      <c r="J255" s="184">
        <f>J251+J252-J253-J254</f>
        <v>28951278692.65921</v>
      </c>
      <c r="K255" s="184">
        <f>K251+K252-K253-K254</f>
        <v>32466718036.685616</v>
      </c>
    </row>
    <row r="256" spans="3:11" x14ac:dyDescent="0.25">
      <c r="D256" s="184"/>
      <c r="E256" s="184"/>
      <c r="F256" s="184"/>
      <c r="G256" s="184"/>
      <c r="H256" s="184"/>
      <c r="I256" s="184"/>
      <c r="J256" s="184"/>
      <c r="K256" s="184"/>
    </row>
    <row r="257" spans="3:11" x14ac:dyDescent="0.25">
      <c r="C257" s="6" t="s">
        <v>257</v>
      </c>
      <c r="D257" s="1">
        <f>D253/D252</f>
        <v>0.57529398506846596</v>
      </c>
      <c r="E257" s="1">
        <f>E253/E252</f>
        <v>0.79071480737974054</v>
      </c>
      <c r="F257" s="1">
        <f>F253/F252</f>
        <v>0.64419635907239248</v>
      </c>
      <c r="G257" s="210">
        <f>AVERAGE(D257:F257)</f>
        <v>0.67006838384019962</v>
      </c>
      <c r="H257" s="210">
        <f>G257</f>
        <v>0.67006838384019962</v>
      </c>
      <c r="I257" s="210">
        <f t="shared" ref="H257:K258" si="73">H257</f>
        <v>0.67006838384019962</v>
      </c>
      <c r="J257" s="210">
        <f t="shared" si="73"/>
        <v>0.67006838384019962</v>
      </c>
      <c r="K257" s="210">
        <f t="shared" si="73"/>
        <v>0.67006838384019962</v>
      </c>
    </row>
    <row r="258" spans="3:11" x14ac:dyDescent="0.25">
      <c r="C258" s="6" t="s">
        <v>258</v>
      </c>
      <c r="D258" s="1">
        <f>D254/3834518011</f>
        <v>3.976862556455469E-2</v>
      </c>
      <c r="E258" s="1">
        <f>E254/D252</f>
        <v>0.16358437323283631</v>
      </c>
      <c r="F258" s="1">
        <f>F254/E252</f>
        <v>0.10220000003904829</v>
      </c>
      <c r="G258" s="210">
        <f>F258</f>
        <v>0.10220000003904829</v>
      </c>
      <c r="H258" s="210">
        <f t="shared" si="73"/>
        <v>0.10220000003904829</v>
      </c>
      <c r="I258" s="210">
        <f t="shared" si="73"/>
        <v>0.10220000003904829</v>
      </c>
      <c r="J258" s="210">
        <f t="shared" si="73"/>
        <v>0.10220000003904829</v>
      </c>
      <c r="K258" s="210">
        <f t="shared" si="73"/>
        <v>0.10220000003904829</v>
      </c>
    </row>
    <row r="260" spans="3:11" x14ac:dyDescent="0.25">
      <c r="C260" s="13" t="s">
        <v>259</v>
      </c>
    </row>
    <row r="261" spans="3:11" x14ac:dyDescent="0.25">
      <c r="C261" s="48" t="s">
        <v>111</v>
      </c>
      <c r="D261" s="49">
        <f t="shared" ref="D261:K261" si="74">D$13</f>
        <v>2023</v>
      </c>
      <c r="E261" s="49">
        <f t="shared" si="74"/>
        <v>2024</v>
      </c>
      <c r="F261" s="49">
        <f t="shared" si="74"/>
        <v>2025</v>
      </c>
      <c r="G261" s="50">
        <f t="shared" si="74"/>
        <v>2026</v>
      </c>
      <c r="H261" s="50">
        <f t="shared" si="74"/>
        <v>2027</v>
      </c>
      <c r="I261" s="50">
        <f t="shared" si="74"/>
        <v>2028</v>
      </c>
      <c r="J261" s="50">
        <f t="shared" si="74"/>
        <v>2029</v>
      </c>
      <c r="K261" s="50">
        <f t="shared" si="74"/>
        <v>2030</v>
      </c>
    </row>
    <row r="262" spans="3:11" x14ac:dyDescent="0.25">
      <c r="C262" s="43" t="s">
        <v>112</v>
      </c>
      <c r="D262" s="244">
        <f t="shared" ref="D262:K262" si="75">D$14</f>
        <v>45291</v>
      </c>
      <c r="E262" s="227">
        <f t="shared" si="75"/>
        <v>45657</v>
      </c>
      <c r="F262" s="227">
        <f t="shared" si="75"/>
        <v>46022</v>
      </c>
      <c r="G262" s="227">
        <f t="shared" si="75"/>
        <v>46387</v>
      </c>
      <c r="H262" s="227">
        <f t="shared" si="75"/>
        <v>46752</v>
      </c>
      <c r="I262" s="227">
        <f t="shared" si="75"/>
        <v>47118</v>
      </c>
      <c r="J262" s="227">
        <f t="shared" si="75"/>
        <v>47483</v>
      </c>
      <c r="K262" s="227">
        <f t="shared" si="75"/>
        <v>47848</v>
      </c>
    </row>
    <row r="263" spans="3:11" x14ac:dyDescent="0.25">
      <c r="C263" s="237"/>
      <c r="D263" s="251"/>
      <c r="E263" s="238"/>
      <c r="F263" s="238"/>
      <c r="G263" s="238"/>
      <c r="H263" s="238"/>
      <c r="I263" s="238"/>
      <c r="J263" s="238"/>
      <c r="K263" s="238"/>
    </row>
    <row r="264" spans="3:11" x14ac:dyDescent="0.25">
      <c r="C264" s="6" t="s">
        <v>260</v>
      </c>
      <c r="D264" s="19"/>
      <c r="E264" s="184">
        <f t="shared" ref="E264:K264" si="76">D267</f>
        <v>114162591</v>
      </c>
      <c r="F264" s="184">
        <f t="shared" si="76"/>
        <v>88041967</v>
      </c>
      <c r="G264" s="184">
        <f t="shared" si="76"/>
        <v>72034336</v>
      </c>
      <c r="H264" s="184">
        <f t="shared" si="76"/>
        <v>72034336</v>
      </c>
      <c r="I264" s="184">
        <f t="shared" si="76"/>
        <v>72034336</v>
      </c>
      <c r="J264" s="184">
        <f t="shared" si="76"/>
        <v>72034336</v>
      </c>
      <c r="K264" s="184">
        <f t="shared" si="76"/>
        <v>72034336</v>
      </c>
    </row>
    <row r="265" spans="3:11" x14ac:dyDescent="0.25">
      <c r="C265" s="6" t="s">
        <v>261</v>
      </c>
      <c r="D265" s="186">
        <v>0</v>
      </c>
      <c r="E265" s="186">
        <v>0</v>
      </c>
      <c r="F265" s="186">
        <v>0</v>
      </c>
      <c r="G265" s="184"/>
      <c r="H265" s="184"/>
      <c r="I265" s="184"/>
      <c r="J265" s="184"/>
      <c r="K265" s="184"/>
    </row>
    <row r="266" spans="3:11" x14ac:dyDescent="0.25">
      <c r="C266" s="6" t="s">
        <v>262</v>
      </c>
      <c r="D266" s="234">
        <v>4018402</v>
      </c>
      <c r="E266" s="186">
        <v>16007631</v>
      </c>
      <c r="F266" s="186">
        <v>16007631</v>
      </c>
      <c r="G266" s="184"/>
      <c r="H266" s="184"/>
      <c r="I266" s="184"/>
      <c r="J266" s="184"/>
      <c r="K266" s="184"/>
    </row>
    <row r="267" spans="3:11" x14ac:dyDescent="0.25">
      <c r="C267" s="6" t="s">
        <v>263</v>
      </c>
      <c r="D267" s="19">
        <f>D67</f>
        <v>114162591</v>
      </c>
      <c r="E267" s="19">
        <f>E67</f>
        <v>88041967</v>
      </c>
      <c r="F267" s="19">
        <f>F67</f>
        <v>72034336</v>
      </c>
      <c r="G267" s="184">
        <f>G264</f>
        <v>72034336</v>
      </c>
      <c r="H267" s="184">
        <f>H264</f>
        <v>72034336</v>
      </c>
      <c r="I267" s="184">
        <f>I264</f>
        <v>72034336</v>
      </c>
      <c r="J267" s="184">
        <f>J264</f>
        <v>72034336</v>
      </c>
      <c r="K267" s="184">
        <f>K264</f>
        <v>72034336</v>
      </c>
    </row>
    <row r="268" spans="3:11" x14ac:dyDescent="0.25">
      <c r="D268" s="19"/>
      <c r="E268" s="19"/>
      <c r="F268" s="19"/>
      <c r="G268" s="184"/>
      <c r="H268" s="184"/>
      <c r="I268" s="184"/>
      <c r="J268" s="184"/>
      <c r="K268" s="184"/>
    </row>
    <row r="269" spans="3:11" x14ac:dyDescent="0.25">
      <c r="C269" s="6" t="s">
        <v>264</v>
      </c>
      <c r="D269" s="1"/>
      <c r="E269" s="1"/>
      <c r="F269" s="1"/>
      <c r="G269" s="210"/>
      <c r="H269" s="210"/>
      <c r="I269" s="210"/>
      <c r="J269" s="210"/>
      <c r="K269" s="210"/>
    </row>
    <row r="270" spans="3:11" x14ac:dyDescent="0.25">
      <c r="C270" s="6" t="s">
        <v>265</v>
      </c>
      <c r="D270" s="1">
        <f>D266/D16</f>
        <v>6.7427905550097552E-4</v>
      </c>
      <c r="E270" s="1">
        <f>E266/E16</f>
        <v>8.1462440820568097E-4</v>
      </c>
      <c r="F270" s="1">
        <f>F266/F16</f>
        <v>5.9631895144534816E-4</v>
      </c>
      <c r="G270" s="210">
        <f>AVERAGE(D270:F270)</f>
        <v>6.9507413838400158E-4</v>
      </c>
      <c r="H270" s="210">
        <f>G270</f>
        <v>6.9507413838400158E-4</v>
      </c>
      <c r="I270" s="210">
        <f>H270</f>
        <v>6.9507413838400158E-4</v>
      </c>
      <c r="J270" s="210">
        <f>I270</f>
        <v>6.9507413838400158E-4</v>
      </c>
      <c r="K270" s="210">
        <f>J270</f>
        <v>6.9507413838400158E-4</v>
      </c>
    </row>
    <row r="271" spans="3:11" x14ac:dyDescent="0.25">
      <c r="D271" s="19"/>
      <c r="E271" s="19"/>
      <c r="F271" s="19"/>
      <c r="G271" s="184"/>
      <c r="H271" s="184"/>
      <c r="I271" s="184"/>
      <c r="J271" s="184"/>
      <c r="K271" s="184"/>
    </row>
    <row r="272" spans="3:11" x14ac:dyDescent="0.25">
      <c r="C272" s="13" t="s">
        <v>266</v>
      </c>
    </row>
    <row r="273" spans="3:11" x14ac:dyDescent="0.25">
      <c r="C273" s="48" t="s">
        <v>111</v>
      </c>
      <c r="D273" s="49">
        <f t="shared" ref="D273:K273" si="77">D$13</f>
        <v>2023</v>
      </c>
      <c r="E273" s="49">
        <f t="shared" si="77"/>
        <v>2024</v>
      </c>
      <c r="F273" s="49">
        <f t="shared" si="77"/>
        <v>2025</v>
      </c>
      <c r="G273" s="50">
        <f t="shared" si="77"/>
        <v>2026</v>
      </c>
      <c r="H273" s="50">
        <f t="shared" si="77"/>
        <v>2027</v>
      </c>
      <c r="I273" s="50">
        <f t="shared" si="77"/>
        <v>2028</v>
      </c>
      <c r="J273" s="50">
        <f t="shared" si="77"/>
        <v>2029</v>
      </c>
      <c r="K273" s="50">
        <f t="shared" si="77"/>
        <v>2030</v>
      </c>
    </row>
    <row r="274" spans="3:11" x14ac:dyDescent="0.25">
      <c r="C274" s="43" t="s">
        <v>112</v>
      </c>
      <c r="D274" s="244">
        <f t="shared" ref="D274:K274" si="78">D$14</f>
        <v>45291</v>
      </c>
      <c r="E274" s="227">
        <f t="shared" si="78"/>
        <v>45657</v>
      </c>
      <c r="F274" s="227">
        <f t="shared" si="78"/>
        <v>46022</v>
      </c>
      <c r="G274" s="227">
        <f t="shared" si="78"/>
        <v>46387</v>
      </c>
      <c r="H274" s="227">
        <f t="shared" si="78"/>
        <v>46752</v>
      </c>
      <c r="I274" s="227">
        <f t="shared" si="78"/>
        <v>47118</v>
      </c>
      <c r="J274" s="227">
        <f t="shared" si="78"/>
        <v>47483</v>
      </c>
      <c r="K274" s="227">
        <f t="shared" si="78"/>
        <v>47848</v>
      </c>
    </row>
    <row r="275" spans="3:11" x14ac:dyDescent="0.25">
      <c r="D275" s="19"/>
      <c r="E275" s="19"/>
      <c r="F275" s="19"/>
      <c r="G275" s="184"/>
      <c r="H275" s="184"/>
      <c r="I275" s="184"/>
      <c r="J275" s="184"/>
      <c r="K275" s="184"/>
    </row>
    <row r="276" spans="3:11" x14ac:dyDescent="0.25">
      <c r="C276" s="6" t="s">
        <v>267</v>
      </c>
      <c r="E276" s="184">
        <f t="shared" ref="E276:K276" si="79">D280</f>
        <v>148476868</v>
      </c>
      <c r="F276" s="184">
        <f t="shared" si="79"/>
        <v>191575804</v>
      </c>
      <c r="G276" s="184">
        <f t="shared" si="79"/>
        <v>149970052</v>
      </c>
      <c r="H276" s="184">
        <f t="shared" si="79"/>
        <v>149970052</v>
      </c>
      <c r="I276" s="184">
        <f t="shared" si="79"/>
        <v>149970052</v>
      </c>
      <c r="J276" s="184">
        <f t="shared" si="79"/>
        <v>149970052</v>
      </c>
      <c r="K276" s="184">
        <f t="shared" si="79"/>
        <v>149970052</v>
      </c>
    </row>
    <row r="277" spans="3:11" x14ac:dyDescent="0.25">
      <c r="C277" s="17" t="s">
        <v>268</v>
      </c>
      <c r="D277" s="234">
        <f>D265</f>
        <v>0</v>
      </c>
      <c r="E277" s="234">
        <f>E265</f>
        <v>0</v>
      </c>
      <c r="F277" s="234">
        <f>F265</f>
        <v>0</v>
      </c>
      <c r="G277" s="184"/>
      <c r="H277" s="184"/>
      <c r="I277" s="184"/>
      <c r="J277" s="184"/>
      <c r="K277" s="184"/>
    </row>
    <row r="278" spans="3:11" x14ac:dyDescent="0.25">
      <c r="C278" s="17" t="s">
        <v>269</v>
      </c>
      <c r="D278" s="186">
        <v>2142560</v>
      </c>
      <c r="E278" s="186">
        <v>7271719</v>
      </c>
      <c r="F278" s="186">
        <v>7072409</v>
      </c>
      <c r="G278" s="184"/>
      <c r="H278" s="184"/>
      <c r="I278" s="184"/>
      <c r="J278" s="184"/>
      <c r="K278" s="184"/>
    </row>
    <row r="279" spans="3:11" x14ac:dyDescent="0.25">
      <c r="C279" s="17" t="s">
        <v>270</v>
      </c>
      <c r="D279" s="234">
        <v>9049012</v>
      </c>
      <c r="E279" s="186">
        <v>33209309</v>
      </c>
      <c r="F279" s="186">
        <v>37991816</v>
      </c>
      <c r="G279" s="184"/>
      <c r="H279" s="184"/>
      <c r="I279" s="184"/>
      <c r="J279" s="184"/>
      <c r="K279" s="184"/>
    </row>
    <row r="280" spans="3:11" x14ac:dyDescent="0.25">
      <c r="C280" s="6" t="s">
        <v>271</v>
      </c>
      <c r="D280" s="19">
        <f>D79+D88</f>
        <v>148476868</v>
      </c>
      <c r="E280" s="19">
        <f>E79+E88</f>
        <v>191575804</v>
      </c>
      <c r="F280" s="19">
        <f>F79+F88</f>
        <v>149970052</v>
      </c>
      <c r="G280" s="184">
        <f>G276+G277+G278-G279</f>
        <v>149970052</v>
      </c>
      <c r="H280" s="184">
        <f>H276+H277+H278-H279</f>
        <v>149970052</v>
      </c>
      <c r="I280" s="184">
        <f>I276+I277+I278-I279</f>
        <v>149970052</v>
      </c>
      <c r="J280" s="184">
        <f>J276+J277+J278-J279</f>
        <v>149970052</v>
      </c>
      <c r="K280" s="184">
        <f>K276+K277+K278-K279</f>
        <v>149970052</v>
      </c>
    </row>
    <row r="281" spans="3:11" x14ac:dyDescent="0.25">
      <c r="C281" s="6" t="s">
        <v>272</v>
      </c>
      <c r="D281" s="250">
        <f>D79/(D79+D88)</f>
        <v>0.13985703146701614</v>
      </c>
      <c r="E281" s="250">
        <f>E79/(E79+E88)</f>
        <v>0.13793625002873536</v>
      </c>
      <c r="F281" s="250">
        <f>F79/(F79+F88)</f>
        <v>0.20605309918809656</v>
      </c>
      <c r="G281" s="207">
        <f>F281</f>
        <v>0.20605309918809656</v>
      </c>
      <c r="H281" s="207">
        <f>G281</f>
        <v>0.20605309918809656</v>
      </c>
      <c r="I281" s="207">
        <f>H281</f>
        <v>0.20605309918809656</v>
      </c>
      <c r="J281" s="207">
        <f>I281</f>
        <v>0.20605309918809656</v>
      </c>
      <c r="K281" s="207">
        <f>J281</f>
        <v>0.20605309918809656</v>
      </c>
    </row>
    <row r="282" spans="3:11" x14ac:dyDescent="0.25">
      <c r="D282" s="250"/>
      <c r="E282" s="206"/>
      <c r="F282" s="206"/>
      <c r="G282" s="206"/>
      <c r="H282" s="206"/>
      <c r="I282" s="206"/>
      <c r="J282" s="206"/>
      <c r="K282" s="206"/>
    </row>
    <row r="283" spans="3:11" x14ac:dyDescent="0.25">
      <c r="C283" s="6" t="s">
        <v>273</v>
      </c>
      <c r="D283" s="22"/>
      <c r="E283" s="22"/>
      <c r="F283" s="22"/>
      <c r="G283" s="210"/>
      <c r="H283" s="210"/>
      <c r="I283" s="210"/>
      <c r="J283" s="210"/>
      <c r="K283" s="210"/>
    </row>
    <row r="284" spans="3:11" x14ac:dyDescent="0.25">
      <c r="C284" s="6" t="s">
        <v>274</v>
      </c>
      <c r="D284" s="22">
        <f>D278/D16</f>
        <v>3.5951687590096015E-4</v>
      </c>
      <c r="E284" s="22">
        <f>E278/E16</f>
        <v>3.7005599310809993E-4</v>
      </c>
      <c r="F284" s="22">
        <f>F278/F16</f>
        <v>2.6346256476505759E-4</v>
      </c>
      <c r="G284" s="207">
        <f>AVERAGE(D284:F284)</f>
        <v>3.3101181125803924E-4</v>
      </c>
      <c r="H284" s="207">
        <f t="shared" ref="H284:K285" si="80">G284</f>
        <v>3.3101181125803924E-4</v>
      </c>
      <c r="I284" s="207">
        <f t="shared" si="80"/>
        <v>3.3101181125803924E-4</v>
      </c>
      <c r="J284" s="207">
        <f t="shared" si="80"/>
        <v>3.3101181125803924E-4</v>
      </c>
      <c r="K284" s="207">
        <f t="shared" si="80"/>
        <v>3.3101181125803924E-4</v>
      </c>
    </row>
    <row r="285" spans="3:11" x14ac:dyDescent="0.25">
      <c r="C285" s="6" t="s">
        <v>275</v>
      </c>
      <c r="D285" s="22">
        <f>D279/D16</f>
        <v>1.518404396717151E-3</v>
      </c>
      <c r="E285" s="22">
        <f>E279/E16</f>
        <v>1.6900135748409365E-3</v>
      </c>
      <c r="F285" s="22">
        <f>F279/F16</f>
        <v>1.4152774936294196E-3</v>
      </c>
      <c r="G285" s="207">
        <f>AVERAGE(D285:F285)</f>
        <v>1.541231821729169E-3</v>
      </c>
      <c r="H285" s="207">
        <f t="shared" si="80"/>
        <v>1.541231821729169E-3</v>
      </c>
      <c r="I285" s="207">
        <f t="shared" si="80"/>
        <v>1.541231821729169E-3</v>
      </c>
      <c r="J285" s="207">
        <f t="shared" si="80"/>
        <v>1.541231821729169E-3</v>
      </c>
      <c r="K285" s="207">
        <f t="shared" si="80"/>
        <v>1.541231821729169E-3</v>
      </c>
    </row>
    <row r="287" spans="3:11" x14ac:dyDescent="0.25">
      <c r="C287" s="13" t="s">
        <v>151</v>
      </c>
    </row>
    <row r="288" spans="3:11" x14ac:dyDescent="0.25">
      <c r="C288" s="48" t="s">
        <v>111</v>
      </c>
      <c r="D288" s="49">
        <f t="shared" ref="D288:K288" si="81">D$13</f>
        <v>2023</v>
      </c>
      <c r="E288" s="49">
        <f t="shared" si="81"/>
        <v>2024</v>
      </c>
      <c r="F288" s="49">
        <f t="shared" si="81"/>
        <v>2025</v>
      </c>
      <c r="G288" s="50">
        <f t="shared" si="81"/>
        <v>2026</v>
      </c>
      <c r="H288" s="50">
        <f t="shared" si="81"/>
        <v>2027</v>
      </c>
      <c r="I288" s="50">
        <f t="shared" si="81"/>
        <v>2028</v>
      </c>
      <c r="J288" s="50">
        <f t="shared" si="81"/>
        <v>2029</v>
      </c>
      <c r="K288" s="50">
        <f t="shared" si="81"/>
        <v>2030</v>
      </c>
    </row>
    <row r="289" spans="3:11" x14ac:dyDescent="0.25">
      <c r="C289" s="43" t="s">
        <v>112</v>
      </c>
      <c r="D289" s="244">
        <f t="shared" ref="D289:K289" si="82">D$14</f>
        <v>45291</v>
      </c>
      <c r="E289" s="227">
        <f t="shared" si="82"/>
        <v>45657</v>
      </c>
      <c r="F289" s="227">
        <f t="shared" si="82"/>
        <v>46022</v>
      </c>
      <c r="G289" s="227">
        <f t="shared" si="82"/>
        <v>46387</v>
      </c>
      <c r="H289" s="227">
        <f t="shared" si="82"/>
        <v>46752</v>
      </c>
      <c r="I289" s="227">
        <f t="shared" si="82"/>
        <v>47118</v>
      </c>
      <c r="J289" s="227">
        <f t="shared" si="82"/>
        <v>47483</v>
      </c>
      <c r="K289" s="227">
        <f t="shared" si="82"/>
        <v>47848</v>
      </c>
    </row>
    <row r="291" spans="3:11" x14ac:dyDescent="0.25">
      <c r="C291" s="6" t="s">
        <v>205</v>
      </c>
      <c r="D291" s="184"/>
      <c r="E291" s="184">
        <f t="shared" ref="E291:K291" si="83">D294</f>
        <v>45251573</v>
      </c>
      <c r="F291" s="184">
        <f t="shared" si="83"/>
        <v>68215075</v>
      </c>
      <c r="G291" s="184">
        <f t="shared" si="83"/>
        <v>79638512</v>
      </c>
      <c r="H291" s="184">
        <f t="shared" si="83"/>
        <v>91623743.690171003</v>
      </c>
      <c r="I291" s="184">
        <f t="shared" si="83"/>
        <v>104557311.81799409</v>
      </c>
      <c r="J291" s="184">
        <f t="shared" si="83"/>
        <v>118676513.45396575</v>
      </c>
      <c r="K291" s="184">
        <f t="shared" si="83"/>
        <v>133507485.77975407</v>
      </c>
    </row>
    <row r="292" spans="3:11" x14ac:dyDescent="0.25">
      <c r="C292" s="17" t="s">
        <v>276</v>
      </c>
      <c r="D292" s="186">
        <v>33311641</v>
      </c>
      <c r="E292" s="186">
        <v>27053362</v>
      </c>
      <c r="F292" s="186">
        <v>30935276</v>
      </c>
      <c r="G292" s="184">
        <f>G296*G16</f>
        <v>32456645.951598145</v>
      </c>
      <c r="H292" s="184">
        <f>H296*H16</f>
        <v>35024791.549076729</v>
      </c>
      <c r="I292" s="184">
        <f>I296*I16</f>
        <v>38235550.255884916</v>
      </c>
      <c r="J292" s="184">
        <f>J296*J16</f>
        <v>40163063.204762578</v>
      </c>
      <c r="K292" s="184">
        <f>K296*K16</f>
        <v>41517029.33427947</v>
      </c>
    </row>
    <row r="293" spans="3:11" x14ac:dyDescent="0.25">
      <c r="C293" s="17" t="s">
        <v>277</v>
      </c>
      <c r="D293" s="186">
        <v>1072039</v>
      </c>
      <c r="E293" s="186">
        <v>2892860</v>
      </c>
      <c r="F293" s="186">
        <v>19511839</v>
      </c>
      <c r="G293" s="184">
        <f>G297*G16</f>
        <v>20471414.261427142</v>
      </c>
      <c r="H293" s="184">
        <f>H297*H16</f>
        <v>22091223.421253644</v>
      </c>
      <c r="I293" s="184">
        <f>I297*I16</f>
        <v>24116348.619913246</v>
      </c>
      <c r="J293" s="184">
        <f>J297*J16</f>
        <v>25332090.878974263</v>
      </c>
      <c r="K293" s="184">
        <f>K297*K16</f>
        <v>26186079.352540389</v>
      </c>
    </row>
    <row r="294" spans="3:11" x14ac:dyDescent="0.25">
      <c r="C294" s="6" t="s">
        <v>208</v>
      </c>
      <c r="D294" s="184">
        <f>D66</f>
        <v>45251573</v>
      </c>
      <c r="E294" s="184">
        <f>E66</f>
        <v>68215075</v>
      </c>
      <c r="F294" s="184">
        <f>F66</f>
        <v>79638512</v>
      </c>
      <c r="G294" s="184">
        <f>G291+G292-G293</f>
        <v>91623743.690171003</v>
      </c>
      <c r="H294" s="184">
        <f>H291+H292-H293</f>
        <v>104557311.81799409</v>
      </c>
      <c r="I294" s="184">
        <f>I291+I292-I293</f>
        <v>118676513.45396575</v>
      </c>
      <c r="J294" s="184">
        <f>J291+J292-J293</f>
        <v>133507485.77975407</v>
      </c>
      <c r="K294" s="184">
        <f>K291+K292-K293</f>
        <v>148838435.76149315</v>
      </c>
    </row>
    <row r="296" spans="3:11" x14ac:dyDescent="0.25">
      <c r="C296" s="6" t="s">
        <v>264</v>
      </c>
      <c r="D296" s="1">
        <f>D292/D16</f>
        <v>5.5896204089754013E-3</v>
      </c>
      <c r="E296" s="1">
        <f>E292/E16</f>
        <v>1.3767389446460916E-3</v>
      </c>
      <c r="F296" s="1">
        <f>F292/F16</f>
        <v>1.1524060835105734E-3</v>
      </c>
      <c r="G296" s="210">
        <f t="shared" ref="G296:K297" si="84">F296</f>
        <v>1.1524060835105734E-3</v>
      </c>
      <c r="H296" s="210">
        <f t="shared" si="84"/>
        <v>1.1524060835105734E-3</v>
      </c>
      <c r="I296" s="210">
        <f t="shared" si="84"/>
        <v>1.1524060835105734E-3</v>
      </c>
      <c r="J296" s="210">
        <f t="shared" si="84"/>
        <v>1.1524060835105734E-3</v>
      </c>
      <c r="K296" s="210">
        <f t="shared" si="84"/>
        <v>1.1524060835105734E-3</v>
      </c>
    </row>
    <row r="297" spans="3:11" x14ac:dyDescent="0.25">
      <c r="C297" s="6" t="s">
        <v>278</v>
      </c>
      <c r="D297" s="1">
        <f>D293/D16</f>
        <v>1.798857964883081E-4</v>
      </c>
      <c r="E297" s="1">
        <f>E293/E16</f>
        <v>1.4721693456838718E-4</v>
      </c>
      <c r="F297" s="1">
        <f>F293/F16</f>
        <v>7.2685829485015301E-4</v>
      </c>
      <c r="G297" s="210">
        <f t="shared" si="84"/>
        <v>7.2685829485015301E-4</v>
      </c>
      <c r="H297" s="210">
        <f t="shared" si="84"/>
        <v>7.2685829485015301E-4</v>
      </c>
      <c r="I297" s="210">
        <f t="shared" si="84"/>
        <v>7.2685829485015301E-4</v>
      </c>
      <c r="J297" s="210">
        <f t="shared" si="84"/>
        <v>7.2685829485015301E-4</v>
      </c>
      <c r="K297" s="210">
        <f t="shared" si="84"/>
        <v>7.2685829485015301E-4</v>
      </c>
    </row>
    <row r="299" spans="3:11" x14ac:dyDescent="0.25">
      <c r="C299" s="13" t="s">
        <v>279</v>
      </c>
    </row>
    <row r="300" spans="3:11" x14ac:dyDescent="0.25">
      <c r="C300" s="48" t="s">
        <v>111</v>
      </c>
      <c r="D300" s="49">
        <f t="shared" ref="D300:K300" si="85">D$13</f>
        <v>2023</v>
      </c>
      <c r="E300" s="49">
        <f t="shared" si="85"/>
        <v>2024</v>
      </c>
      <c r="F300" s="49">
        <f t="shared" si="85"/>
        <v>2025</v>
      </c>
      <c r="G300" s="50">
        <f t="shared" si="85"/>
        <v>2026</v>
      </c>
      <c r="H300" s="50">
        <f t="shared" si="85"/>
        <v>2027</v>
      </c>
      <c r="I300" s="50">
        <f t="shared" si="85"/>
        <v>2028</v>
      </c>
      <c r="J300" s="50">
        <f t="shared" si="85"/>
        <v>2029</v>
      </c>
      <c r="K300" s="50">
        <f t="shared" si="85"/>
        <v>2030</v>
      </c>
    </row>
    <row r="301" spans="3:11" x14ac:dyDescent="0.25">
      <c r="C301" s="43" t="s">
        <v>112</v>
      </c>
      <c r="D301" s="270">
        <f t="shared" ref="D301:K301" si="86">D$14</f>
        <v>45291</v>
      </c>
      <c r="E301" s="227">
        <f t="shared" si="86"/>
        <v>45657</v>
      </c>
      <c r="F301" s="227">
        <f t="shared" si="86"/>
        <v>46022</v>
      </c>
      <c r="G301" s="227">
        <f t="shared" si="86"/>
        <v>46387</v>
      </c>
      <c r="H301" s="227">
        <f t="shared" si="86"/>
        <v>46752</v>
      </c>
      <c r="I301" s="227">
        <f t="shared" si="86"/>
        <v>47118</v>
      </c>
      <c r="J301" s="227">
        <f t="shared" si="86"/>
        <v>47483</v>
      </c>
      <c r="K301" s="227">
        <f t="shared" si="86"/>
        <v>47848</v>
      </c>
    </row>
    <row r="303" spans="3:11" x14ac:dyDescent="0.25">
      <c r="C303" s="6" t="s">
        <v>205</v>
      </c>
      <c r="D303" s="19"/>
      <c r="E303" s="184">
        <f t="shared" ref="E303:K303" si="87">D306</f>
        <v>310749053</v>
      </c>
      <c r="F303" s="184">
        <f t="shared" si="87"/>
        <v>534440047</v>
      </c>
      <c r="G303" s="184">
        <f t="shared" si="87"/>
        <v>692084641</v>
      </c>
      <c r="H303" s="184">
        <f t="shared" si="87"/>
        <v>880429075.40399885</v>
      </c>
      <c r="I303" s="184">
        <f t="shared" si="87"/>
        <v>1120029705.7549357</v>
      </c>
      <c r="J303" s="184">
        <f t="shared" si="87"/>
        <v>1424835431.7442961</v>
      </c>
      <c r="K303" s="184">
        <f t="shared" si="87"/>
        <v>1812591217.1102324</v>
      </c>
    </row>
    <row r="304" spans="3:11" x14ac:dyDescent="0.25">
      <c r="C304" s="6" t="s">
        <v>280</v>
      </c>
      <c r="D304" s="234">
        <f>35159004+28903630</f>
        <v>64062634</v>
      </c>
      <c r="E304" s="186">
        <f>41795311+45137572+79334195+65074426</f>
        <v>231341504</v>
      </c>
      <c r="F304" s="186">
        <f>25474774+68724846+20599199+5019611+14020085+38695178</f>
        <v>172533693</v>
      </c>
      <c r="G304" s="184">
        <f t="shared" ref="G304:K305" si="88">G308*G$303</f>
        <v>207625392.29999998</v>
      </c>
      <c r="H304" s="184">
        <f t="shared" si="88"/>
        <v>264128722.62119964</v>
      </c>
      <c r="I304" s="184">
        <f t="shared" si="88"/>
        <v>336008911.72648072</v>
      </c>
      <c r="J304" s="184">
        <f t="shared" si="88"/>
        <v>427450629.52328879</v>
      </c>
      <c r="K304" s="184">
        <f t="shared" si="88"/>
        <v>543777365.13306963</v>
      </c>
    </row>
    <row r="305" spans="3:11" x14ac:dyDescent="0.25">
      <c r="C305" s="6" t="s">
        <v>281</v>
      </c>
      <c r="D305" s="234">
        <f>1475075</f>
        <v>1475075</v>
      </c>
      <c r="E305" s="186">
        <f>4875116+2775394</f>
        <v>7650510</v>
      </c>
      <c r="F305" s="186">
        <f>6972363+7916735</f>
        <v>14889098</v>
      </c>
      <c r="G305" s="184">
        <f t="shared" si="88"/>
        <v>19280957.896001041</v>
      </c>
      <c r="H305" s="184">
        <f t="shared" si="88"/>
        <v>24528092.270262688</v>
      </c>
      <c r="I305" s="184">
        <f t="shared" si="88"/>
        <v>31203185.737120487</v>
      </c>
      <c r="J305" s="184">
        <f t="shared" si="88"/>
        <v>39694844.157352477</v>
      </c>
      <c r="K305" s="184">
        <f t="shared" si="88"/>
        <v>50497428.882782668</v>
      </c>
    </row>
    <row r="306" spans="3:11" x14ac:dyDescent="0.25">
      <c r="C306" s="6" t="s">
        <v>208</v>
      </c>
      <c r="D306" s="19">
        <f>D90+D83</f>
        <v>310749053</v>
      </c>
      <c r="E306" s="19">
        <f>E90+E83</f>
        <v>534440047</v>
      </c>
      <c r="F306" s="19">
        <f>F90+F83</f>
        <v>692084641</v>
      </c>
      <c r="G306" s="184">
        <f>G303+G304-G305</f>
        <v>880429075.40399885</v>
      </c>
      <c r="H306" s="184">
        <f>H303+H304-H305</f>
        <v>1120029705.7549357</v>
      </c>
      <c r="I306" s="184">
        <f>I303+I304-I305</f>
        <v>1424835431.7442961</v>
      </c>
      <c r="J306" s="184">
        <f>J303+J304-J305</f>
        <v>1812591217.1102324</v>
      </c>
      <c r="K306" s="184">
        <f>K303+K304-K305</f>
        <v>2305871153.3605194</v>
      </c>
    </row>
    <row r="307" spans="3:11" x14ac:dyDescent="0.25">
      <c r="C307" s="6" t="s">
        <v>282</v>
      </c>
      <c r="D307" s="206">
        <f>D83/(D83+D90)</f>
        <v>1.0590738630505175E-2</v>
      </c>
      <c r="E307" s="206">
        <f>E83/(E83+E90)</f>
        <v>5.7328769002222618E-3</v>
      </c>
      <c r="F307" s="206">
        <f>F83/(F83+F90)</f>
        <v>0.10975277227688109</v>
      </c>
      <c r="G307" s="207">
        <f>F307</f>
        <v>0.10975277227688109</v>
      </c>
      <c r="H307" s="207">
        <f>G307</f>
        <v>0.10975277227688109</v>
      </c>
      <c r="I307" s="207">
        <f>H307</f>
        <v>0.10975277227688109</v>
      </c>
      <c r="J307" s="207">
        <f>I307</f>
        <v>0.10975277227688109</v>
      </c>
      <c r="K307" s="207">
        <f>J307</f>
        <v>0.10975277227688109</v>
      </c>
    </row>
    <row r="308" spans="3:11" x14ac:dyDescent="0.25">
      <c r="C308" s="6" t="s">
        <v>283</v>
      </c>
      <c r="D308" s="250"/>
      <c r="E308" s="250">
        <f>E304/E303</f>
        <v>0.7444640676024844</v>
      </c>
      <c r="F308" s="250">
        <f>F304/F303</f>
        <v>0.32283077207348571</v>
      </c>
      <c r="G308" s="207">
        <v>0.3</v>
      </c>
      <c r="H308" s="207">
        <f t="shared" ref="H308:K309" si="89">G308</f>
        <v>0.3</v>
      </c>
      <c r="I308" s="207">
        <f t="shared" si="89"/>
        <v>0.3</v>
      </c>
      <c r="J308" s="207">
        <f t="shared" si="89"/>
        <v>0.3</v>
      </c>
      <c r="K308" s="207">
        <f t="shared" si="89"/>
        <v>0.3</v>
      </c>
    </row>
    <row r="309" spans="3:11" x14ac:dyDescent="0.25">
      <c r="C309" s="6" t="s">
        <v>284</v>
      </c>
      <c r="D309" s="250"/>
      <c r="E309" s="250">
        <f>E305/E303</f>
        <v>2.4619576234074639E-2</v>
      </c>
      <c r="F309" s="250">
        <f>F305/F303</f>
        <v>2.785924835456801E-2</v>
      </c>
      <c r="G309" s="207">
        <f>F309</f>
        <v>2.785924835456801E-2</v>
      </c>
      <c r="H309" s="207">
        <f t="shared" si="89"/>
        <v>2.785924835456801E-2</v>
      </c>
      <c r="I309" s="207">
        <f t="shared" si="89"/>
        <v>2.785924835456801E-2</v>
      </c>
      <c r="J309" s="207">
        <f t="shared" si="89"/>
        <v>2.785924835456801E-2</v>
      </c>
      <c r="K309" s="207">
        <f t="shared" si="89"/>
        <v>2.785924835456801E-2</v>
      </c>
    </row>
  </sheetData>
  <pageMargins left="0.7" right="0.7" top="0.75" bottom="0.75" header="0.511811023622047" footer="0.511811023622047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32"/>
  <sheetViews>
    <sheetView showGridLines="0" tabSelected="1" zoomScaleNormal="100" workbookViewId="0">
      <selection activeCell="B2" sqref="B2"/>
    </sheetView>
  </sheetViews>
  <sheetFormatPr defaultColWidth="9.140625" defaultRowHeight="15" x14ac:dyDescent="0.25"/>
  <cols>
    <col min="1" max="1" width="1.42578125" style="51" customWidth="1"/>
    <col min="2" max="2" width="54.42578125" style="51" customWidth="1"/>
    <col min="3" max="3" width="16.7109375" style="51" customWidth="1"/>
    <col min="4" max="4" width="15.5703125" style="51" bestFit="1" customWidth="1"/>
    <col min="5" max="9" width="16.42578125" style="51" customWidth="1"/>
    <col min="10" max="10" width="1.7109375" style="51" customWidth="1"/>
    <col min="11" max="11" width="12.140625" style="51" bestFit="1" customWidth="1"/>
    <col min="12" max="16" width="9.42578125" style="51" customWidth="1"/>
    <col min="17" max="17" width="9.140625" style="51" customWidth="1"/>
    <col min="18" max="16384" width="9.140625" style="51"/>
  </cols>
  <sheetData>
    <row r="1" spans="2:11" ht="15.75" customHeight="1" thickBot="1" x14ac:dyDescent="0.3"/>
    <row r="2" spans="2:11" ht="15.75" customHeight="1" thickBot="1" x14ac:dyDescent="0.3">
      <c r="B2" s="52" t="s">
        <v>0</v>
      </c>
      <c r="C2" s="53"/>
      <c r="D2" s="53"/>
      <c r="E2" s="53"/>
      <c r="F2" s="53"/>
      <c r="G2" s="53"/>
      <c r="H2" s="53"/>
      <c r="I2" s="53"/>
    </row>
    <row r="3" spans="2:11" x14ac:dyDescent="0.25">
      <c r="B3" s="183" t="str">
        <f>FSM!C3</f>
        <v>All amounts are shown in EGP, except per-share data, ratios, and shares outstanding</v>
      </c>
    </row>
    <row r="4" spans="2:11" x14ac:dyDescent="0.25">
      <c r="B4" s="51" t="s">
        <v>1</v>
      </c>
      <c r="C4" s="55"/>
      <c r="D4" s="55">
        <v>46022</v>
      </c>
      <c r="F4" s="51" t="s">
        <v>2</v>
      </c>
      <c r="H4" s="56">
        <f>+WACC!E21</f>
        <v>0.21275993094266513</v>
      </c>
      <c r="I4" s="51" t="s">
        <v>3</v>
      </c>
    </row>
    <row r="5" spans="2:11" x14ac:dyDescent="0.25">
      <c r="B5" s="51" t="s">
        <v>4</v>
      </c>
      <c r="C5" s="57"/>
      <c r="D5" s="57">
        <f>EOMONTH(D4,12)</f>
        <v>46387</v>
      </c>
      <c r="F5" s="51" t="s">
        <v>5</v>
      </c>
      <c r="H5" s="302">
        <v>36</v>
      </c>
    </row>
    <row r="6" spans="2:11" x14ac:dyDescent="0.25">
      <c r="B6" s="51" t="s">
        <v>6</v>
      </c>
      <c r="C6" s="55"/>
      <c r="D6" s="55">
        <v>46022</v>
      </c>
      <c r="F6" s="51" t="s">
        <v>7</v>
      </c>
      <c r="H6" s="58">
        <v>46204</v>
      </c>
      <c r="J6" s="59"/>
    </row>
    <row r="7" spans="2:11" x14ac:dyDescent="0.25">
      <c r="B7" s="51" t="s">
        <v>8</v>
      </c>
      <c r="C7" s="55"/>
      <c r="D7" s="55">
        <v>46205</v>
      </c>
      <c r="E7" s="59"/>
      <c r="F7" s="212" t="s">
        <v>9</v>
      </c>
      <c r="G7" s="59"/>
      <c r="H7" s="301">
        <f>C73</f>
        <v>32.019767144702811</v>
      </c>
      <c r="I7" s="304" t="s">
        <v>10</v>
      </c>
      <c r="K7" s="311"/>
    </row>
    <row r="8" spans="2:11" x14ac:dyDescent="0.25">
      <c r="B8" s="51" t="s">
        <v>11</v>
      </c>
      <c r="C8" s="137"/>
      <c r="D8" s="137">
        <f>YEARFRAC(D7,D5)</f>
        <v>0.49722222222222223</v>
      </c>
      <c r="F8" s="212" t="s">
        <v>12</v>
      </c>
      <c r="H8" s="206">
        <f>H7/H5-1</f>
        <v>-0.11056202375825519</v>
      </c>
      <c r="I8" s="306" t="str">
        <f t="array" ref="I8">_xlfn.IFS(H8&gt;15%,"BUY",H8&gt;=0,"HOLD",H8&lt;0,"SELL")</f>
        <v>SELL</v>
      </c>
    </row>
    <row r="9" spans="2:11" x14ac:dyDescent="0.25">
      <c r="D9" s="61"/>
      <c r="F9" t="s">
        <v>13</v>
      </c>
      <c r="H9" s="240">
        <v>1</v>
      </c>
    </row>
    <row r="10" spans="2:11" x14ac:dyDescent="0.25">
      <c r="B10" s="62" t="s">
        <v>14</v>
      </c>
      <c r="C10" s="63"/>
      <c r="D10" s="64"/>
      <c r="F10" s="63"/>
      <c r="G10" s="63"/>
      <c r="H10" s="63"/>
      <c r="I10" s="63"/>
    </row>
    <row r="11" spans="2:11" ht="17.25" customHeight="1" x14ac:dyDescent="0.4">
      <c r="C11" s="65" t="s">
        <v>15</v>
      </c>
      <c r="D11" s="65" t="s">
        <v>16</v>
      </c>
      <c r="E11" s="66" t="s">
        <v>17</v>
      </c>
      <c r="F11" s="65"/>
      <c r="G11" s="65"/>
      <c r="H11" s="65"/>
      <c r="I11" s="65"/>
    </row>
    <row r="12" spans="2:11" x14ac:dyDescent="0.25">
      <c r="B12" s="67" t="s">
        <v>18</v>
      </c>
      <c r="C12" s="68">
        <f>D7</f>
        <v>46205</v>
      </c>
      <c r="D12" s="228">
        <f>D4</f>
        <v>46022</v>
      </c>
      <c r="E12" s="228">
        <f>EOMONTH(D12,12)</f>
        <v>46387</v>
      </c>
      <c r="F12" s="228">
        <f>EOMONTH(E12,12)</f>
        <v>46752</v>
      </c>
      <c r="G12" s="228">
        <f>EOMONTH(F12,12)</f>
        <v>47118</v>
      </c>
      <c r="H12" s="228">
        <f>EOMONTH(G12,12)</f>
        <v>47483</v>
      </c>
      <c r="I12" s="228">
        <f>EOMONTH(H12,12)</f>
        <v>47848</v>
      </c>
    </row>
    <row r="13" spans="2:11" x14ac:dyDescent="0.25">
      <c r="B13" s="67"/>
      <c r="D13" s="175"/>
      <c r="E13" s="182"/>
      <c r="F13" s="182"/>
      <c r="G13" s="182"/>
      <c r="H13" s="182"/>
      <c r="I13" s="181"/>
    </row>
    <row r="14" spans="2:11" x14ac:dyDescent="0.25">
      <c r="B14" s="51" t="s">
        <v>19</v>
      </c>
      <c r="C14" s="155">
        <f>E14*(1-$D$8)+D14*$D$8</f>
        <v>27507826847.697777</v>
      </c>
      <c r="D14" s="176">
        <f>FSM!F16</f>
        <v>26844075576</v>
      </c>
      <c r="E14" s="176">
        <f>FSM!G16</f>
        <v>28164243851.200005</v>
      </c>
      <c r="F14" s="176">
        <f>FSM!H16</f>
        <v>30392751348.882805</v>
      </c>
      <c r="G14" s="176">
        <f>FSM!I16</f>
        <v>33178886160.86441</v>
      </c>
      <c r="H14" s="176">
        <f>FSM!J16</f>
        <v>34851484888.394447</v>
      </c>
      <c r="I14" s="176">
        <f>FSM!K16</f>
        <v>36026388552.033836</v>
      </c>
    </row>
    <row r="15" spans="2:11" x14ac:dyDescent="0.25">
      <c r="B15" s="71" t="s">
        <v>20</v>
      </c>
      <c r="D15" s="177"/>
      <c r="E15" s="177">
        <f>E14/D14-1</f>
        <v>4.9179129728732507E-2</v>
      </c>
      <c r="F15" s="177">
        <f>F14/E14-1</f>
        <v>7.9125415525325815E-2</v>
      </c>
      <c r="G15" s="177">
        <f>G14/F14-1</f>
        <v>9.1671029713603636E-2</v>
      </c>
      <c r="H15" s="177">
        <f>H14/G14-1</f>
        <v>5.0411539417586582E-2</v>
      </c>
      <c r="I15" s="177">
        <f>I14/H14-1</f>
        <v>3.3711724691266598E-2</v>
      </c>
    </row>
    <row r="16" spans="2:11" x14ac:dyDescent="0.25">
      <c r="B16" s="51" t="s">
        <v>21</v>
      </c>
      <c r="C16" s="155">
        <f>E16*(1-$D$8)+D16*$D$8</f>
        <v>15319118483.798389</v>
      </c>
      <c r="D16" s="176">
        <f>FSM!F37</f>
        <v>15279059550</v>
      </c>
      <c r="E16" s="176">
        <f>FSM!G37</f>
        <v>15358734777.444307</v>
      </c>
      <c r="F16" s="176">
        <f>FSM!H37</f>
        <v>16587896582.732182</v>
      </c>
      <c r="G16" s="176">
        <f>FSM!I37</f>
        <v>17933107450.184052</v>
      </c>
      <c r="H16" s="176">
        <f>FSM!J37</f>
        <v>18719670584.314888</v>
      </c>
      <c r="I16" s="176">
        <f>FSM!K37</f>
        <v>19285866023.547848</v>
      </c>
    </row>
    <row r="17" spans="2:13" x14ac:dyDescent="0.25">
      <c r="B17" s="71" t="s">
        <v>22</v>
      </c>
      <c r="D17" s="177">
        <f t="shared" ref="D17:I17" si="0">D16/D14</f>
        <v>0.56917808574716855</v>
      </c>
      <c r="E17" s="177">
        <f t="shared" si="0"/>
        <v>0.54532743213661361</v>
      </c>
      <c r="F17" s="177">
        <f t="shared" si="0"/>
        <v>0.54578463108908137</v>
      </c>
      <c r="G17" s="177">
        <f t="shared" si="0"/>
        <v>0.54049757316255975</v>
      </c>
      <c r="H17" s="177">
        <f t="shared" si="0"/>
        <v>0.53712691566116144</v>
      </c>
      <c r="I17" s="177">
        <f t="shared" si="0"/>
        <v>0.5353260984151319</v>
      </c>
    </row>
    <row r="18" spans="2:13" x14ac:dyDescent="0.25">
      <c r="B18" s="51" t="s">
        <v>23</v>
      </c>
      <c r="C18" s="155">
        <f>E18*(1-$D$8)+D18*$D$8</f>
        <v>12924504008.618408</v>
      </c>
      <c r="D18" s="176">
        <f>FSM!F26</f>
        <v>12960330520</v>
      </c>
      <c r="E18" s="176">
        <f>FSM!G26</f>
        <v>12889073370.290758</v>
      </c>
      <c r="F18" s="176">
        <f>FSM!H26</f>
        <v>13912455187.021049</v>
      </c>
      <c r="G18" s="176">
        <f>FSM!I26</f>
        <v>15191912271.417667</v>
      </c>
      <c r="H18" s="176">
        <f>FSM!J26</f>
        <v>15960008015.416866</v>
      </c>
      <c r="I18" s="176">
        <f>FSM!K26</f>
        <v>16499550757.376932</v>
      </c>
    </row>
    <row r="19" spans="2:13" x14ac:dyDescent="0.25">
      <c r="B19" s="71" t="s">
        <v>22</v>
      </c>
      <c r="D19" s="177">
        <f t="shared" ref="D19:I19" si="1">D18/D14</f>
        <v>0.48280040351202147</v>
      </c>
      <c r="E19" s="177">
        <f t="shared" si="1"/>
        <v>0.45763960283782262</v>
      </c>
      <c r="F19" s="177">
        <f t="shared" si="1"/>
        <v>0.45775570060498821</v>
      </c>
      <c r="G19" s="177">
        <f t="shared" si="1"/>
        <v>0.4578789112377446</v>
      </c>
      <c r="H19" s="177">
        <f t="shared" si="1"/>
        <v>0.45794341522393939</v>
      </c>
      <c r="I19" s="177">
        <f t="shared" si="1"/>
        <v>0.45798514423798564</v>
      </c>
    </row>
    <row r="20" spans="2:13" x14ac:dyDescent="0.25">
      <c r="B20" s="71"/>
      <c r="D20" s="176"/>
      <c r="E20" s="176"/>
      <c r="F20" s="176"/>
      <c r="G20" s="176"/>
      <c r="H20" s="176"/>
      <c r="I20" s="176"/>
    </row>
    <row r="21" spans="2:13" x14ac:dyDescent="0.25">
      <c r="B21" s="51" t="s">
        <v>24</v>
      </c>
      <c r="D21" s="178">
        <f t="shared" ref="D21:I21" si="2">D18*D22</f>
        <v>2523676095.5027528</v>
      </c>
      <c r="E21" s="178">
        <f t="shared" si="2"/>
        <v>2900041508.3154206</v>
      </c>
      <c r="F21" s="178">
        <f t="shared" si="2"/>
        <v>3130302417.0797362</v>
      </c>
      <c r="G21" s="178">
        <f t="shared" si="2"/>
        <v>3418180261.0689754</v>
      </c>
      <c r="H21" s="178">
        <f t="shared" si="2"/>
        <v>3591001803.4687948</v>
      </c>
      <c r="I21" s="178">
        <f t="shared" si="2"/>
        <v>3712398920.4098096</v>
      </c>
    </row>
    <row r="22" spans="2:13" ht="15" customHeight="1" x14ac:dyDescent="0.25">
      <c r="B22" s="71" t="s">
        <v>25</v>
      </c>
      <c r="D22" s="179">
        <f>-FSM!F46</f>
        <v>0.19472312774803777</v>
      </c>
      <c r="E22" s="179">
        <f>FSM!G46</f>
        <v>0.22500000000000001</v>
      </c>
      <c r="F22" s="179">
        <f>FSM!H46</f>
        <v>0.22500000000000001</v>
      </c>
      <c r="G22" s="179">
        <f>FSM!I46</f>
        <v>0.22500000000000001</v>
      </c>
      <c r="H22" s="179">
        <f>FSM!J46</f>
        <v>0.22500000000000001</v>
      </c>
      <c r="I22" s="179">
        <f>FSM!K46</f>
        <v>0.22500000000000001</v>
      </c>
    </row>
    <row r="23" spans="2:13" x14ac:dyDescent="0.25">
      <c r="B23" s="72" t="s">
        <v>26</v>
      </c>
      <c r="C23" s="72"/>
      <c r="D23" s="180">
        <f t="shared" ref="D23:I23" si="3">D18*(1-D22)</f>
        <v>10436654424.497248</v>
      </c>
      <c r="E23" s="180">
        <f t="shared" si="3"/>
        <v>9989031861.975338</v>
      </c>
      <c r="F23" s="180">
        <f t="shared" si="3"/>
        <v>10782152769.941313</v>
      </c>
      <c r="G23" s="180">
        <f t="shared" si="3"/>
        <v>11773732010.348692</v>
      </c>
      <c r="H23" s="180">
        <f t="shared" si="3"/>
        <v>12369006211.948072</v>
      </c>
      <c r="I23" s="180">
        <f t="shared" si="3"/>
        <v>12787151836.967123</v>
      </c>
    </row>
    <row r="24" spans="2:13" x14ac:dyDescent="0.25">
      <c r="D24" s="69"/>
      <c r="E24" s="69"/>
      <c r="F24" s="69"/>
      <c r="G24" s="69"/>
      <c r="H24" s="69"/>
      <c r="I24" s="69"/>
    </row>
    <row r="25" spans="2:13" x14ac:dyDescent="0.25">
      <c r="B25" s="51" t="s">
        <v>27</v>
      </c>
      <c r="D25" s="70"/>
      <c r="E25" s="70">
        <f>FSM!G155</f>
        <v>2469661407.1535487</v>
      </c>
      <c r="F25" s="70">
        <f>FSM!H155</f>
        <v>2675441395.7111311</v>
      </c>
      <c r="G25" s="70">
        <f>FSM!I155</f>
        <v>2741195178.7663851</v>
      </c>
      <c r="H25" s="70">
        <f>FSM!J155</f>
        <v>2759662568.8980203</v>
      </c>
      <c r="I25" s="70">
        <f>FSM!K155</f>
        <v>2786315266.1709166</v>
      </c>
      <c r="M25" s="74"/>
    </row>
    <row r="26" spans="2:13" x14ac:dyDescent="0.25">
      <c r="B26" s="51" t="s">
        <v>28</v>
      </c>
      <c r="D26" s="69"/>
      <c r="E26" s="69">
        <f>D32-E32</f>
        <v>95097782.691394329</v>
      </c>
      <c r="F26" s="69">
        <f>E32-F32</f>
        <v>-212762517.25257921</v>
      </c>
      <c r="G26" s="69">
        <f>F32-G32</f>
        <v>-266000925.11181879</v>
      </c>
      <c r="H26" s="69">
        <f>G32-H32</f>
        <v>-159688184.1289649</v>
      </c>
      <c r="I26" s="69">
        <f>H32-I32</f>
        <v>-112171693.95441532</v>
      </c>
      <c r="M26" s="74"/>
    </row>
    <row r="27" spans="2:13" x14ac:dyDescent="0.25">
      <c r="B27" s="51" t="s">
        <v>29</v>
      </c>
      <c r="D27" s="70"/>
      <c r="E27" s="70">
        <f>-FSM!G144</f>
        <v>-5632848770.2400017</v>
      </c>
      <c r="F27" s="70">
        <f>-FSM!H144</f>
        <v>-3647130161.8659363</v>
      </c>
      <c r="G27" s="70">
        <f>-FSM!I144</f>
        <v>-2986099754.477797</v>
      </c>
      <c r="H27" s="70">
        <f>-FSM!J144</f>
        <v>-3136633639.9555001</v>
      </c>
      <c r="I27" s="70">
        <f>-FSM!K144</f>
        <v>-3242374969.6830454</v>
      </c>
      <c r="M27" s="74"/>
    </row>
    <row r="28" spans="2:13" x14ac:dyDescent="0.25">
      <c r="B28" s="71" t="s">
        <v>30</v>
      </c>
      <c r="D28" s="1"/>
      <c r="E28" s="1">
        <f>E27/E14</f>
        <v>-0.20000000000000004</v>
      </c>
      <c r="F28" s="1">
        <f>F27/F14</f>
        <v>-0.12</v>
      </c>
      <c r="G28" s="1">
        <f>G27/G14</f>
        <v>-0.09</v>
      </c>
      <c r="H28" s="1">
        <f>H27/H14</f>
        <v>-0.09</v>
      </c>
      <c r="I28" s="1">
        <f>I27/I14</f>
        <v>-0.09</v>
      </c>
      <c r="M28" s="74"/>
    </row>
    <row r="29" spans="2:13" x14ac:dyDescent="0.25">
      <c r="B29" s="212" t="s">
        <v>31</v>
      </c>
      <c r="D29" s="70"/>
      <c r="E29" s="70">
        <f>-FSM!G254</f>
        <v>-1154506417.7725105</v>
      </c>
      <c r="F29" s="70">
        <f>-FSM!H254</f>
        <v>-1187083570.8578832</v>
      </c>
      <c r="G29" s="70">
        <f>-FSM!I254</f>
        <v>-1264695958.2089193</v>
      </c>
      <c r="H29" s="70">
        <f>-FSM!J254</f>
        <v>-1383870181.1592326</v>
      </c>
      <c r="I29" s="70">
        <f>-FSM!K254</f>
        <v>-1472713197.4539409</v>
      </c>
      <c r="M29" s="74"/>
    </row>
    <row r="30" spans="2:13" x14ac:dyDescent="0.25">
      <c r="B30" s="72" t="s">
        <v>32</v>
      </c>
      <c r="C30" s="72"/>
      <c r="D30" s="73"/>
      <c r="E30" s="73">
        <f>E23+E25+E26+E27+E29</f>
        <v>5766435863.8077698</v>
      </c>
      <c r="F30" s="73">
        <f>F23+F25+F26+F27+F29</f>
        <v>8410617915.6760445</v>
      </c>
      <c r="G30" s="73">
        <f>G23+G25+G26+G27+G29</f>
        <v>9998130551.3165436</v>
      </c>
      <c r="H30" s="73">
        <f>H23+H25+H26+H27+H29</f>
        <v>10448476775.602394</v>
      </c>
      <c r="I30" s="73">
        <f>I23+I25+I26+I27+I29</f>
        <v>10746207242.046638</v>
      </c>
      <c r="M30" s="73"/>
    </row>
    <row r="31" spans="2:13" x14ac:dyDescent="0.25">
      <c r="D31" s="70"/>
      <c r="E31" s="70"/>
      <c r="F31" s="70"/>
      <c r="G31" s="70"/>
      <c r="H31" s="70"/>
      <c r="I31" s="70"/>
      <c r="M31" s="74"/>
    </row>
    <row r="32" spans="2:13" x14ac:dyDescent="0.25">
      <c r="B32" s="51" t="s">
        <v>33</v>
      </c>
      <c r="C32" s="70"/>
      <c r="D32" s="70">
        <f>FSM!F218</f>
        <v>2784025428</v>
      </c>
      <c r="E32" s="70">
        <f>FSM!G218</f>
        <v>2688927645.3086057</v>
      </c>
      <c r="F32" s="70">
        <f>FSM!H218</f>
        <v>2901690162.5611849</v>
      </c>
      <c r="G32" s="70">
        <f>FSM!I218</f>
        <v>3167691087.6730037</v>
      </c>
      <c r="H32" s="70">
        <f>FSM!J218</f>
        <v>3327379271.8019686</v>
      </c>
      <c r="I32" s="70">
        <f>FSM!K218</f>
        <v>3439550965.7563839</v>
      </c>
    </row>
    <row r="33" spans="2:13" x14ac:dyDescent="0.25">
      <c r="B33" s="71" t="s">
        <v>30</v>
      </c>
      <c r="D33" s="60">
        <f t="shared" ref="D33:I33" si="4">D32/D14</f>
        <v>0.10371098159509964</v>
      </c>
      <c r="E33" s="60">
        <f t="shared" si="4"/>
        <v>9.5473099136444153E-2</v>
      </c>
      <c r="F33" s="60">
        <f t="shared" si="4"/>
        <v>9.5473099136444153E-2</v>
      </c>
      <c r="G33" s="60">
        <f t="shared" si="4"/>
        <v>9.5473099136444181E-2</v>
      </c>
      <c r="H33" s="60">
        <f t="shared" si="4"/>
        <v>9.5473099136444153E-2</v>
      </c>
      <c r="I33" s="60">
        <f t="shared" si="4"/>
        <v>9.5473099136444167E-2</v>
      </c>
      <c r="J33" s="70"/>
    </row>
    <row r="34" spans="2:13" x14ac:dyDescent="0.25">
      <c r="E34" s="60"/>
      <c r="F34" s="60"/>
      <c r="G34" s="60"/>
      <c r="H34" s="60"/>
      <c r="I34" s="60"/>
      <c r="J34" s="70"/>
      <c r="K34" s="75"/>
      <c r="M34" s="60"/>
    </row>
    <row r="35" spans="2:13" x14ac:dyDescent="0.25">
      <c r="B35" s="62" t="str">
        <f>"Present value of UFCF on "&amp;TEXT(D7,"mmm dd, yyyy")&amp;" valuation date"</f>
        <v>Present value of UFCF on Jul 02, 2026 valuation date</v>
      </c>
      <c r="C35" s="63"/>
      <c r="D35" s="76"/>
      <c r="E35" s="63"/>
      <c r="F35" s="76"/>
      <c r="G35" s="76"/>
      <c r="H35" s="76"/>
      <c r="I35" s="76"/>
      <c r="J35" s="70"/>
    </row>
    <row r="36" spans="2:13" ht="17.25" customHeight="1" x14ac:dyDescent="0.4">
      <c r="B36" s="72"/>
      <c r="D36" s="77" t="s">
        <v>34</v>
      </c>
      <c r="E36" s="77" t="s">
        <v>35</v>
      </c>
      <c r="F36" s="78" t="s">
        <v>36</v>
      </c>
      <c r="G36" s="78" t="s">
        <v>37</v>
      </c>
      <c r="H36" s="78" t="s">
        <v>38</v>
      </c>
      <c r="I36" s="78" t="s">
        <v>39</v>
      </c>
      <c r="J36" s="70"/>
    </row>
    <row r="37" spans="2:13" x14ac:dyDescent="0.25">
      <c r="B37" s="51" t="s">
        <v>40</v>
      </c>
      <c r="D37" s="79">
        <f>D7</f>
        <v>46205</v>
      </c>
      <c r="E37" s="156">
        <f>IF($H$9=1,AVERAGE(E12,D37),E12)</f>
        <v>46296</v>
      </c>
      <c r="F37" s="156">
        <f>IF($H$9=1,AVERAGE(F12,E12),F12)</f>
        <v>46569.5</v>
      </c>
      <c r="G37" s="156">
        <f>IF($H$9=1,AVERAGE(G12,F12),G12)</f>
        <v>46935</v>
      </c>
      <c r="H37" s="156">
        <f>IF($H$9=1,AVERAGE(H12,G12),H12)</f>
        <v>47300.5</v>
      </c>
      <c r="I37" s="156">
        <f>IF($H$9=1,AVERAGE(I12,H12),I12)</f>
        <v>47665.5</v>
      </c>
      <c r="J37" s="70"/>
    </row>
    <row r="38" spans="2:13" x14ac:dyDescent="0.25">
      <c r="B38" s="51" t="s">
        <v>41</v>
      </c>
      <c r="C38" s="80">
        <f>D8</f>
        <v>0.49722222222222223</v>
      </c>
      <c r="D38" s="74"/>
      <c r="E38" s="81">
        <f>E30*C38</f>
        <v>2867200054.5044188</v>
      </c>
      <c r="F38" s="81">
        <f>F30</f>
        <v>8410617915.6760445</v>
      </c>
      <c r="G38" s="81">
        <f>G30</f>
        <v>9998130551.3165436</v>
      </c>
      <c r="H38" s="81">
        <f>H30</f>
        <v>10448476775.602394</v>
      </c>
      <c r="I38" s="81">
        <f>I30</f>
        <v>10746207242.046638</v>
      </c>
      <c r="J38" s="69"/>
    </row>
    <row r="39" spans="2:13" ht="15" customHeight="1" x14ac:dyDescent="0.25">
      <c r="B39" s="72" t="s">
        <v>42</v>
      </c>
      <c r="C39" s="82"/>
      <c r="D39" s="73"/>
      <c r="E39" s="73">
        <f>E38/(1+$H$4)^((E37-$D$37)/365)</f>
        <v>2732572329.9927011</v>
      </c>
      <c r="F39" s="73">
        <f>F38/(1+$H$4)^((F37-$D$37)/365)</f>
        <v>6936938182.6185322</v>
      </c>
      <c r="G39" s="73">
        <f>G38/(1+$H$4)^((G37-$D$37)/365)</f>
        <v>6797811600.0960236</v>
      </c>
      <c r="H39" s="73">
        <f>H38/(1+$H$4)^((H37-$D$37)/365)</f>
        <v>5856170368.5595703</v>
      </c>
      <c r="I39" s="73">
        <f>I38/(1+$H$4)^((I37-$D$37)/365)</f>
        <v>4966393115.1435556</v>
      </c>
      <c r="J39" s="69"/>
    </row>
    <row r="41" spans="2:13" x14ac:dyDescent="0.25">
      <c r="B41" s="62" t="s">
        <v>43</v>
      </c>
      <c r="C41" s="62"/>
      <c r="E41" s="62" t="s">
        <v>44</v>
      </c>
      <c r="F41" s="63"/>
      <c r="G41" s="63"/>
      <c r="H41" s="63"/>
      <c r="I41" s="63"/>
    </row>
    <row r="42" spans="2:13" x14ac:dyDescent="0.25">
      <c r="B42" s="51" t="s">
        <v>45</v>
      </c>
      <c r="C42" s="83">
        <v>0.1</v>
      </c>
      <c r="E42" s="51" t="s">
        <v>46</v>
      </c>
      <c r="I42" s="74">
        <f>I16</f>
        <v>19285866023.547848</v>
      </c>
      <c r="J42" s="74"/>
    </row>
    <row r="43" spans="2:13" x14ac:dyDescent="0.25">
      <c r="B43" s="84" t="str">
        <f>YEAR(I12)&amp;" FCF x (1+g)"</f>
        <v>2030 FCF x (1+g)</v>
      </c>
      <c r="C43" s="74">
        <f>I38*(1+C42)</f>
        <v>11820827966.251303</v>
      </c>
      <c r="E43" s="51" t="s">
        <v>47</v>
      </c>
      <c r="I43" s="265">
        <v>5.2</v>
      </c>
      <c r="J43" s="85"/>
    </row>
    <row r="44" spans="2:13" x14ac:dyDescent="0.25">
      <c r="B44" s="51" t="str">
        <f>"Terminal value in "&amp;YEAR(I12)</f>
        <v>Terminal value in 2030</v>
      </c>
      <c r="C44" s="74">
        <f>C43/(H4-C42)</f>
        <v>104831812749.70647</v>
      </c>
      <c r="E44" s="51" t="str">
        <f>"Terminal value in "&amp;YEAR(I12)</f>
        <v>Terminal value in 2030</v>
      </c>
      <c r="I44" s="74">
        <f>I42*I43</f>
        <v>100286503322.44881</v>
      </c>
      <c r="J44" s="74"/>
    </row>
    <row r="45" spans="2:13" x14ac:dyDescent="0.25">
      <c r="B45" s="51" t="s">
        <v>48</v>
      </c>
      <c r="C45" s="74">
        <f>C44/(1+$H$4)^((I37-D37)/365)</f>
        <v>48448348460.196297</v>
      </c>
      <c r="E45" s="51" t="s">
        <v>48</v>
      </c>
      <c r="I45" s="74">
        <f>I44/(1+H4)^((I37-D37)/365)</f>
        <v>46347719565.063408</v>
      </c>
      <c r="J45" s="74"/>
    </row>
    <row r="46" spans="2:13" x14ac:dyDescent="0.25">
      <c r="B46" s="51" t="s">
        <v>49</v>
      </c>
      <c r="C46" s="69">
        <f>SUM(E39:I39)</f>
        <v>27289885596.410381</v>
      </c>
      <c r="E46" s="51" t="s">
        <v>49</v>
      </c>
      <c r="I46" s="74">
        <f>C46</f>
        <v>27289885596.410381</v>
      </c>
      <c r="J46" s="74"/>
    </row>
    <row r="47" spans="2:13" x14ac:dyDescent="0.25">
      <c r="B47" s="72" t="s">
        <v>50</v>
      </c>
      <c r="C47" s="86">
        <f>C45+C46</f>
        <v>75738234056.606674</v>
      </c>
      <c r="E47" s="72" t="s">
        <v>51</v>
      </c>
      <c r="I47" s="86">
        <f>I45+I46</f>
        <v>73637605161.473785</v>
      </c>
      <c r="J47" s="86"/>
    </row>
    <row r="49" spans="2:10" x14ac:dyDescent="0.25">
      <c r="B49" s="87" t="s">
        <v>52</v>
      </c>
      <c r="C49" s="88">
        <f>C45/C47</f>
        <v>0.63968151705235232</v>
      </c>
      <c r="E49" s="87" t="s">
        <v>52</v>
      </c>
      <c r="I49" s="88">
        <f>I45/I47</f>
        <v>0.62940286370572951</v>
      </c>
      <c r="J49" s="88"/>
    </row>
    <row r="50" spans="2:10" x14ac:dyDescent="0.25">
      <c r="B50" s="87" t="s">
        <v>53</v>
      </c>
      <c r="C50" s="88">
        <f>1-C49</f>
        <v>0.36031848294764768</v>
      </c>
      <c r="E50" s="87" t="s">
        <v>54</v>
      </c>
      <c r="G50" s="89"/>
      <c r="I50" s="90">
        <f>1-I49</f>
        <v>0.37059713629427049</v>
      </c>
      <c r="J50" s="90"/>
    </row>
    <row r="51" spans="2:10" x14ac:dyDescent="0.25">
      <c r="B51" s="87" t="s">
        <v>55</v>
      </c>
      <c r="C51" s="91">
        <f>C44/I16</f>
        <v>5.4356808567324837</v>
      </c>
      <c r="E51" s="51" t="s">
        <v>56</v>
      </c>
      <c r="I51" s="217">
        <f>(H4-I38/I44)/(1+I38/I44)</f>
        <v>9.5383983922171234E-2</v>
      </c>
      <c r="J51" s="92"/>
    </row>
    <row r="52" spans="2:10" x14ac:dyDescent="0.25">
      <c r="B52" s="87"/>
      <c r="C52" s="67"/>
      <c r="D52" s="91"/>
      <c r="I52" s="92"/>
      <c r="J52" s="92"/>
    </row>
    <row r="53" spans="2:10" x14ac:dyDescent="0.25">
      <c r="B53" s="62" t="s">
        <v>57</v>
      </c>
      <c r="C53" s="63"/>
      <c r="E53" s="62" t="s">
        <v>58</v>
      </c>
      <c r="F53" s="63"/>
      <c r="G53" s="62"/>
      <c r="H53" s="63"/>
      <c r="I53" s="63"/>
    </row>
    <row r="54" spans="2:10" x14ac:dyDescent="0.25">
      <c r="B54" s="51" t="s">
        <v>59</v>
      </c>
      <c r="C54" s="189" t="s">
        <v>60</v>
      </c>
    </row>
    <row r="55" spans="2:10" x14ac:dyDescent="0.25">
      <c r="B55" s="93" t="s">
        <v>61</v>
      </c>
      <c r="C55" s="58" t="s">
        <v>62</v>
      </c>
      <c r="G55" s="94" t="s">
        <v>59</v>
      </c>
      <c r="H55" s="95" t="s">
        <v>63</v>
      </c>
      <c r="I55" s="95" t="s">
        <v>64</v>
      </c>
    </row>
    <row r="56" spans="2:10" x14ac:dyDescent="0.25">
      <c r="B56" s="96" t="s">
        <v>65</v>
      </c>
      <c r="C56" s="97"/>
      <c r="E56" s="51" t="s">
        <v>66</v>
      </c>
      <c r="G56" s="190" t="s">
        <v>60</v>
      </c>
      <c r="H56" s="58" t="s">
        <v>62</v>
      </c>
      <c r="I56" s="187">
        <v>2868140263</v>
      </c>
      <c r="J56" s="98"/>
    </row>
    <row r="57" spans="2:10" x14ac:dyDescent="0.25">
      <c r="B57" s="71" t="s">
        <v>67</v>
      </c>
      <c r="C57" s="100">
        <f>FSM!F79+FSM!F88+FSM!F83+FSM!F90</f>
        <v>842054693</v>
      </c>
      <c r="E57" s="93" t="s">
        <v>68</v>
      </c>
      <c r="G57" s="190"/>
      <c r="H57" s="58"/>
      <c r="I57" s="184"/>
      <c r="J57" s="99"/>
    </row>
    <row r="58" spans="2:10" x14ac:dyDescent="0.25">
      <c r="B58" s="71" t="s">
        <v>69</v>
      </c>
      <c r="C58" s="184"/>
      <c r="E58" s="93" t="s">
        <v>70</v>
      </c>
      <c r="G58" s="58"/>
      <c r="H58" s="58"/>
      <c r="I58" s="184"/>
    </row>
    <row r="59" spans="2:10" ht="15" customHeight="1" x14ac:dyDescent="0.25">
      <c r="B59" s="71" t="s">
        <v>71</v>
      </c>
      <c r="C59" s="184"/>
      <c r="E59" s="51" t="s">
        <v>69</v>
      </c>
      <c r="G59" s="58"/>
      <c r="H59" s="58"/>
      <c r="I59" s="184"/>
    </row>
    <row r="60" spans="2:10" x14ac:dyDescent="0.25">
      <c r="B60" s="101" t="s">
        <v>72</v>
      </c>
      <c r="C60" s="100"/>
      <c r="E60" s="51" t="s">
        <v>73</v>
      </c>
      <c r="G60" s="58"/>
      <c r="H60" s="58"/>
      <c r="I60" s="184"/>
    </row>
    <row r="61" spans="2:10" ht="15" customHeight="1" x14ac:dyDescent="0.25">
      <c r="B61" s="96" t="s">
        <v>74</v>
      </c>
      <c r="C61" s="100"/>
      <c r="E61" s="102" t="s">
        <v>75</v>
      </c>
      <c r="I61" s="188">
        <f>SUM(I56:I60)</f>
        <v>2868140263</v>
      </c>
      <c r="J61" s="103"/>
    </row>
    <row r="62" spans="2:10" x14ac:dyDescent="0.25">
      <c r="B62" s="104" t="s">
        <v>76</v>
      </c>
      <c r="C62" s="100">
        <f>FSM!F61</f>
        <v>2971664846</v>
      </c>
      <c r="J62" s="105"/>
    </row>
    <row r="63" spans="2:10" x14ac:dyDescent="0.25">
      <c r="B63" s="104" t="s">
        <v>77</v>
      </c>
      <c r="C63" s="100">
        <f>FSM!F68</f>
        <v>2424170</v>
      </c>
      <c r="J63" s="105"/>
    </row>
    <row r="64" spans="2:10" x14ac:dyDescent="0.25">
      <c r="B64" s="104" t="s">
        <v>78</v>
      </c>
      <c r="C64" s="100">
        <f>FSM!F56+FSM!F57+FSM!F69</f>
        <v>13966914980</v>
      </c>
      <c r="J64" s="106"/>
    </row>
    <row r="65" spans="2:6" x14ac:dyDescent="0.25">
      <c r="B65" s="107" t="s">
        <v>57</v>
      </c>
      <c r="C65" s="14">
        <f>SUM(C57:C60)-SUM(C62:C64)</f>
        <v>-16098949303</v>
      </c>
    </row>
    <row r="67" spans="2:6" x14ac:dyDescent="0.25">
      <c r="B67" s="62" t="s">
        <v>79</v>
      </c>
      <c r="C67" s="63"/>
      <c r="D67" s="63"/>
    </row>
    <row r="68" spans="2:6" ht="17.25" customHeight="1" x14ac:dyDescent="0.4">
      <c r="C68" s="108" t="s">
        <v>80</v>
      </c>
      <c r="D68" s="108" t="s">
        <v>21</v>
      </c>
    </row>
    <row r="69" spans="2:6" x14ac:dyDescent="0.25">
      <c r="B69" s="51" t="s">
        <v>81</v>
      </c>
      <c r="C69" s="109">
        <f>C47</f>
        <v>75738234056.606674</v>
      </c>
      <c r="D69" s="109">
        <f>I47</f>
        <v>73637605161.473785</v>
      </c>
    </row>
    <row r="70" spans="2:6" x14ac:dyDescent="0.25">
      <c r="B70" s="51" t="s">
        <v>57</v>
      </c>
      <c r="C70" s="110">
        <f>$C$65</f>
        <v>-16098949303</v>
      </c>
      <c r="D70" s="110">
        <f>$C$65</f>
        <v>-16098949303</v>
      </c>
    </row>
    <row r="71" spans="2:6" x14ac:dyDescent="0.25">
      <c r="B71" s="51" t="s">
        <v>82</v>
      </c>
      <c r="C71" s="111">
        <f>C69-C70</f>
        <v>91837183359.606674</v>
      </c>
      <c r="D71" s="111">
        <f>D69-D70</f>
        <v>89736554464.473785</v>
      </c>
    </row>
    <row r="72" spans="2:6" x14ac:dyDescent="0.25">
      <c r="B72" s="51" t="s">
        <v>58</v>
      </c>
      <c r="C72" s="213">
        <f>$I$61</f>
        <v>2868140263</v>
      </c>
      <c r="D72" s="213">
        <f>$I$61</f>
        <v>2868140263</v>
      </c>
    </row>
    <row r="73" spans="2:6" x14ac:dyDescent="0.25">
      <c r="B73" s="72" t="s">
        <v>83</v>
      </c>
      <c r="C73" s="301">
        <f>C71/C72</f>
        <v>32.019767144702811</v>
      </c>
      <c r="D73" s="301">
        <f>D71/D72</f>
        <v>31.287366110404825</v>
      </c>
    </row>
    <row r="75" spans="2:6" ht="17.25" customHeight="1" x14ac:dyDescent="0.4">
      <c r="C75" s="65" t="s">
        <v>84</v>
      </c>
      <c r="D75" s="65"/>
    </row>
    <row r="76" spans="2:6" x14ac:dyDescent="0.25">
      <c r="B76" s="94"/>
      <c r="C76" s="95" t="s">
        <v>80</v>
      </c>
      <c r="D76" s="95" t="s">
        <v>21</v>
      </c>
    </row>
    <row r="77" spans="2:6" x14ac:dyDescent="0.25">
      <c r="B77" s="51" t="s">
        <v>85</v>
      </c>
      <c r="C77" s="232">
        <f>C69/$C$14</f>
        <v>2.7533339683990872</v>
      </c>
      <c r="D77" s="232">
        <f>D69/$C$14</f>
        <v>2.6769691975008474</v>
      </c>
    </row>
    <row r="78" spans="2:6" x14ac:dyDescent="0.25">
      <c r="B78" s="51" t="s">
        <v>86</v>
      </c>
      <c r="C78" s="233">
        <f>C69/$C$16</f>
        <v>4.9440334400904318</v>
      </c>
      <c r="D78" s="233">
        <f>D69/$C$16</f>
        <v>4.8069087812953111</v>
      </c>
    </row>
    <row r="79" spans="2:6" x14ac:dyDescent="0.25">
      <c r="B79" s="69" t="s">
        <v>87</v>
      </c>
      <c r="C79" s="233">
        <f>C69/$C$18</f>
        <v>5.8600495621419881</v>
      </c>
      <c r="D79" s="233">
        <f>D69/$C$18</f>
        <v>5.6975188457808708</v>
      </c>
    </row>
    <row r="80" spans="2:6" ht="17.25" customHeight="1" x14ac:dyDescent="0.4">
      <c r="B80" s="69"/>
      <c r="C80" s="65" t="s">
        <v>88</v>
      </c>
      <c r="D80" s="65"/>
      <c r="E80" s="112"/>
      <c r="F80" s="112"/>
    </row>
    <row r="81" spans="2:17" x14ac:dyDescent="0.25">
      <c r="B81" s="94"/>
      <c r="C81" s="95" t="s">
        <v>80</v>
      </c>
      <c r="D81" s="95" t="s">
        <v>21</v>
      </c>
      <c r="E81" s="112"/>
      <c r="F81" s="112"/>
    </row>
    <row r="82" spans="2:17" x14ac:dyDescent="0.25">
      <c r="B82" s="51" t="s">
        <v>85</v>
      </c>
      <c r="C82" s="232">
        <f>C69/$E$14</f>
        <v>2.689162700648172</v>
      </c>
      <c r="D82" s="232">
        <f>D69/$E$14</f>
        <v>2.6145777444096474</v>
      </c>
      <c r="E82" s="112"/>
      <c r="F82" s="112"/>
    </row>
    <row r="83" spans="2:17" x14ac:dyDescent="0.25">
      <c r="B83" s="51" t="s">
        <v>86</v>
      </c>
      <c r="C83" s="233">
        <f>C69/$E$16</f>
        <v>4.9312808088746429</v>
      </c>
      <c r="D83" s="233">
        <f>D69/$E$16</f>
        <v>4.7945098491847959</v>
      </c>
      <c r="E83" s="112"/>
      <c r="F83" s="112"/>
    </row>
    <row r="84" spans="2:17" x14ac:dyDescent="0.25">
      <c r="B84" s="69" t="s">
        <v>87</v>
      </c>
      <c r="C84" s="233">
        <f>C69/$E$18</f>
        <v>5.8761581907961578</v>
      </c>
      <c r="D84" s="233">
        <f>D69/$E$18</f>
        <v>5.7131806954569795</v>
      </c>
      <c r="E84" s="112"/>
      <c r="F84" s="112"/>
    </row>
    <row r="86" spans="2:17" x14ac:dyDescent="0.25">
      <c r="B86" s="62" t="s">
        <v>89</v>
      </c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</row>
    <row r="87" spans="2:17" x14ac:dyDescent="0.25">
      <c r="B87" s="72"/>
    </row>
    <row r="88" spans="2:17" ht="17.25" customHeight="1" x14ac:dyDescent="0.4">
      <c r="B88" s="113"/>
      <c r="C88" s="72"/>
      <c r="D88" s="114" t="s">
        <v>83</v>
      </c>
      <c r="E88" s="65"/>
      <c r="F88" s="65"/>
      <c r="G88" s="65"/>
      <c r="H88" s="65"/>
      <c r="I88" s="65"/>
      <c r="J88" s="115"/>
      <c r="L88" s="114" t="s">
        <v>90</v>
      </c>
      <c r="M88" s="65"/>
      <c r="N88" s="65"/>
      <c r="O88" s="65"/>
      <c r="P88" s="65"/>
      <c r="Q88" s="65"/>
    </row>
    <row r="89" spans="2:17" ht="15" customHeight="1" x14ac:dyDescent="0.25">
      <c r="B89" s="113"/>
      <c r="D89" s="93"/>
      <c r="E89" s="116" t="s">
        <v>91</v>
      </c>
      <c r="F89" s="116"/>
      <c r="G89" s="116"/>
      <c r="H89" s="116"/>
      <c r="I89" s="116"/>
      <c r="J89" s="117"/>
      <c r="L89" s="116" t="s">
        <v>91</v>
      </c>
      <c r="M89" s="116"/>
      <c r="N89" s="116"/>
      <c r="O89" s="116"/>
      <c r="P89" s="116"/>
      <c r="Q89" s="116"/>
    </row>
    <row r="90" spans="2:17" ht="15" customHeight="1" x14ac:dyDescent="0.25">
      <c r="B90" s="113"/>
      <c r="C90" s="118"/>
      <c r="D90" s="159">
        <f>C73</f>
        <v>32.019767144702811</v>
      </c>
      <c r="E90" s="193">
        <f>F90-0.005</f>
        <v>0.09</v>
      </c>
      <c r="F90" s="194">
        <f>G90-0.005</f>
        <v>9.5000000000000001E-2</v>
      </c>
      <c r="G90" s="119">
        <f>$C$42</f>
        <v>0.1</v>
      </c>
      <c r="H90" s="194">
        <f>G90+0.005</f>
        <v>0.10500000000000001</v>
      </c>
      <c r="I90" s="218">
        <f>H90+0.005</f>
        <v>0.11000000000000001</v>
      </c>
      <c r="K90" s="123"/>
      <c r="L90" s="120">
        <f>C78</f>
        <v>4.9440334400904318</v>
      </c>
      <c r="M90" s="193">
        <f>N90-0.005</f>
        <v>0.09</v>
      </c>
      <c r="N90" s="194">
        <f>O90-0.005</f>
        <v>9.5000000000000001E-2</v>
      </c>
      <c r="O90" s="119">
        <f>$C$42</f>
        <v>0.1</v>
      </c>
      <c r="P90" s="194">
        <f>O90+0.005</f>
        <v>0.10500000000000001</v>
      </c>
      <c r="Q90" s="218">
        <f>P90+0.005</f>
        <v>0.11000000000000001</v>
      </c>
    </row>
    <row r="91" spans="2:17" ht="15" customHeight="1" x14ac:dyDescent="0.25">
      <c r="B91" s="113"/>
      <c r="D91" s="191">
        <f>D92+0.01</f>
        <v>0.23275993094266514</v>
      </c>
      <c r="E91" s="121">
        <f t="dataTable" ref="E91:I95" dt2D="1" dtr="1" r1="C42" r2="H4" ca="1"/>
        <v>27.184303452510896</v>
      </c>
      <c r="F91" s="121">
        <v>26.710386983980214</v>
      </c>
      <c r="G91" s="121">
        <v>26.710386983980214</v>
      </c>
      <c r="H91" s="121">
        <v>27.184303452510896</v>
      </c>
      <c r="I91" s="121">
        <v>28.239228145006063</v>
      </c>
      <c r="J91" s="122"/>
      <c r="L91" s="191">
        <f>L92+0.01</f>
        <v>0.23275993094266514</v>
      </c>
      <c r="M91" s="123">
        <f t="dataTable" ref="M91:Q95" dt2D="1" dtr="1" r1="C42" r2="H4" ca="1"/>
        <v>4.038707972406506</v>
      </c>
      <c r="N91" s="123">
        <v>3.9499783953013226</v>
      </c>
      <c r="O91" s="123">
        <v>3.9499783953013226</v>
      </c>
      <c r="P91" s="123">
        <v>4.038707972406506</v>
      </c>
      <c r="Q91" s="123">
        <v>4.2362175084922962</v>
      </c>
    </row>
    <row r="92" spans="2:17" ht="15" customHeight="1" x14ac:dyDescent="0.25">
      <c r="B92" s="113"/>
      <c r="D92" s="191">
        <f>D93+0.01</f>
        <v>0.22275993094266514</v>
      </c>
      <c r="E92" s="121">
        <v>28.719066942066306</v>
      </c>
      <c r="F92" s="121">
        <v>28.158933304559334</v>
      </c>
      <c r="G92" s="121">
        <v>28.158933304559334</v>
      </c>
      <c r="H92" s="121">
        <v>28.719066942066306</v>
      </c>
      <c r="I92" s="121">
        <v>29.976219347237713</v>
      </c>
      <c r="J92" s="122"/>
      <c r="L92" s="191">
        <f>L93+0.01</f>
        <v>0.22275993094266514</v>
      </c>
      <c r="M92" s="123">
        <v>4.3260559006330377</v>
      </c>
      <c r="N92" s="123">
        <v>4.2211842110450579</v>
      </c>
      <c r="O92" s="123">
        <v>4.2211842110450579</v>
      </c>
      <c r="P92" s="123">
        <v>4.3260559006330377</v>
      </c>
      <c r="Q92" s="123">
        <v>4.5614277618672734</v>
      </c>
    </row>
    <row r="93" spans="2:17" ht="15" customHeight="1" x14ac:dyDescent="0.25">
      <c r="B93" s="113"/>
      <c r="C93" s="118" t="s">
        <v>92</v>
      </c>
      <c r="D93" s="124">
        <f>WACC!$E$21</f>
        <v>0.21275993094266513</v>
      </c>
      <c r="E93" s="121">
        <v>30.50270242051743</v>
      </c>
      <c r="F93" s="121">
        <v>29.833227600546422</v>
      </c>
      <c r="G93" s="121">
        <v>29.833227600546422</v>
      </c>
      <c r="H93" s="121">
        <v>30.50270242051743</v>
      </c>
      <c r="I93" s="121">
        <v>32.019767144702811</v>
      </c>
      <c r="J93" s="122"/>
      <c r="K93" s="118" t="s">
        <v>92</v>
      </c>
      <c r="L93" s="124">
        <f>WACC!$E$21</f>
        <v>0.21275993094266513</v>
      </c>
      <c r="M93" s="123">
        <v>4.6599991843586226</v>
      </c>
      <c r="N93" s="123">
        <v>4.5346559612316337</v>
      </c>
      <c r="O93" s="123">
        <v>4.5346559612316337</v>
      </c>
      <c r="P93" s="123">
        <v>4.6599991843586226</v>
      </c>
      <c r="Q93" s="123">
        <v>4.9440334400904318</v>
      </c>
    </row>
    <row r="94" spans="2:17" ht="15" customHeight="1" x14ac:dyDescent="0.25">
      <c r="B94" s="113"/>
      <c r="D94" s="191">
        <f>D93-0.01</f>
        <v>0.20275993094266512</v>
      </c>
      <c r="E94" s="121">
        <v>32.601376300329122</v>
      </c>
      <c r="F94" s="121">
        <v>31.790740466249005</v>
      </c>
      <c r="G94" s="121">
        <v>31.790740466249005</v>
      </c>
      <c r="H94" s="121">
        <v>32.601376300329122</v>
      </c>
      <c r="I94" s="121">
        <v>34.459307090379667</v>
      </c>
      <c r="J94" s="122"/>
      <c r="L94" s="191">
        <f>L93-0.01</f>
        <v>0.20275993094266512</v>
      </c>
      <c r="M94" s="123">
        <v>5.0529259092194803</v>
      </c>
      <c r="N94" s="123">
        <v>4.9011536465521006</v>
      </c>
      <c r="O94" s="123">
        <v>4.9011536465521006</v>
      </c>
      <c r="P94" s="123">
        <v>5.0529259092194803</v>
      </c>
      <c r="Q94" s="123">
        <v>5.4007792214350081</v>
      </c>
    </row>
    <row r="95" spans="2:17" ht="15" customHeight="1" x14ac:dyDescent="0.25">
      <c r="B95" s="125" t="s">
        <v>93</v>
      </c>
      <c r="D95" s="192">
        <f>D94-0.01</f>
        <v>0.19275993094266511</v>
      </c>
      <c r="E95" s="121">
        <v>35.107008255988248</v>
      </c>
      <c r="F95" s="121">
        <v>34.110273204602876</v>
      </c>
      <c r="G95" s="121">
        <v>34.110273204602876</v>
      </c>
      <c r="H95" s="121">
        <v>35.107008255988248</v>
      </c>
      <c r="I95" s="121">
        <v>37.422837929725496</v>
      </c>
      <c r="J95" s="122"/>
      <c r="L95" s="192">
        <f>L94-0.01</f>
        <v>0.19275993094266511</v>
      </c>
      <c r="M95" s="123">
        <v>5.5220458461065718</v>
      </c>
      <c r="N95" s="123">
        <v>5.3354309351085778</v>
      </c>
      <c r="O95" s="123">
        <v>5.3354309351085778</v>
      </c>
      <c r="P95" s="123">
        <v>5.5220458461065718</v>
      </c>
      <c r="Q95" s="123">
        <v>5.9556298239653973</v>
      </c>
    </row>
    <row r="96" spans="2:17" ht="15" customHeight="1" x14ac:dyDescent="0.25">
      <c r="B96" s="125" t="s">
        <v>94</v>
      </c>
      <c r="E96" s="126"/>
      <c r="F96" s="126"/>
      <c r="G96" s="126"/>
      <c r="H96" s="126"/>
      <c r="I96" s="126"/>
      <c r="J96" s="126"/>
    </row>
    <row r="97" spans="2:17" ht="17.25" customHeight="1" x14ac:dyDescent="0.4">
      <c r="B97" s="113"/>
      <c r="D97" s="114" t="s">
        <v>83</v>
      </c>
      <c r="E97" s="65"/>
      <c r="F97" s="65"/>
      <c r="G97" s="65"/>
      <c r="H97" s="65"/>
      <c r="I97" s="65"/>
      <c r="J97" s="115"/>
      <c r="L97" s="114" t="s">
        <v>90</v>
      </c>
      <c r="M97" s="65"/>
      <c r="N97" s="65"/>
      <c r="O97" s="65"/>
      <c r="P97" s="65"/>
      <c r="Q97" s="65"/>
    </row>
    <row r="98" spans="2:17" ht="15" customHeight="1" x14ac:dyDescent="0.25">
      <c r="B98" s="113"/>
      <c r="E98" s="116" t="s">
        <v>95</v>
      </c>
      <c r="F98" s="116"/>
      <c r="G98" s="116"/>
      <c r="H98" s="116"/>
      <c r="I98" s="116"/>
      <c r="J98" s="117"/>
      <c r="M98" s="116" t="s">
        <v>95</v>
      </c>
      <c r="N98" s="116"/>
      <c r="O98" s="116"/>
      <c r="P98" s="116"/>
      <c r="Q98" s="116"/>
    </row>
    <row r="99" spans="2:17" ht="15" customHeight="1" x14ac:dyDescent="0.25">
      <c r="B99" s="113"/>
      <c r="D99" s="160">
        <f>D73</f>
        <v>31.287366110404825</v>
      </c>
      <c r="E99" s="161">
        <f>+F99-0.5</f>
        <v>4.2</v>
      </c>
      <c r="F99" s="161">
        <f>+G99-0.5</f>
        <v>4.7</v>
      </c>
      <c r="G99" s="127">
        <f>$I$43</f>
        <v>5.2</v>
      </c>
      <c r="H99" s="161">
        <f>+G99+0.5</f>
        <v>5.7</v>
      </c>
      <c r="I99" s="220">
        <f>+H99+0.5</f>
        <v>6.2</v>
      </c>
      <c r="J99" s="219"/>
      <c r="L99" s="120">
        <f>D78</f>
        <v>4.8069087812953111</v>
      </c>
      <c r="M99" s="161">
        <f>+N99-0.5</f>
        <v>4.2</v>
      </c>
      <c r="N99" s="161">
        <f>+O99-0.5</f>
        <v>4.7</v>
      </c>
      <c r="O99" s="127">
        <f>$I$43</f>
        <v>5.2</v>
      </c>
      <c r="P99" s="161">
        <f>+O99+0.5</f>
        <v>5.7</v>
      </c>
      <c r="Q99" s="220">
        <f>+P99+0.5</f>
        <v>6.2</v>
      </c>
    </row>
    <row r="100" spans="2:17" ht="15" customHeight="1" x14ac:dyDescent="0.25">
      <c r="B100" s="113"/>
      <c r="D100" s="191">
        <f>D101+0.01</f>
        <v>0.23275993094266514</v>
      </c>
      <c r="E100" s="121">
        <f t="dataTable" ref="E100:I104" dt2D="1" dtr="1" r1="I43" r2="H4" ca="1"/>
        <v>27.026019807609025</v>
      </c>
      <c r="F100" s="121">
        <v>25.570660481735725</v>
      </c>
      <c r="G100" s="121">
        <v>25.570660481735725</v>
      </c>
      <c r="H100" s="121">
        <v>27.026019807609025</v>
      </c>
      <c r="I100" s="121">
        <v>29.936738459355617</v>
      </c>
      <c r="J100" s="122"/>
      <c r="L100" s="191">
        <f>L101+0.01</f>
        <v>0.23275993094266514</v>
      </c>
      <c r="M100" s="123">
        <f t="dataTable" ref="M100:Q104" dt2D="1" dtr="1" r1="I43" r2="H4" ca="1"/>
        <v>4.0090731278560447</v>
      </c>
      <c r="N100" s="123">
        <v>3.7365917390552212</v>
      </c>
      <c r="O100" s="123">
        <v>3.7365917390552212</v>
      </c>
      <c r="P100" s="123">
        <v>4.0090731278560447</v>
      </c>
      <c r="Q100" s="123">
        <v>4.55403590545769</v>
      </c>
    </row>
    <row r="101" spans="2:17" ht="15" customHeight="1" x14ac:dyDescent="0.25">
      <c r="B101" s="113"/>
      <c r="D101" s="191">
        <f>D102+0.01</f>
        <v>0.22275993094266514</v>
      </c>
      <c r="E101" s="121">
        <v>27.591880350137917</v>
      </c>
      <c r="F101" s="121">
        <v>26.088308025934321</v>
      </c>
      <c r="G101" s="121">
        <v>26.088308025934321</v>
      </c>
      <c r="H101" s="121">
        <v>27.591880350137917</v>
      </c>
      <c r="I101" s="121">
        <v>30.599024998545115</v>
      </c>
      <c r="J101" s="122"/>
      <c r="L101" s="191">
        <f>L102+0.01</f>
        <v>0.22275993094266514</v>
      </c>
      <c r="M101" s="123">
        <v>4.1150170440798535</v>
      </c>
      <c r="N101" s="123">
        <v>3.8335089190567517</v>
      </c>
      <c r="O101" s="123">
        <v>3.8335089190567517</v>
      </c>
      <c r="P101" s="123">
        <v>4.1150170440798535</v>
      </c>
      <c r="Q101" s="123">
        <v>4.6780332941260578</v>
      </c>
    </row>
    <row r="102" spans="2:17" ht="15" customHeight="1" x14ac:dyDescent="0.25">
      <c r="B102" s="113"/>
      <c r="C102" s="118" t="s">
        <v>92</v>
      </c>
      <c r="D102" s="124">
        <f>WACC!$E$21</f>
        <v>0.21275993094266513</v>
      </c>
      <c r="E102" s="121">
        <v>28.179769488209431</v>
      </c>
      <c r="F102" s="121">
        <v>26.62597117711173</v>
      </c>
      <c r="G102" s="121">
        <v>26.62597117711173</v>
      </c>
      <c r="H102" s="121">
        <v>28.179769488209431</v>
      </c>
      <c r="I102" s="121">
        <v>31.287366110404825</v>
      </c>
      <c r="J102" s="122"/>
      <c r="K102" s="118" t="s">
        <v>92</v>
      </c>
      <c r="L102" s="124">
        <f>WACC!$E$21</f>
        <v>0.21275993094266513</v>
      </c>
      <c r="M102" s="123">
        <v>4.2250852904261791</v>
      </c>
      <c r="N102" s="123">
        <v>3.9341735449916126</v>
      </c>
      <c r="O102" s="123">
        <v>3.9341735449916126</v>
      </c>
      <c r="P102" s="123">
        <v>4.2250852904261791</v>
      </c>
      <c r="Q102" s="123">
        <v>4.8069087812953111</v>
      </c>
    </row>
    <row r="103" spans="2:17" ht="15" customHeight="1" x14ac:dyDescent="0.25">
      <c r="B103" s="113"/>
      <c r="D103" s="191">
        <f>D102-0.01</f>
        <v>0.20275993094266512</v>
      </c>
      <c r="E103" s="121">
        <v>28.790761524031243</v>
      </c>
      <c r="F103" s="121">
        <v>27.184622539348418</v>
      </c>
      <c r="G103" s="121">
        <v>27.184622539348418</v>
      </c>
      <c r="H103" s="121">
        <v>28.790761524031243</v>
      </c>
      <c r="I103" s="121">
        <v>32.003039493396905</v>
      </c>
      <c r="J103" s="122"/>
      <c r="L103" s="191">
        <f>L102-0.01</f>
        <v>0.20275993094266512</v>
      </c>
      <c r="M103" s="123">
        <v>4.3394790044095428</v>
      </c>
      <c r="N103" s="123">
        <v>4.0387677138209384</v>
      </c>
      <c r="O103" s="123">
        <v>4.0387677138209384</v>
      </c>
      <c r="P103" s="123">
        <v>4.3394790044095428</v>
      </c>
      <c r="Q103" s="123">
        <v>4.9409015855867517</v>
      </c>
    </row>
    <row r="104" spans="2:17" ht="15" customHeight="1" x14ac:dyDescent="0.25">
      <c r="B104" s="113"/>
      <c r="D104" s="192">
        <f>D103-0.01</f>
        <v>0.19275993094266511</v>
      </c>
      <c r="E104" s="121">
        <v>29.425993270012771</v>
      </c>
      <c r="F104" s="121">
        <v>27.765291182141329</v>
      </c>
      <c r="G104" s="121">
        <v>27.765291182141329</v>
      </c>
      <c r="H104" s="121">
        <v>29.425993270012771</v>
      </c>
      <c r="I104" s="121">
        <v>32.747397445755666</v>
      </c>
      <c r="J104" s="122"/>
      <c r="L104" s="192">
        <f>L103-0.01</f>
        <v>0.19275993094266511</v>
      </c>
      <c r="M104" s="123">
        <v>4.4584110270916772</v>
      </c>
      <c r="N104" s="123">
        <v>4.147484094310931</v>
      </c>
      <c r="O104" s="123">
        <v>4.147484094310931</v>
      </c>
      <c r="P104" s="123">
        <v>4.4584110270916772</v>
      </c>
      <c r="Q104" s="123">
        <v>5.0802648926531688</v>
      </c>
    </row>
    <row r="105" spans="2:17" x14ac:dyDescent="0.25">
      <c r="J105" s="128"/>
    </row>
    <row r="106" spans="2:17" x14ac:dyDescent="0.25">
      <c r="B106" s="129" t="s">
        <v>96</v>
      </c>
      <c r="C106" s="129"/>
      <c r="D106" s="129"/>
      <c r="E106" s="129"/>
      <c r="G106" s="129" t="s">
        <v>97</v>
      </c>
      <c r="H106" s="129"/>
      <c r="I106" s="129"/>
      <c r="J106" s="130"/>
      <c r="K106" s="129"/>
      <c r="L106" s="129"/>
      <c r="M106" s="129"/>
      <c r="N106" s="129"/>
      <c r="O106" s="129"/>
      <c r="P106" s="129"/>
    </row>
    <row r="107" spans="2:17" x14ac:dyDescent="0.25">
      <c r="J107" s="128"/>
    </row>
    <row r="108" spans="2:17" x14ac:dyDescent="0.25">
      <c r="J108" s="128"/>
    </row>
    <row r="109" spans="2:17" x14ac:dyDescent="0.25">
      <c r="J109" s="128"/>
    </row>
    <row r="110" spans="2:17" x14ac:dyDescent="0.25">
      <c r="J110" s="128"/>
    </row>
    <row r="111" spans="2:17" x14ac:dyDescent="0.25">
      <c r="J111" s="128"/>
    </row>
    <row r="112" spans="2:17" x14ac:dyDescent="0.25">
      <c r="J112" s="128"/>
    </row>
    <row r="113" spans="2:17" x14ac:dyDescent="0.25">
      <c r="J113" s="128"/>
    </row>
    <row r="114" spans="2:17" x14ac:dyDescent="0.25">
      <c r="J114" s="128"/>
    </row>
    <row r="115" spans="2:17" x14ac:dyDescent="0.25">
      <c r="J115" s="128"/>
    </row>
    <row r="116" spans="2:17" x14ac:dyDescent="0.25">
      <c r="J116" s="128"/>
    </row>
    <row r="117" spans="2:17" x14ac:dyDescent="0.25">
      <c r="J117" s="128"/>
    </row>
    <row r="118" spans="2:17" x14ac:dyDescent="0.25">
      <c r="J118" s="128"/>
    </row>
    <row r="119" spans="2:17" x14ac:dyDescent="0.25">
      <c r="J119" s="128"/>
    </row>
    <row r="120" spans="2:17" x14ac:dyDescent="0.25">
      <c r="J120" s="128"/>
      <c r="M120" s="131"/>
    </row>
    <row r="121" spans="2:17" x14ac:dyDescent="0.25">
      <c r="J121" s="128"/>
    </row>
    <row r="122" spans="2:17" x14ac:dyDescent="0.25">
      <c r="J122" s="128"/>
    </row>
    <row r="123" spans="2:17" x14ac:dyDescent="0.25">
      <c r="J123" s="128"/>
    </row>
    <row r="124" spans="2:17" x14ac:dyDescent="0.25">
      <c r="J124" s="128"/>
    </row>
    <row r="125" spans="2:17" x14ac:dyDescent="0.25">
      <c r="J125" s="128"/>
    </row>
    <row r="126" spans="2:17" x14ac:dyDescent="0.25">
      <c r="J126" s="128"/>
    </row>
    <row r="127" spans="2:17" x14ac:dyDescent="0.25">
      <c r="B127" s="132"/>
      <c r="C127" s="133" t="s">
        <v>98</v>
      </c>
      <c r="D127" s="133" t="s">
        <v>99</v>
      </c>
      <c r="E127" s="134" t="s">
        <v>100</v>
      </c>
      <c r="G127" s="132"/>
      <c r="H127" s="135"/>
      <c r="I127" s="135"/>
      <c r="J127" s="136"/>
      <c r="K127" s="135"/>
      <c r="L127" s="135"/>
      <c r="M127" s="135"/>
      <c r="N127" s="135"/>
      <c r="O127" s="133" t="s">
        <v>98</v>
      </c>
      <c r="P127" s="133" t="s">
        <v>99</v>
      </c>
      <c r="Q127" s="134" t="s">
        <v>100</v>
      </c>
    </row>
    <row r="128" spans="2:17" x14ac:dyDescent="0.25">
      <c r="B128" s="162" t="str">
        <f>"DCF Value at "&amp;TEXT(E99,"0.0x")&amp;"-"&amp;TEXT(I99,"0.0x")&amp;" Exit EBITDA Range at "&amp;TEXT(D102,"0.0%")&amp;" WACC"</f>
        <v>DCF Value at 4.2x-6.2x Exit EBITDA Range at 21.3% WACC</v>
      </c>
      <c r="C128" s="163">
        <f>E102</f>
        <v>28.179769488209431</v>
      </c>
      <c r="D128" s="163">
        <f>E128-C128</f>
        <v>3.1075966221953948</v>
      </c>
      <c r="E128" s="164">
        <f>I102</f>
        <v>31.287366110404825</v>
      </c>
      <c r="G128" s="162" t="str">
        <f>"LTM EBITDA Purchase Multiple at "&amp;TEXT(M90,"0.0%")&amp;"-"&amp;TEXT(Q90,"0.0%")&amp;" Perpetuity Growth at "&amp;TEXT(L93,"0.0%")&amp;" WACC"</f>
        <v>LTM EBITDA Purchase Multiple at 9.0%-11.0% Perpetuity Growth at 21.3% WACC</v>
      </c>
      <c r="J128" s="170"/>
      <c r="O128" s="171">
        <f>M93</f>
        <v>4.6599991843586226</v>
      </c>
      <c r="P128" s="171">
        <f>Q128-O128</f>
        <v>0.28403425573180918</v>
      </c>
      <c r="Q128" s="172">
        <f>Q93</f>
        <v>4.9440334400904318</v>
      </c>
    </row>
    <row r="129" spans="2:17" x14ac:dyDescent="0.25">
      <c r="B129" s="165" t="str">
        <f>"DCF Value at "&amp;TEXT(E90,"0.0%")&amp;"-"&amp;TEXT(I90,"0.0%")&amp;" Perpetuity Range at "&amp;TEXT(D102,"0.0%")&amp;" WACC"</f>
        <v>DCF Value at 9.0%-11.0% Perpetuity Range at 21.3% WACC</v>
      </c>
      <c r="C129" s="163">
        <f>E93</f>
        <v>30.50270242051743</v>
      </c>
      <c r="D129" s="163">
        <f>E129-C129</f>
        <v>1.5170647241853814</v>
      </c>
      <c r="E129" s="164">
        <f>I93</f>
        <v>32.019767144702811</v>
      </c>
      <c r="G129" s="165" t="str">
        <f>"LTM EBITDA Purchase Multiple at "&amp;TEXT(M102,"0.0x")&amp;"-"&amp;TEXT(Q102,"0.0x")&amp;" Exit EBITDA Multiple at "&amp;TEXT(L102,"0.0%")&amp;" WACC"</f>
        <v>LTM EBITDA Purchase Multiple at 4.2x-4.8x Exit EBITDA Multiple at 21.3% WACC</v>
      </c>
      <c r="J129" s="170"/>
      <c r="O129" s="171">
        <f>M102</f>
        <v>4.2250852904261791</v>
      </c>
      <c r="P129" s="171">
        <f>Q129-O129</f>
        <v>0.58182349086913199</v>
      </c>
      <c r="Q129" s="172">
        <f>Q102</f>
        <v>4.8069087812953111</v>
      </c>
    </row>
    <row r="130" spans="2:17" x14ac:dyDescent="0.25">
      <c r="B130" s="166" t="s">
        <v>101</v>
      </c>
      <c r="C130" s="167">
        <v>26.21</v>
      </c>
      <c r="D130" s="168">
        <f>E130-C130</f>
        <v>25.79</v>
      </c>
      <c r="E130" s="169">
        <v>52</v>
      </c>
      <c r="G130" s="166" t="str">
        <f>"LTM EBITDA Purchase Multiple at "&amp;TEXT(L104,"0.0%")&amp;"-"&amp;TEXT(L100,"0.0%")&amp;" WACC at "&amp;TEXT(O99,"0.0x")&amp;" Exit EBITDA"</f>
        <v>LTM EBITDA Purchase Multiple at 19.3%-23.3% WACC at 5.2x Exit EBITDA</v>
      </c>
      <c r="H130" s="40"/>
      <c r="I130" s="40"/>
      <c r="J130" s="173"/>
      <c r="K130" s="40"/>
      <c r="L130" s="40"/>
      <c r="M130" s="40"/>
      <c r="N130" s="40"/>
      <c r="O130" s="168">
        <f>O100</f>
        <v>3.7365917390552212</v>
      </c>
      <c r="P130" s="168">
        <f>Q130-O130</f>
        <v>0.41089235525570977</v>
      </c>
      <c r="Q130" s="174">
        <f>O104</f>
        <v>4.147484094310931</v>
      </c>
    </row>
    <row r="131" spans="2:17" x14ac:dyDescent="0.25">
      <c r="J131" s="128"/>
    </row>
    <row r="132" spans="2:17" x14ac:dyDescent="0.25">
      <c r="J132" s="128"/>
    </row>
  </sheetData>
  <conditionalFormatting sqref="E91:J95 E100:J104">
    <cfRule type="cellIs" dxfId="4" priority="5" operator="lessThan">
      <formula>#REF!</formula>
    </cfRule>
  </conditionalFormatting>
  <conditionalFormatting sqref="I8">
    <cfRule type="expression" dxfId="3" priority="1">
      <formula>$I8="SELL"</formula>
    </cfRule>
    <cfRule type="expression" dxfId="2" priority="2">
      <formula>$I8="HOLD"</formula>
    </cfRule>
    <cfRule type="expression" dxfId="1" priority="3">
      <formula>$I8="BUY"</formula>
    </cfRule>
  </conditionalFormatting>
  <dataValidations count="1">
    <dataValidation type="list" allowBlank="1" showInputMessage="1" showErrorMessage="1" sqref="H9" xr:uid="{00000000-0002-0000-0100-000000000000}">
      <formula1>"0,1"</formula1>
    </dataValidation>
  </dataValidations>
  <hyperlinks>
    <hyperlink ref="I7" r:id="rId1" display="EGP43.0" xr:uid="{00000000-0004-0000-0100-000000000000}"/>
  </hyperlinks>
  <pageMargins left="0.7" right="0.7" top="0.75" bottom="0.75" header="0.3" footer="0.3"/>
  <pageSetup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46"/>
  <sheetViews>
    <sheetView zoomScaleNormal="100" workbookViewId="0">
      <selection activeCell="E21" sqref="E21"/>
    </sheetView>
  </sheetViews>
  <sheetFormatPr defaultColWidth="9.140625" defaultRowHeight="15" x14ac:dyDescent="0.25"/>
  <cols>
    <col min="1" max="1" width="1.42578125" style="51" customWidth="1"/>
    <col min="2" max="2" width="50.28515625" style="51" customWidth="1"/>
    <col min="3" max="3" width="15.5703125" style="51" bestFit="1" customWidth="1"/>
    <col min="4" max="5" width="12.7109375" style="51" customWidth="1"/>
    <col min="6" max="6" width="14.85546875" style="51" bestFit="1" customWidth="1"/>
    <col min="7" max="7" width="18.7109375" style="51" bestFit="1" customWidth="1"/>
    <col min="8" max="9" width="12.7109375" style="51" customWidth="1"/>
    <col min="10" max="10" width="1.7109375" style="51" customWidth="1"/>
    <col min="11" max="11" width="11" style="51" bestFit="1" customWidth="1"/>
    <col min="12" max="16" width="9.42578125" style="51" customWidth="1"/>
    <col min="17" max="17" width="9.140625" style="51" customWidth="1"/>
    <col min="18" max="16384" width="9.140625" style="51"/>
  </cols>
  <sheetData>
    <row r="1" spans="2:9" ht="15.75" customHeight="1" thickBot="1" x14ac:dyDescent="0.3"/>
    <row r="2" spans="2:9" ht="15.75" customHeight="1" thickBot="1" x14ac:dyDescent="0.3">
      <c r="B2" s="52" t="s">
        <v>285</v>
      </c>
      <c r="C2" s="53"/>
      <c r="D2" s="53"/>
      <c r="E2" s="53"/>
      <c r="F2" s="53"/>
      <c r="G2" s="53"/>
      <c r="H2" s="53"/>
      <c r="I2" s="53"/>
    </row>
    <row r="3" spans="2:9" x14ac:dyDescent="0.25">
      <c r="B3" s="54" t="str">
        <f>DCF!B3</f>
        <v>All amounts are shown in EGP, except per-share data, ratios, and shares outstanding</v>
      </c>
    </row>
    <row r="4" spans="2:9" ht="15" customHeight="1" x14ac:dyDescent="0.25">
      <c r="B4" s="138" t="s">
        <v>286</v>
      </c>
      <c r="C4" s="139"/>
      <c r="D4" s="139"/>
      <c r="E4" s="140"/>
      <c r="F4" s="141"/>
    </row>
    <row r="5" spans="2:9" x14ac:dyDescent="0.25">
      <c r="E5" s="94"/>
    </row>
    <row r="6" spans="2:9" ht="15" customHeight="1" x14ac:dyDescent="0.25">
      <c r="B6" s="51" t="s">
        <v>287</v>
      </c>
      <c r="C6" s="310">
        <f>-FSM!F235</f>
        <v>0.11455777974233791</v>
      </c>
      <c r="D6" s="266"/>
    </row>
    <row r="7" spans="2:9" ht="15" customHeight="1" x14ac:dyDescent="0.25">
      <c r="B7" s="51" t="s">
        <v>25</v>
      </c>
      <c r="C7" s="260">
        <v>0.22500000000000001</v>
      </c>
    </row>
    <row r="8" spans="2:9" ht="15" customHeight="1" x14ac:dyDescent="0.25">
      <c r="B8" s="51" t="s">
        <v>288</v>
      </c>
      <c r="C8" s="144">
        <f>C6*(1-C7)</f>
        <v>8.8782279300311878E-2</v>
      </c>
    </row>
    <row r="10" spans="2:9" x14ac:dyDescent="0.25">
      <c r="B10" s="51" t="s">
        <v>289</v>
      </c>
      <c r="C10" s="271">
        <f>22.55%-(272.39/10000)</f>
        <v>0.19826100000000002</v>
      </c>
      <c r="D10" s="206"/>
    </row>
    <row r="11" spans="2:9" x14ac:dyDescent="0.25">
      <c r="B11" s="51" t="s">
        <v>290</v>
      </c>
      <c r="C11" s="307">
        <f>IF(C32="Observed",(2/3)*C34+(1/3),C35)</f>
        <v>0.36666666666666664</v>
      </c>
    </row>
    <row r="12" spans="2:9" ht="15" customHeight="1" x14ac:dyDescent="0.25">
      <c r="B12" s="51" t="s">
        <v>291</v>
      </c>
      <c r="C12" s="145">
        <f>13.94%-9.71%</f>
        <v>4.229999999999999E-2</v>
      </c>
      <c r="D12" s="206"/>
    </row>
    <row r="13" spans="2:9" x14ac:dyDescent="0.25">
      <c r="B13" s="51" t="s">
        <v>292</v>
      </c>
      <c r="C13" s="146">
        <f>C10+C11*C12</f>
        <v>0.21377100000000002</v>
      </c>
      <c r="D13" s="261"/>
    </row>
    <row r="14" spans="2:9" x14ac:dyDescent="0.25">
      <c r="C14" s="147"/>
    </row>
    <row r="15" spans="2:9" x14ac:dyDescent="0.25">
      <c r="B15" s="142" t="s">
        <v>293</v>
      </c>
      <c r="C15" s="148"/>
      <c r="D15" s="148"/>
      <c r="E15" s="148"/>
    </row>
    <row r="16" spans="2:9" x14ac:dyDescent="0.25">
      <c r="B16" s="72"/>
      <c r="C16" s="118"/>
      <c r="D16" s="118" t="s">
        <v>294</v>
      </c>
    </row>
    <row r="17" spans="2:6" ht="17.25" customHeight="1" x14ac:dyDescent="0.4">
      <c r="C17" s="149" t="s">
        <v>295</v>
      </c>
      <c r="D17" s="149" t="s">
        <v>296</v>
      </c>
      <c r="E17" s="149" t="s">
        <v>297</v>
      </c>
    </row>
    <row r="18" spans="2:6" x14ac:dyDescent="0.25">
      <c r="B18" s="51" t="s">
        <v>172</v>
      </c>
      <c r="C18" s="70">
        <f>DCF!I61*DCF!H5</f>
        <v>103253049468</v>
      </c>
      <c r="D18" s="150"/>
      <c r="E18" s="151">
        <f>C18/(C18+C19)</f>
        <v>0.9919107176097578</v>
      </c>
    </row>
    <row r="19" spans="2:6" x14ac:dyDescent="0.25">
      <c r="B19" s="51" t="s">
        <v>67</v>
      </c>
      <c r="C19" s="70">
        <f>DCF!C57</f>
        <v>842054693</v>
      </c>
      <c r="D19" s="152"/>
      <c r="E19" s="151">
        <f>C19/(C18+C19)</f>
        <v>8.0892823902421526E-3</v>
      </c>
    </row>
    <row r="21" spans="2:6" x14ac:dyDescent="0.25">
      <c r="B21" s="143" t="s">
        <v>298</v>
      </c>
      <c r="C21" s="153"/>
      <c r="D21" s="135"/>
      <c r="E21" s="154">
        <f>C13*E18+C8*E19</f>
        <v>0.21275993094266513</v>
      </c>
    </row>
    <row r="22" spans="2:6" x14ac:dyDescent="0.25">
      <c r="B22" s="71"/>
      <c r="C22" s="99"/>
    </row>
    <row r="23" spans="2:6" x14ac:dyDescent="0.25">
      <c r="B23" s="39" t="s">
        <v>299</v>
      </c>
      <c r="C23" s="40"/>
      <c r="D23" s="40"/>
      <c r="E23" s="40"/>
      <c r="F23" s="40"/>
    </row>
    <row r="24" spans="2:6" x14ac:dyDescent="0.25">
      <c r="D24" s="272" t="s">
        <v>300</v>
      </c>
      <c r="E24" s="273"/>
      <c r="F24" s="272"/>
    </row>
    <row r="25" spans="2:6" x14ac:dyDescent="0.25">
      <c r="C25" s="274">
        <f>E21</f>
        <v>0.21275993094266513</v>
      </c>
      <c r="D25" s="275">
        <f>E25-0.1</f>
        <v>0.26666666666666661</v>
      </c>
      <c r="E25" s="276">
        <f>C11</f>
        <v>0.36666666666666664</v>
      </c>
      <c r="F25" s="277">
        <f>E25+0.1</f>
        <v>0.46666666666666667</v>
      </c>
    </row>
    <row r="26" spans="2:6" x14ac:dyDescent="0.25">
      <c r="C26" s="278">
        <f>C27-0.005</f>
        <v>3.2299999999999995E-2</v>
      </c>
      <c r="D26" s="279">
        <f t="dataTable" ref="D26:F30" dt2D="1" dtr="1" r1="C11" r2="C12" ca="1"/>
        <v>0.20591905336021651</v>
      </c>
      <c r="E26" s="280">
        <v>0.20591905336021651</v>
      </c>
      <c r="F26" s="280">
        <v>0.20912292497809601</v>
      </c>
    </row>
    <row r="27" spans="2:6" x14ac:dyDescent="0.25">
      <c r="B27" s="281" t="s">
        <v>301</v>
      </c>
      <c r="C27" s="278">
        <f>C28-0.005</f>
        <v>3.7299999999999993E-2</v>
      </c>
      <c r="D27" s="280">
        <v>0.20459650573673685</v>
      </c>
      <c r="E27" s="280">
        <v>0.20459650573673685</v>
      </c>
      <c r="F27" s="280">
        <v>0.20730442199581145</v>
      </c>
    </row>
    <row r="28" spans="2:6" x14ac:dyDescent="0.25">
      <c r="B28" s="281" t="s">
        <v>302</v>
      </c>
      <c r="C28" s="282">
        <f>C12</f>
        <v>4.229999999999999E-2</v>
      </c>
      <c r="D28" s="280">
        <v>0.20459650573673685</v>
      </c>
      <c r="E28" s="280">
        <v>0.20459650573673685</v>
      </c>
      <c r="F28" s="280">
        <v>0.20730442199581145</v>
      </c>
    </row>
    <row r="29" spans="2:6" x14ac:dyDescent="0.25">
      <c r="B29" s="281" t="s">
        <v>303</v>
      </c>
      <c r="C29" s="278">
        <f>C28+0.005</f>
        <v>4.7299999999999988E-2</v>
      </c>
      <c r="D29" s="280">
        <v>0.20591905336021651</v>
      </c>
      <c r="E29" s="280">
        <v>0.20591905336021651</v>
      </c>
      <c r="F29" s="280">
        <v>0.20912292497809601</v>
      </c>
    </row>
    <row r="30" spans="2:6" x14ac:dyDescent="0.25">
      <c r="C30" s="278">
        <f>C29+0.005</f>
        <v>5.2299999999999985E-2</v>
      </c>
      <c r="D30" s="280">
        <v>0.20856414860717584</v>
      </c>
      <c r="E30" s="280">
        <v>0.20856414860717584</v>
      </c>
      <c r="F30" s="280">
        <v>0.21275993094266513</v>
      </c>
    </row>
    <row r="31" spans="2:6" x14ac:dyDescent="0.25">
      <c r="C31" s="283"/>
      <c r="D31" s="280"/>
      <c r="E31" s="280"/>
      <c r="F31" s="280"/>
    </row>
    <row r="32" spans="2:6" x14ac:dyDescent="0.25">
      <c r="B32" t="s">
        <v>304</v>
      </c>
      <c r="C32" s="284" t="s">
        <v>305</v>
      </c>
    </row>
    <row r="34" spans="2:9" x14ac:dyDescent="0.25">
      <c r="B34" s="285" t="s">
        <v>305</v>
      </c>
      <c r="C34" s="294">
        <v>0.05</v>
      </c>
    </row>
    <row r="35" spans="2:9" x14ac:dyDescent="0.25">
      <c r="B35" s="285" t="s">
        <v>306</v>
      </c>
      <c r="C35" s="294">
        <f>C46</f>
        <v>0.19984046302149189</v>
      </c>
    </row>
    <row r="37" spans="2:9" x14ac:dyDescent="0.25">
      <c r="B37" s="39" t="s">
        <v>306</v>
      </c>
      <c r="C37" s="39"/>
      <c r="D37" s="40"/>
      <c r="E37" s="40"/>
      <c r="F37" s="40"/>
      <c r="G37" s="40"/>
      <c r="H37" s="40"/>
      <c r="I37" s="40"/>
    </row>
    <row r="38" spans="2:9" x14ac:dyDescent="0.25">
      <c r="H38" s="287"/>
    </row>
    <row r="39" spans="2:9" ht="15.75" customHeight="1" thickBot="1" x14ac:dyDescent="0.3">
      <c r="C39" s="288" t="s">
        <v>307</v>
      </c>
      <c r="D39" s="288" t="s">
        <v>308</v>
      </c>
      <c r="E39" s="288" t="s">
        <v>309</v>
      </c>
      <c r="F39" s="288" t="s">
        <v>310</v>
      </c>
      <c r="G39" s="289" t="s">
        <v>311</v>
      </c>
      <c r="H39" s="288" t="s">
        <v>25</v>
      </c>
      <c r="I39" s="288" t="s">
        <v>312</v>
      </c>
    </row>
    <row r="40" spans="2:9" x14ac:dyDescent="0.25">
      <c r="B40" s="290" t="s">
        <v>313</v>
      </c>
      <c r="C40" s="295">
        <v>0.17</v>
      </c>
      <c r="D40" s="296">
        <v>67.97</v>
      </c>
      <c r="E40" s="297">
        <v>1261875720</v>
      </c>
      <c r="F40" s="292">
        <f>D40*E40</f>
        <v>85769692688.399994</v>
      </c>
      <c r="G40" s="186">
        <v>-19380600000</v>
      </c>
      <c r="H40" s="298">
        <v>0.22500000000000001</v>
      </c>
      <c r="I40" s="299">
        <f>C40/(1+(1-H40)*(G40/F40))</f>
        <v>0.20609051417477967</v>
      </c>
    </row>
    <row r="41" spans="2:9" x14ac:dyDescent="0.25">
      <c r="B41" s="290" t="s">
        <v>314</v>
      </c>
      <c r="C41" s="295">
        <v>0.32</v>
      </c>
      <c r="D41" s="296">
        <v>12.28</v>
      </c>
      <c r="E41" s="297">
        <v>1986578999</v>
      </c>
      <c r="F41" s="292">
        <f>D41*E41</f>
        <v>24395190107.719997</v>
      </c>
      <c r="G41" s="291">
        <v>9053000000</v>
      </c>
      <c r="H41" s="298">
        <v>0.22500000000000001</v>
      </c>
      <c r="I41" s="299">
        <f>C41/(1+(1-H41)*(G41/F41))</f>
        <v>0.24852424146876506</v>
      </c>
    </row>
    <row r="42" spans="2:9" x14ac:dyDescent="0.25">
      <c r="B42" s="290" t="s">
        <v>315</v>
      </c>
      <c r="C42" s="295">
        <v>-0.22</v>
      </c>
      <c r="D42" s="296">
        <v>37.54</v>
      </c>
      <c r="E42" s="297">
        <v>109687500</v>
      </c>
      <c r="F42" s="292">
        <f>D42*E42</f>
        <v>4117668750</v>
      </c>
      <c r="G42" s="291">
        <v>-264550000</v>
      </c>
      <c r="H42" s="298">
        <v>0.22500000000000001</v>
      </c>
      <c r="I42" s="299">
        <f>C42/(1+(1-H42)*(G42/F42))</f>
        <v>-0.23152821271046359</v>
      </c>
    </row>
    <row r="43" spans="2:9" x14ac:dyDescent="0.25">
      <c r="B43" s="290" t="str">
        <f>FSM!Company_Name</f>
        <v>Misr Fertilizers Production Company - Mopco</v>
      </c>
      <c r="C43" s="295">
        <v>0.05</v>
      </c>
      <c r="D43" s="296">
        <v>36</v>
      </c>
      <c r="E43" s="297">
        <f>DCF!I61</f>
        <v>2868140263</v>
      </c>
      <c r="F43" s="292">
        <f>D43*E43</f>
        <v>103253049468</v>
      </c>
      <c r="G43" s="70">
        <f>DCF!C65</f>
        <v>-16098949303</v>
      </c>
      <c r="H43" s="298">
        <v>0.22500000000000001</v>
      </c>
      <c r="I43" s="299"/>
    </row>
    <row r="44" spans="2:9" x14ac:dyDescent="0.25">
      <c r="C44" s="286"/>
      <c r="F44" s="292"/>
      <c r="G44" s="292"/>
      <c r="H44" s="292"/>
      <c r="I44" s="293"/>
    </row>
    <row r="45" spans="2:9" x14ac:dyDescent="0.25">
      <c r="B45" t="s">
        <v>316</v>
      </c>
      <c r="C45" s="299">
        <f>AVERAGE(I40:I41)</f>
        <v>0.22730737782177235</v>
      </c>
    </row>
    <row r="46" spans="2:9" x14ac:dyDescent="0.25">
      <c r="B46" s="221" t="str">
        <f>B43&amp;" beta"</f>
        <v>Misr Fertilizers Production Company - Mopco beta</v>
      </c>
      <c r="C46" s="300">
        <f>C45*(1+(1-C7)*(G43/F43))</f>
        <v>0.19984046302149189</v>
      </c>
    </row>
  </sheetData>
  <conditionalFormatting sqref="B22:C24">
    <cfRule type="expression" dxfId="0" priority="1">
      <formula>#REF!="Industry"</formula>
    </cfRule>
  </conditionalFormatting>
  <dataValidations count="1">
    <dataValidation type="list" allowBlank="1" showInputMessage="1" showErrorMessage="1" sqref="C32" xr:uid="{00000000-0002-0000-0200-000000000000}">
      <formula1>"Industry, Observed"</formula1>
    </dataValidation>
  </dataValidations>
  <pageMargins left="0.7" right="0.7" top="0.75" bottom="0.75" header="0.3" footer="0.3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7C65E-124B-432A-95F8-B4F472D2F8BD}">
  <dimension ref="B1:I75"/>
  <sheetViews>
    <sheetView showGridLines="0" workbookViewId="0">
      <selection activeCell="D16" sqref="D16"/>
    </sheetView>
  </sheetViews>
  <sheetFormatPr defaultRowHeight="15" x14ac:dyDescent="0.25"/>
  <cols>
    <col min="1" max="1" width="2" style="6" customWidth="1"/>
    <col min="2" max="2" width="38" style="6" customWidth="1"/>
    <col min="3" max="3" width="2" style="6" customWidth="1"/>
    <col min="4" max="7" width="16" style="6" customWidth="1"/>
    <col min="8" max="8" width="2" style="6" customWidth="1"/>
    <col min="9" max="9" width="46" style="6" customWidth="1"/>
    <col min="10" max="16384" width="9.140625" style="6"/>
  </cols>
  <sheetData>
    <row r="1" spans="2:9" ht="15.75" thickBot="1" x14ac:dyDescent="0.3"/>
    <row r="2" spans="2:9" s="51" customFormat="1" ht="15.75" customHeight="1" thickBot="1" x14ac:dyDescent="0.3">
      <c r="B2" s="52" t="s">
        <v>532</v>
      </c>
      <c r="C2" s="53"/>
      <c r="D2" s="53"/>
    </row>
    <row r="3" spans="2:9" x14ac:dyDescent="0.25">
      <c r="B3" s="312" t="s">
        <v>528</v>
      </c>
    </row>
    <row r="4" spans="2:9" x14ac:dyDescent="0.25">
      <c r="B4" s="45" t="s">
        <v>317</v>
      </c>
      <c r="D4" s="313" t="s">
        <v>531</v>
      </c>
      <c r="I4" s="312"/>
    </row>
    <row r="6" spans="2:9" x14ac:dyDescent="0.25">
      <c r="B6" s="308" t="s">
        <v>318</v>
      </c>
      <c r="C6" s="309"/>
      <c r="D6" s="309"/>
      <c r="E6" s="309"/>
      <c r="F6" s="309"/>
      <c r="G6" s="309"/>
    </row>
    <row r="7" spans="2:9" x14ac:dyDescent="0.25">
      <c r="B7" s="35" t="s">
        <v>105</v>
      </c>
      <c r="D7" s="313" t="s">
        <v>106</v>
      </c>
      <c r="E7" s="313" t="s">
        <v>319</v>
      </c>
      <c r="F7" s="313" t="s">
        <v>320</v>
      </c>
      <c r="G7" s="313" t="s">
        <v>321</v>
      </c>
    </row>
    <row r="8" spans="2:9" x14ac:dyDescent="0.25">
      <c r="B8" s="35" t="s">
        <v>322</v>
      </c>
      <c r="D8" s="313" t="s">
        <v>323</v>
      </c>
      <c r="E8" s="313" t="s">
        <v>324</v>
      </c>
      <c r="F8" s="313" t="s">
        <v>325</v>
      </c>
      <c r="G8" s="313" t="s">
        <v>326</v>
      </c>
    </row>
    <row r="9" spans="2:9" x14ac:dyDescent="0.25">
      <c r="B9" s="35" t="s">
        <v>327</v>
      </c>
      <c r="D9" s="313" t="s">
        <v>328</v>
      </c>
      <c r="E9" s="313" t="s">
        <v>328</v>
      </c>
      <c r="F9" s="313" t="s">
        <v>329</v>
      </c>
      <c r="G9" s="313" t="s">
        <v>330</v>
      </c>
    </row>
    <row r="10" spans="2:9" x14ac:dyDescent="0.25">
      <c r="B10" s="35" t="s">
        <v>331</v>
      </c>
      <c r="D10" s="313" t="s">
        <v>332</v>
      </c>
      <c r="E10" s="313" t="s">
        <v>333</v>
      </c>
      <c r="F10" s="313" t="s">
        <v>332</v>
      </c>
      <c r="G10" s="313" t="s">
        <v>332</v>
      </c>
    </row>
    <row r="11" spans="2:9" x14ac:dyDescent="0.25">
      <c r="B11" s="35" t="s">
        <v>334</v>
      </c>
      <c r="D11" s="322">
        <f>+DCF!H5</f>
        <v>36</v>
      </c>
      <c r="E11" s="323">
        <v>67.97</v>
      </c>
      <c r="F11" s="323">
        <v>124.1</v>
      </c>
      <c r="G11" s="323">
        <v>0.74</v>
      </c>
      <c r="I11" s="312" t="s">
        <v>529</v>
      </c>
    </row>
    <row r="12" spans="2:9" x14ac:dyDescent="0.25">
      <c r="B12" s="312" t="s">
        <v>335</v>
      </c>
      <c r="D12" s="324" t="s">
        <v>336</v>
      </c>
      <c r="E12" s="324" t="s">
        <v>336</v>
      </c>
      <c r="F12" s="324" t="s">
        <v>336</v>
      </c>
      <c r="G12" s="324" t="s">
        <v>336</v>
      </c>
    </row>
    <row r="14" spans="2:9" x14ac:dyDescent="0.25">
      <c r="B14" s="308" t="s">
        <v>337</v>
      </c>
      <c r="C14" s="309"/>
      <c r="D14" s="309"/>
      <c r="E14" s="309"/>
      <c r="F14" s="309"/>
      <c r="G14" s="309"/>
    </row>
    <row r="15" spans="2:9" x14ac:dyDescent="0.25">
      <c r="B15" s="35" t="s">
        <v>338</v>
      </c>
      <c r="D15" s="325">
        <f>+DCF!C72/1000000</f>
        <v>2868.1402629999998</v>
      </c>
      <c r="E15" s="326">
        <v>1263.5999999999999</v>
      </c>
      <c r="F15" s="326">
        <v>476</v>
      </c>
      <c r="G15" s="326">
        <v>8284</v>
      </c>
    </row>
    <row r="16" spans="2:9" x14ac:dyDescent="0.25">
      <c r="B16" s="35" t="s">
        <v>339</v>
      </c>
      <c r="D16" s="326">
        <v>0</v>
      </c>
      <c r="E16" s="326">
        <v>0</v>
      </c>
      <c r="F16" s="326">
        <v>0</v>
      </c>
      <c r="G16" s="326">
        <v>0</v>
      </c>
      <c r="I16" s="312"/>
    </row>
    <row r="17" spans="2:7" x14ac:dyDescent="0.25">
      <c r="B17" s="45" t="s">
        <v>340</v>
      </c>
      <c r="D17" s="327">
        <f>+D15+D16</f>
        <v>2868.1402629999998</v>
      </c>
      <c r="E17" s="327">
        <f>+E15+E16</f>
        <v>1263.5999999999999</v>
      </c>
      <c r="F17" s="327">
        <f>+F15+F16</f>
        <v>476</v>
      </c>
      <c r="G17" s="327">
        <f>+G15+G16</f>
        <v>8284</v>
      </c>
    </row>
    <row r="19" spans="2:7" x14ac:dyDescent="0.25">
      <c r="B19" s="308" t="s">
        <v>341</v>
      </c>
      <c r="C19" s="309"/>
      <c r="D19" s="309"/>
      <c r="E19" s="309"/>
      <c r="F19" s="309"/>
      <c r="G19" s="309"/>
    </row>
    <row r="20" spans="2:7" x14ac:dyDescent="0.25">
      <c r="B20" s="35" t="s">
        <v>342</v>
      </c>
      <c r="D20" s="320">
        <f>+(FSM!F79+FSM!F88+FSM!F83+FSM!F90)/1000000</f>
        <v>842.05469300000004</v>
      </c>
      <c r="E20" s="315">
        <v>30</v>
      </c>
      <c r="F20" s="315">
        <v>900</v>
      </c>
      <c r="G20" s="315">
        <v>1900</v>
      </c>
    </row>
    <row r="21" spans="2:7" x14ac:dyDescent="0.25">
      <c r="B21" s="35" t="s">
        <v>343</v>
      </c>
      <c r="D21" s="315">
        <v>0</v>
      </c>
      <c r="E21" s="315">
        <v>0</v>
      </c>
      <c r="F21" s="315">
        <v>0</v>
      </c>
      <c r="G21" s="315">
        <v>350</v>
      </c>
    </row>
    <row r="22" spans="2:7" x14ac:dyDescent="0.25">
      <c r="B22" s="35" t="s">
        <v>344</v>
      </c>
      <c r="D22" s="320">
        <f>+D20+D21-(DCF!C65/1000000)</f>
        <v>16941.003995999999</v>
      </c>
      <c r="E22" s="315">
        <v>15000</v>
      </c>
      <c r="F22" s="315">
        <v>4500</v>
      </c>
      <c r="G22" s="315">
        <v>894</v>
      </c>
    </row>
    <row r="23" spans="2:7" x14ac:dyDescent="0.25">
      <c r="B23" s="45" t="s">
        <v>345</v>
      </c>
      <c r="D23" s="328">
        <f>SUM(D20:D21)-SUM(D22)</f>
        <v>-16098.949302999999</v>
      </c>
      <c r="E23" s="328">
        <f t="shared" ref="E23:G23" si="0">SUM(E20:E21)-SUM(E22)</f>
        <v>-14970</v>
      </c>
      <c r="F23" s="328">
        <f t="shared" si="0"/>
        <v>-3600</v>
      </c>
      <c r="G23" s="328">
        <f t="shared" si="0"/>
        <v>1356</v>
      </c>
    </row>
    <row r="25" spans="2:7" x14ac:dyDescent="0.25">
      <c r="B25" s="308" t="s">
        <v>346</v>
      </c>
      <c r="C25" s="309"/>
      <c r="D25" s="309"/>
      <c r="E25" s="309"/>
      <c r="F25" s="309"/>
      <c r="G25" s="309"/>
    </row>
    <row r="26" spans="2:7" ht="15.75" thickBot="1" x14ac:dyDescent="0.3">
      <c r="B26" s="45" t="s">
        <v>347</v>
      </c>
      <c r="D26" s="328">
        <f>D17*D11</f>
        <v>103253.049468</v>
      </c>
      <c r="E26" s="328">
        <f t="shared" ref="E26:G26" si="1">E17*E11</f>
        <v>85886.891999999993</v>
      </c>
      <c r="F26" s="328">
        <f t="shared" si="1"/>
        <v>59071.6</v>
      </c>
      <c r="G26" s="328">
        <f t="shared" si="1"/>
        <v>6130.16</v>
      </c>
    </row>
    <row r="27" spans="2:7" ht="15.75" thickTop="1" x14ac:dyDescent="0.25">
      <c r="B27" s="45" t="s">
        <v>348</v>
      </c>
      <c r="D27" s="317">
        <f>D26+D23</f>
        <v>87154.100164999996</v>
      </c>
      <c r="E27" s="317">
        <f t="shared" ref="E27:G27" si="2">E26+E23</f>
        <v>70916.891999999993</v>
      </c>
      <c r="F27" s="317">
        <f t="shared" si="2"/>
        <v>55471.6</v>
      </c>
      <c r="G27" s="317">
        <f t="shared" si="2"/>
        <v>7486.16</v>
      </c>
    </row>
    <row r="29" spans="2:7" x14ac:dyDescent="0.25">
      <c r="B29" s="308" t="s">
        <v>349</v>
      </c>
      <c r="C29" s="309"/>
      <c r="D29" s="309"/>
      <c r="E29" s="309"/>
      <c r="F29" s="309"/>
      <c r="G29" s="309"/>
    </row>
    <row r="30" spans="2:7" x14ac:dyDescent="0.25">
      <c r="B30" s="312" t="s">
        <v>350</v>
      </c>
      <c r="D30" s="324" t="s">
        <v>351</v>
      </c>
      <c r="E30" s="324" t="s">
        <v>352</v>
      </c>
      <c r="F30" s="324" t="s">
        <v>351</v>
      </c>
      <c r="G30" s="324" t="s">
        <v>351</v>
      </c>
    </row>
    <row r="31" spans="2:7" x14ac:dyDescent="0.25">
      <c r="B31" s="35" t="s">
        <v>19</v>
      </c>
      <c r="D31" s="320">
        <f>+FSM!F16/1000000</f>
        <v>26844.075575999999</v>
      </c>
      <c r="E31" s="315">
        <v>22920</v>
      </c>
      <c r="F31" s="315">
        <v>13070</v>
      </c>
      <c r="G31" s="315">
        <v>2820</v>
      </c>
    </row>
    <row r="32" spans="2:7" x14ac:dyDescent="0.25">
      <c r="B32" s="35" t="s">
        <v>21</v>
      </c>
      <c r="D32" s="320">
        <f>+FSM!F37/1000000</f>
        <v>15279.05955</v>
      </c>
      <c r="E32" s="315">
        <v>10300</v>
      </c>
      <c r="F32" s="315">
        <v>5300</v>
      </c>
      <c r="G32" s="315">
        <v>1020</v>
      </c>
    </row>
    <row r="33" spans="2:7" x14ac:dyDescent="0.25">
      <c r="B33" s="35" t="s">
        <v>23</v>
      </c>
      <c r="D33" s="320">
        <f>+FSM!F26/1000000</f>
        <v>12960.33052</v>
      </c>
      <c r="E33" s="315">
        <v>9300</v>
      </c>
      <c r="F33" s="315">
        <v>4200</v>
      </c>
      <c r="G33" s="315">
        <v>650</v>
      </c>
    </row>
    <row r="34" spans="2:7" x14ac:dyDescent="0.25">
      <c r="B34" s="35" t="s">
        <v>182</v>
      </c>
      <c r="D34" s="320">
        <f>+FSM!F35/1000000</f>
        <v>11296.540287</v>
      </c>
      <c r="E34" s="315">
        <v>9340</v>
      </c>
      <c r="F34" s="315">
        <v>4320</v>
      </c>
      <c r="G34" s="315">
        <v>325</v>
      </c>
    </row>
    <row r="35" spans="2:7" x14ac:dyDescent="0.25">
      <c r="B35" s="312" t="s">
        <v>353</v>
      </c>
      <c r="D35" s="329">
        <f>+D32/D31</f>
        <v>0.56917808574716855</v>
      </c>
      <c r="E35" s="329">
        <f>+E32/E31</f>
        <v>0.44938917975567189</v>
      </c>
      <c r="F35" s="329">
        <f>+F32/F31</f>
        <v>0.40550879877582252</v>
      </c>
      <c r="G35" s="329">
        <f>+G32/G31</f>
        <v>0.36170212765957449</v>
      </c>
    </row>
    <row r="36" spans="2:7" x14ac:dyDescent="0.25">
      <c r="B36" s="312" t="s">
        <v>354</v>
      </c>
      <c r="D36" s="324"/>
      <c r="E36" s="324"/>
      <c r="F36" s="324"/>
      <c r="G36" s="324"/>
    </row>
    <row r="38" spans="2:7" x14ac:dyDescent="0.25">
      <c r="B38" s="308" t="s">
        <v>355</v>
      </c>
      <c r="C38" s="309"/>
      <c r="D38" s="309"/>
      <c r="E38" s="309"/>
      <c r="F38" s="309"/>
      <c r="G38" s="309"/>
    </row>
    <row r="39" spans="2:7" x14ac:dyDescent="0.25">
      <c r="B39" s="35" t="s">
        <v>356</v>
      </c>
      <c r="D39" s="318">
        <f>D27/D31</f>
        <v>3.246679138503108</v>
      </c>
      <c r="E39" s="318">
        <f t="shared" ref="E39:G39" si="3">E27/E31</f>
        <v>3.0941052356020937</v>
      </c>
      <c r="F39" s="318">
        <f t="shared" si="3"/>
        <v>4.2441928079571536</v>
      </c>
      <c r="G39" s="318">
        <f t="shared" si="3"/>
        <v>2.6546666666666665</v>
      </c>
    </row>
    <row r="40" spans="2:7" x14ac:dyDescent="0.25">
      <c r="B40" s="45" t="s">
        <v>357</v>
      </c>
      <c r="D40" s="319">
        <f>D27/D32</f>
        <v>5.7041534447714088</v>
      </c>
      <c r="E40" s="319">
        <f t="shared" ref="E40:G40" si="4">E27/E32</f>
        <v>6.8851351456310672</v>
      </c>
      <c r="F40" s="319">
        <f t="shared" si="4"/>
        <v>10.46633962264151</v>
      </c>
      <c r="G40" s="319">
        <f t="shared" si="4"/>
        <v>7.3393725490196076</v>
      </c>
    </row>
    <row r="41" spans="2:7" x14ac:dyDescent="0.25">
      <c r="B41" s="35" t="s">
        <v>358</v>
      </c>
      <c r="D41" s="318">
        <f>D27/D33</f>
        <v>6.7246819076493738</v>
      </c>
      <c r="E41" s="318">
        <f t="shared" ref="E41:G41" si="5">E27/E33</f>
        <v>7.6254722580645149</v>
      </c>
      <c r="F41" s="318">
        <f t="shared" si="5"/>
        <v>13.20752380952381</v>
      </c>
      <c r="G41" s="318">
        <f t="shared" si="5"/>
        <v>11.51716923076923</v>
      </c>
    </row>
    <row r="42" spans="2:7" x14ac:dyDescent="0.25">
      <c r="B42" s="45" t="s">
        <v>359</v>
      </c>
      <c r="D42" s="319">
        <f>D26/D34</f>
        <v>9.1402364657454527</v>
      </c>
      <c r="E42" s="319">
        <f t="shared" ref="E42:G42" si="6">E26/E34</f>
        <v>9.1955987152034258</v>
      </c>
      <c r="F42" s="319">
        <f t="shared" si="6"/>
        <v>13.673981481481482</v>
      </c>
      <c r="G42" s="319">
        <f t="shared" si="6"/>
        <v>18.86203076923077</v>
      </c>
    </row>
    <row r="44" spans="2:7" x14ac:dyDescent="0.25">
      <c r="B44" s="308" t="s">
        <v>360</v>
      </c>
      <c r="C44" s="309"/>
      <c r="D44" s="309"/>
      <c r="E44" s="309"/>
      <c r="F44" s="309"/>
      <c r="G44" s="309"/>
    </row>
    <row r="45" spans="2:7" x14ac:dyDescent="0.25">
      <c r="D45" s="45" t="s">
        <v>361</v>
      </c>
      <c r="E45" s="45" t="s">
        <v>362</v>
      </c>
      <c r="F45" s="45" t="s">
        <v>363</v>
      </c>
      <c r="G45" s="45" t="s">
        <v>364</v>
      </c>
    </row>
    <row r="46" spans="2:7" x14ac:dyDescent="0.25">
      <c r="B46" s="35" t="s">
        <v>365</v>
      </c>
      <c r="D46" s="318">
        <f>AVERAGE($E$39:$G$39)</f>
        <v>3.330988236741971</v>
      </c>
      <c r="E46" s="318">
        <f>AVERAGE($E$40:$G$40)</f>
        <v>8.2302824390973957</v>
      </c>
      <c r="F46" s="318">
        <f>AVERAGE($E$41:$G$41)</f>
        <v>10.78338843278585</v>
      </c>
      <c r="G46" s="318">
        <f>AVERAGE($E$42:$G$42)</f>
        <v>13.91053698863856</v>
      </c>
    </row>
    <row r="47" spans="2:7" x14ac:dyDescent="0.25">
      <c r="B47" s="45" t="s">
        <v>366</v>
      </c>
      <c r="D47" s="319">
        <f>MEDIAN($E$39:$G$39)</f>
        <v>3.0941052356020937</v>
      </c>
      <c r="E47" s="319">
        <f>MEDIAN($E$40:$G$40)</f>
        <v>7.3393725490196076</v>
      </c>
      <c r="F47" s="319">
        <f>MEDIAN($E$41:$G$41)</f>
        <v>11.51716923076923</v>
      </c>
      <c r="G47" s="319">
        <f>MEDIAN($E$42:$G$42)</f>
        <v>13.673981481481482</v>
      </c>
    </row>
    <row r="48" spans="2:7" x14ac:dyDescent="0.25">
      <c r="B48" s="35" t="s">
        <v>100</v>
      </c>
      <c r="D48" s="318">
        <f>MAX($E$39:$G$39)</f>
        <v>4.2441928079571536</v>
      </c>
      <c r="E48" s="318">
        <f>MAX($E$40:$G$40)</f>
        <v>10.46633962264151</v>
      </c>
      <c r="F48" s="318">
        <f>MAX($E$41:$G$41)</f>
        <v>13.20752380952381</v>
      </c>
      <c r="G48" s="318">
        <f>MAX($E$42:$G$42)</f>
        <v>18.86203076923077</v>
      </c>
    </row>
    <row r="49" spans="2:7" x14ac:dyDescent="0.25">
      <c r="B49" s="35" t="s">
        <v>98</v>
      </c>
      <c r="D49" s="318">
        <f>MIN($E$39:$G$39)</f>
        <v>2.6546666666666665</v>
      </c>
      <c r="E49" s="318">
        <f>MIN($E$40:$G$40)</f>
        <v>6.8851351456310672</v>
      </c>
      <c r="F49" s="318">
        <f>MIN($E$41:$G$41)</f>
        <v>7.6254722580645149</v>
      </c>
      <c r="G49" s="318">
        <f>MIN($E$42:$G$42)</f>
        <v>9.1955987152034258</v>
      </c>
    </row>
    <row r="51" spans="2:7" x14ac:dyDescent="0.25">
      <c r="B51" s="308" t="s">
        <v>367</v>
      </c>
      <c r="C51" s="309"/>
      <c r="D51" s="309"/>
      <c r="E51" s="309"/>
      <c r="F51" s="309"/>
      <c r="G51" s="309"/>
    </row>
    <row r="52" spans="2:7" x14ac:dyDescent="0.25">
      <c r="B52" s="45" t="s">
        <v>368</v>
      </c>
    </row>
    <row r="53" spans="2:7" x14ac:dyDescent="0.25">
      <c r="B53" s="35" t="s">
        <v>369</v>
      </c>
      <c r="D53" s="318">
        <f>E47</f>
        <v>7.3393725490196076</v>
      </c>
    </row>
    <row r="54" spans="2:7" x14ac:dyDescent="0.25">
      <c r="B54" s="35" t="s">
        <v>530</v>
      </c>
      <c r="D54" s="316">
        <f>D32</f>
        <v>15279.05955</v>
      </c>
    </row>
    <row r="55" spans="2:7" x14ac:dyDescent="0.25">
      <c r="B55" s="35" t="s">
        <v>371</v>
      </c>
      <c r="D55" s="316">
        <f>D53*D54</f>
        <v>112138.71023610588</v>
      </c>
    </row>
    <row r="56" spans="2:7" x14ac:dyDescent="0.25">
      <c r="B56" s="35" t="s">
        <v>372</v>
      </c>
      <c r="D56" s="316">
        <f>D23</f>
        <v>-16098.949302999999</v>
      </c>
    </row>
    <row r="57" spans="2:7" x14ac:dyDescent="0.25">
      <c r="B57" s="35" t="s">
        <v>373</v>
      </c>
      <c r="D57" s="316">
        <f>D55-D56</f>
        <v>128237.65953910588</v>
      </c>
    </row>
    <row r="58" spans="2:7" ht="15.75" thickBot="1" x14ac:dyDescent="0.3">
      <c r="B58" s="35" t="s">
        <v>340</v>
      </c>
      <c r="D58" s="316">
        <f>$D$17</f>
        <v>2868.1402629999998</v>
      </c>
    </row>
    <row r="59" spans="2:7" ht="15.75" thickTop="1" x14ac:dyDescent="0.25">
      <c r="B59" s="45" t="s">
        <v>374</v>
      </c>
      <c r="D59" s="321">
        <f>D57/D58</f>
        <v>44.711083761633276</v>
      </c>
    </row>
    <row r="61" spans="2:7" x14ac:dyDescent="0.25">
      <c r="B61" s="45" t="s">
        <v>375</v>
      </c>
    </row>
    <row r="62" spans="2:7" x14ac:dyDescent="0.25">
      <c r="B62" s="35" t="s">
        <v>376</v>
      </c>
      <c r="D62" s="318">
        <f>G47</f>
        <v>13.673981481481482</v>
      </c>
    </row>
    <row r="63" spans="2:7" x14ac:dyDescent="0.25">
      <c r="B63" s="35" t="s">
        <v>377</v>
      </c>
      <c r="D63" s="316">
        <f>D34</f>
        <v>11296.540287</v>
      </c>
    </row>
    <row r="64" spans="2:7" x14ac:dyDescent="0.25">
      <c r="B64" s="35" t="s">
        <v>373</v>
      </c>
      <c r="D64" s="316">
        <f>D62*D63</f>
        <v>154468.68268924751</v>
      </c>
    </row>
    <row r="65" spans="2:4" ht="15.75" thickBot="1" x14ac:dyDescent="0.3">
      <c r="B65" s="35" t="s">
        <v>340</v>
      </c>
      <c r="D65" s="316">
        <f>$D$17</f>
        <v>2868.1402629999998</v>
      </c>
    </row>
    <row r="66" spans="2:4" ht="15.75" thickTop="1" x14ac:dyDescent="0.25">
      <c r="B66" s="45" t="s">
        <v>374</v>
      </c>
      <c r="D66" s="321">
        <f>D64/D65</f>
        <v>53.856739393797042</v>
      </c>
    </row>
    <row r="68" spans="2:4" x14ac:dyDescent="0.25">
      <c r="B68" s="45" t="s">
        <v>378</v>
      </c>
    </row>
    <row r="69" spans="2:4" x14ac:dyDescent="0.25">
      <c r="B69" s="35" t="s">
        <v>379</v>
      </c>
      <c r="D69" s="318">
        <f>E40</f>
        <v>6.8851351456310672</v>
      </c>
    </row>
    <row r="70" spans="2:4" x14ac:dyDescent="0.25">
      <c r="B70" s="35" t="s">
        <v>530</v>
      </c>
      <c r="D70" s="19">
        <f>D32</f>
        <v>15279.05955</v>
      </c>
    </row>
    <row r="71" spans="2:4" x14ac:dyDescent="0.25">
      <c r="B71" s="35" t="s">
        <v>371</v>
      </c>
      <c r="D71" s="19">
        <f>D69*D70</f>
        <v>105198.389899895</v>
      </c>
    </row>
    <row r="72" spans="2:4" x14ac:dyDescent="0.25">
      <c r="B72" s="35" t="s">
        <v>372</v>
      </c>
      <c r="D72" s="19">
        <f>D23</f>
        <v>-16098.949302999999</v>
      </c>
    </row>
    <row r="73" spans="2:4" x14ac:dyDescent="0.25">
      <c r="B73" s="35" t="s">
        <v>373</v>
      </c>
      <c r="D73" s="19">
        <f>D71-D72</f>
        <v>121297.339202895</v>
      </c>
    </row>
    <row r="74" spans="2:4" ht="15.75" thickBot="1" x14ac:dyDescent="0.3">
      <c r="B74" s="35" t="s">
        <v>340</v>
      </c>
      <c r="D74" s="316">
        <f>$D$17</f>
        <v>2868.1402629999998</v>
      </c>
    </row>
    <row r="75" spans="2:4" ht="15.75" thickTop="1" x14ac:dyDescent="0.25">
      <c r="B75" s="45" t="s">
        <v>374</v>
      </c>
      <c r="D75" s="321">
        <f>D73/D74</f>
        <v>42.291285669558278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42"/>
  <sheetViews>
    <sheetView showGridLines="0" zoomScaleNormal="100" workbookViewId="0">
      <selection activeCell="B3" sqref="B3"/>
    </sheetView>
  </sheetViews>
  <sheetFormatPr defaultRowHeight="15" x14ac:dyDescent="0.25"/>
  <cols>
    <col min="1" max="1" width="2" style="6" customWidth="1"/>
    <col min="2" max="2" width="40" style="6" customWidth="1"/>
    <col min="3" max="3" width="2" style="6" customWidth="1"/>
    <col min="4" max="7" width="17" style="6" customWidth="1"/>
    <col min="8" max="8" width="2" style="6" customWidth="1"/>
    <col min="9" max="9" width="48" style="6" customWidth="1"/>
    <col min="10" max="16384" width="9.140625" style="6"/>
  </cols>
  <sheetData>
    <row r="1" spans="2:9" ht="15.75" thickBot="1" x14ac:dyDescent="0.3"/>
    <row r="2" spans="2:9" s="51" customFormat="1" ht="15.75" customHeight="1" thickBot="1" x14ac:dyDescent="0.3">
      <c r="B2" s="52" t="s">
        <v>533</v>
      </c>
      <c r="C2" s="53"/>
      <c r="D2" s="53"/>
      <c r="E2" s="53"/>
    </row>
    <row r="3" spans="2:9" x14ac:dyDescent="0.25">
      <c r="B3" s="312" t="s">
        <v>527</v>
      </c>
      <c r="I3" s="312"/>
    </row>
    <row r="5" spans="2:9" x14ac:dyDescent="0.25">
      <c r="B5" s="308" t="s">
        <v>380</v>
      </c>
      <c r="C5" s="309"/>
      <c r="D5" s="309"/>
      <c r="E5" s="309"/>
      <c r="F5" s="309"/>
      <c r="G5" s="309"/>
      <c r="H5" s="35"/>
    </row>
    <row r="6" spans="2:9" x14ac:dyDescent="0.25">
      <c r="B6" s="35" t="s">
        <v>381</v>
      </c>
      <c r="D6" s="313" t="s">
        <v>382</v>
      </c>
      <c r="E6" s="313" t="s">
        <v>383</v>
      </c>
      <c r="F6" s="313" t="s">
        <v>384</v>
      </c>
      <c r="G6" s="313" t="s">
        <v>385</v>
      </c>
    </row>
    <row r="7" spans="2:9" x14ac:dyDescent="0.25">
      <c r="B7" s="35" t="s">
        <v>386</v>
      </c>
      <c r="D7" s="313" t="s">
        <v>387</v>
      </c>
      <c r="E7" s="313" t="s">
        <v>388</v>
      </c>
      <c r="F7" s="313" t="s">
        <v>389</v>
      </c>
      <c r="G7" s="313" t="s">
        <v>390</v>
      </c>
    </row>
    <row r="8" spans="2:9" x14ac:dyDescent="0.25">
      <c r="B8" s="35" t="s">
        <v>391</v>
      </c>
      <c r="D8" s="313" t="s">
        <v>392</v>
      </c>
      <c r="E8" s="313" t="s">
        <v>392</v>
      </c>
      <c r="F8" s="313" t="s">
        <v>392</v>
      </c>
      <c r="G8" s="313" t="s">
        <v>393</v>
      </c>
    </row>
    <row r="9" spans="2:9" x14ac:dyDescent="0.25">
      <c r="B9" s="35" t="s">
        <v>394</v>
      </c>
      <c r="D9" s="313" t="s">
        <v>395</v>
      </c>
      <c r="E9" s="313" t="s">
        <v>396</v>
      </c>
      <c r="F9" s="313" t="s">
        <v>397</v>
      </c>
      <c r="G9" s="313" t="s">
        <v>398</v>
      </c>
    </row>
    <row r="10" spans="2:9" x14ac:dyDescent="0.25">
      <c r="B10" s="35" t="s">
        <v>399</v>
      </c>
      <c r="D10" s="313" t="s">
        <v>400</v>
      </c>
      <c r="E10" s="313" t="s">
        <v>400</v>
      </c>
      <c r="F10" s="313" t="s">
        <v>400</v>
      </c>
      <c r="G10" s="313" t="s">
        <v>400</v>
      </c>
    </row>
    <row r="11" spans="2:9" x14ac:dyDescent="0.25">
      <c r="B11" s="35" t="s">
        <v>401</v>
      </c>
      <c r="D11" s="314">
        <v>0.50800000000000001</v>
      </c>
      <c r="E11" s="314">
        <v>1</v>
      </c>
      <c r="F11" s="314">
        <v>1</v>
      </c>
      <c r="G11" s="314">
        <v>0.2</v>
      </c>
    </row>
    <row r="12" spans="2:9" x14ac:dyDescent="0.25">
      <c r="B12" s="35" t="s">
        <v>402</v>
      </c>
      <c r="D12" s="313" t="s">
        <v>403</v>
      </c>
      <c r="E12" s="313" t="s">
        <v>404</v>
      </c>
      <c r="F12" s="313" t="s">
        <v>404</v>
      </c>
      <c r="G12" s="313" t="s">
        <v>405</v>
      </c>
    </row>
    <row r="14" spans="2:9" x14ac:dyDescent="0.25">
      <c r="B14" s="308" t="s">
        <v>406</v>
      </c>
      <c r="C14" s="309"/>
      <c r="D14" s="309"/>
      <c r="E14" s="309"/>
      <c r="F14" s="309"/>
      <c r="G14" s="309"/>
      <c r="H14" s="35"/>
    </row>
    <row r="15" spans="2:9" x14ac:dyDescent="0.25">
      <c r="B15" s="35" t="s">
        <v>407</v>
      </c>
      <c r="D15" s="315">
        <v>3620</v>
      </c>
      <c r="E15" s="315">
        <v>3600</v>
      </c>
      <c r="F15" s="315">
        <v>2350</v>
      </c>
      <c r="G15" s="315"/>
      <c r="I15" s="312"/>
    </row>
    <row r="16" spans="2:9" x14ac:dyDescent="0.25">
      <c r="B16" s="35" t="s">
        <v>408</v>
      </c>
      <c r="D16" s="316">
        <f>IFERROR(D15/D11,"NM")</f>
        <v>7125.9842519685035</v>
      </c>
      <c r="E16" s="316">
        <f>IFERROR(E15/E11,"NM")</f>
        <v>3600</v>
      </c>
      <c r="F16" s="316">
        <f>IFERROR(F15/F11,"NM")</f>
        <v>2350</v>
      </c>
      <c r="G16" s="316">
        <f>IFERROR(G15/G11,"NM")</f>
        <v>0</v>
      </c>
    </row>
    <row r="17" spans="2:9" x14ac:dyDescent="0.25">
      <c r="B17" s="35" t="s">
        <v>409</v>
      </c>
      <c r="D17" s="315">
        <v>1040</v>
      </c>
      <c r="E17" s="315">
        <v>0</v>
      </c>
      <c r="F17" s="315">
        <v>0</v>
      </c>
      <c r="G17" s="315"/>
    </row>
    <row r="18" spans="2:9" x14ac:dyDescent="0.25">
      <c r="B18" s="45" t="s">
        <v>410</v>
      </c>
      <c r="D18" s="317">
        <f>IFERROR(D16+D17,"NM")</f>
        <v>8165.9842519685035</v>
      </c>
      <c r="E18" s="317">
        <f>IFERROR(E16+E17,"NM")</f>
        <v>3600</v>
      </c>
      <c r="F18" s="317">
        <f>IFERROR(F16+F17,"NM")</f>
        <v>2350</v>
      </c>
      <c r="G18" s="317">
        <f>IFERROR(G16+G17,"NM")</f>
        <v>0</v>
      </c>
    </row>
    <row r="20" spans="2:9" x14ac:dyDescent="0.25">
      <c r="B20" s="308" t="s">
        <v>411</v>
      </c>
      <c r="C20" s="309"/>
      <c r="D20" s="309"/>
      <c r="E20" s="309"/>
      <c r="F20" s="309"/>
      <c r="G20" s="309"/>
      <c r="H20" s="35"/>
    </row>
    <row r="21" spans="2:9" x14ac:dyDescent="0.25">
      <c r="B21" s="35" t="s">
        <v>412</v>
      </c>
      <c r="D21" s="315">
        <v>2000</v>
      </c>
      <c r="E21" s="315">
        <v>800</v>
      </c>
      <c r="F21" s="313" t="s">
        <v>413</v>
      </c>
      <c r="G21" s="315"/>
      <c r="I21" s="312"/>
    </row>
    <row r="22" spans="2:9" x14ac:dyDescent="0.25">
      <c r="B22" s="35" t="s">
        <v>414</v>
      </c>
      <c r="D22" s="315">
        <v>650</v>
      </c>
      <c r="E22" s="315">
        <v>450</v>
      </c>
      <c r="F22" s="313" t="s">
        <v>413</v>
      </c>
      <c r="G22" s="315"/>
    </row>
    <row r="24" spans="2:9" x14ac:dyDescent="0.25">
      <c r="B24" s="308" t="s">
        <v>415</v>
      </c>
      <c r="C24" s="309"/>
      <c r="D24" s="309"/>
      <c r="E24" s="309"/>
      <c r="F24" s="309"/>
      <c r="G24" s="309"/>
      <c r="H24" s="35"/>
    </row>
    <row r="25" spans="2:9" x14ac:dyDescent="0.25">
      <c r="B25" s="35" t="s">
        <v>416</v>
      </c>
      <c r="D25" s="318">
        <f>IFERROR(D18/D21,"NM")</f>
        <v>4.0829921259842514</v>
      </c>
      <c r="E25" s="318">
        <f>IFERROR(E18/E21,"NM")</f>
        <v>4.5</v>
      </c>
      <c r="F25" s="318" t="str">
        <f>IFERROR(F18/F21,"NM")</f>
        <v>NM</v>
      </c>
      <c r="G25" s="318" t="str">
        <f>IFERROR(G18/G21,"NM")</f>
        <v>NM</v>
      </c>
    </row>
    <row r="26" spans="2:9" x14ac:dyDescent="0.25">
      <c r="B26" s="45" t="s">
        <v>417</v>
      </c>
      <c r="D26" s="319">
        <f>IFERROR(D18/D22,"NM")</f>
        <v>12.563052695336159</v>
      </c>
      <c r="E26" s="319">
        <f>IFERROR(E18/E22,"NM")</f>
        <v>8</v>
      </c>
      <c r="F26" s="319" t="str">
        <f>IFERROR(F18/F22,"NM")</f>
        <v>NM</v>
      </c>
      <c r="G26" s="319" t="str">
        <f>IFERROR(G18/G22,"NM")</f>
        <v>NM</v>
      </c>
    </row>
    <row r="28" spans="2:9" x14ac:dyDescent="0.25">
      <c r="B28" s="308" t="s">
        <v>418</v>
      </c>
      <c r="C28" s="309"/>
      <c r="D28" s="309"/>
      <c r="E28" s="309"/>
      <c r="F28" s="309"/>
      <c r="G28" s="309"/>
      <c r="H28" s="35"/>
    </row>
    <row r="29" spans="2:9" x14ac:dyDescent="0.25">
      <c r="D29" s="45" t="s">
        <v>419</v>
      </c>
      <c r="E29" s="45" t="s">
        <v>420</v>
      </c>
    </row>
    <row r="30" spans="2:9" x14ac:dyDescent="0.25">
      <c r="B30" s="35" t="s">
        <v>365</v>
      </c>
      <c r="D30" s="318">
        <f>IFERROR(AVERAGE(D25:G25),"NM")</f>
        <v>4.2914960629921257</v>
      </c>
      <c r="E30" s="318">
        <f>IFERROR(AVERAGE(D26:G26),"NM")</f>
        <v>10.28152634766808</v>
      </c>
    </row>
    <row r="31" spans="2:9" x14ac:dyDescent="0.25">
      <c r="B31" s="45" t="s">
        <v>366</v>
      </c>
      <c r="D31" s="319">
        <f>IFERROR(MEDIAN(D25:G25),"NM")</f>
        <v>4.2914960629921257</v>
      </c>
      <c r="E31" s="319">
        <f>IFERROR(MEDIAN(D26:G26),"NM")</f>
        <v>10.28152634766808</v>
      </c>
    </row>
    <row r="32" spans="2:9" x14ac:dyDescent="0.25">
      <c r="B32" s="35" t="s">
        <v>100</v>
      </c>
      <c r="D32" s="318">
        <f>IFERROR(MAX(D25:G25),"NM")</f>
        <v>4.5</v>
      </c>
      <c r="E32" s="318">
        <f>IFERROR(MAX(D26:G26),"NM")</f>
        <v>12.563052695336159</v>
      </c>
    </row>
    <row r="33" spans="2:9" x14ac:dyDescent="0.25">
      <c r="B33" s="35" t="s">
        <v>98</v>
      </c>
      <c r="D33" s="318">
        <f>IFERROR(MIN(D25:G25),"NM")</f>
        <v>4.0829921259842514</v>
      </c>
      <c r="E33" s="318">
        <f>IFERROR(MIN(D26:G26),"NM")</f>
        <v>8</v>
      </c>
    </row>
    <row r="35" spans="2:9" x14ac:dyDescent="0.25">
      <c r="B35" s="308" t="s">
        <v>421</v>
      </c>
      <c r="C35" s="309"/>
      <c r="D35" s="309"/>
      <c r="E35" s="309"/>
      <c r="F35" s="309"/>
      <c r="G35" s="309"/>
      <c r="H35" s="35"/>
    </row>
    <row r="36" spans="2:9" x14ac:dyDescent="0.25">
      <c r="B36" s="35" t="s">
        <v>422</v>
      </c>
      <c r="D36" s="318">
        <f>+E31</f>
        <v>10.28152634766808</v>
      </c>
    </row>
    <row r="37" spans="2:9" x14ac:dyDescent="0.25">
      <c r="B37" s="35" t="s">
        <v>423</v>
      </c>
      <c r="D37" s="320">
        <f>+FSM!F37/1000000</f>
        <v>15279.05955</v>
      </c>
    </row>
    <row r="38" spans="2:9" x14ac:dyDescent="0.25">
      <c r="B38" s="35" t="s">
        <v>424</v>
      </c>
      <c r="D38" s="316">
        <f>+D36*D37</f>
        <v>157092.05333091461</v>
      </c>
    </row>
    <row r="39" spans="2:9" x14ac:dyDescent="0.25">
      <c r="B39" s="35" t="s">
        <v>425</v>
      </c>
      <c r="D39" s="320">
        <f>-DCF!C65/1000000</f>
        <v>16098.949302999999</v>
      </c>
    </row>
    <row r="40" spans="2:9" x14ac:dyDescent="0.25">
      <c r="B40" s="35" t="s">
        <v>373</v>
      </c>
      <c r="D40" s="316">
        <f>+D38+D39</f>
        <v>173191.00263391461</v>
      </c>
    </row>
    <row r="41" spans="2:9" x14ac:dyDescent="0.25">
      <c r="B41" s="45" t="s">
        <v>374</v>
      </c>
      <c r="D41" s="321">
        <f>+D40/(DCF!C72/1000000)</f>
        <v>60.38442570893006</v>
      </c>
    </row>
    <row r="42" spans="2:9" x14ac:dyDescent="0.25">
      <c r="B42" s="346"/>
      <c r="C42" s="347"/>
      <c r="D42" s="347"/>
      <c r="E42" s="347"/>
      <c r="F42" s="347"/>
      <c r="G42" s="347"/>
      <c r="H42" s="347"/>
      <c r="I42" s="347"/>
    </row>
  </sheetData>
  <mergeCells count="1">
    <mergeCell ref="B42:I42"/>
  </mergeCells>
  <pageMargins left="0.75" right="0.75" top="1" bottom="1" header="0.5" footer="0.5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U86"/>
  <sheetViews>
    <sheetView showGridLines="0" zoomScaleNormal="100" workbookViewId="0">
      <selection activeCell="D8" sqref="D8"/>
    </sheetView>
  </sheetViews>
  <sheetFormatPr defaultRowHeight="15" x14ac:dyDescent="0.25"/>
  <cols>
    <col min="1" max="1" width="2" style="6" customWidth="1"/>
    <col min="2" max="2" width="46" style="6" customWidth="1"/>
    <col min="3" max="4" width="15" style="6" customWidth="1"/>
    <col min="5" max="5" width="3" style="6" customWidth="1"/>
    <col min="6" max="6" width="44" style="6" customWidth="1"/>
    <col min="7" max="8" width="15" style="6" customWidth="1"/>
    <col min="9" max="9" width="3" style="6" customWidth="1"/>
    <col min="10" max="10" width="52" style="6" customWidth="1"/>
    <col min="11" max="16384" width="9.140625" style="6"/>
  </cols>
  <sheetData>
    <row r="1" spans="2:10" ht="15.75" thickBot="1" x14ac:dyDescent="0.3"/>
    <row r="2" spans="2:10" ht="15.75" thickBot="1" x14ac:dyDescent="0.3">
      <c r="B2" s="52" t="s">
        <v>426</v>
      </c>
      <c r="C2" s="52"/>
      <c r="D2" s="52"/>
      <c r="E2" s="52"/>
    </row>
    <row r="3" spans="2:10" x14ac:dyDescent="0.25">
      <c r="B3" s="312" t="s">
        <v>427</v>
      </c>
      <c r="J3" s="312" t="s">
        <v>428</v>
      </c>
    </row>
    <row r="5" spans="2:10" x14ac:dyDescent="0.25">
      <c r="B5" s="308" t="s">
        <v>429</v>
      </c>
      <c r="C5" s="309"/>
      <c r="D5" s="309"/>
      <c r="F5" s="308" t="s">
        <v>430</v>
      </c>
      <c r="G5" s="309"/>
      <c r="H5" s="309"/>
    </row>
    <row r="6" spans="2:10" x14ac:dyDescent="0.25">
      <c r="B6" s="45" t="s">
        <v>431</v>
      </c>
      <c r="F6" s="45" t="s">
        <v>432</v>
      </c>
    </row>
    <row r="7" spans="2:10" x14ac:dyDescent="0.25">
      <c r="B7" s="35" t="s">
        <v>433</v>
      </c>
      <c r="C7" s="330">
        <f>+DCF!H5</f>
        <v>36</v>
      </c>
      <c r="F7" s="35" t="s">
        <v>434</v>
      </c>
      <c r="G7" s="316">
        <f>+C26*C25*C19</f>
        <v>26839.653750000001</v>
      </c>
    </row>
    <row r="8" spans="2:10" x14ac:dyDescent="0.25">
      <c r="B8" s="35" t="s">
        <v>435</v>
      </c>
      <c r="C8" s="320">
        <f>+DCF!C72/1000000</f>
        <v>2868.1402629999998</v>
      </c>
      <c r="F8" s="35" t="s">
        <v>436</v>
      </c>
      <c r="G8" s="316">
        <f>+C27*C25*C19</f>
        <v>26839.653750000001</v>
      </c>
    </row>
    <row r="9" spans="2:10" x14ac:dyDescent="0.25">
      <c r="B9" s="35" t="s">
        <v>437</v>
      </c>
      <c r="C9" s="320">
        <f>+FSM!G35/1000000</f>
        <v>11615.299123329996</v>
      </c>
      <c r="F9" s="35" t="s">
        <v>438</v>
      </c>
      <c r="G9" s="316">
        <f>+C24*C19</f>
        <v>53679.307500000003</v>
      </c>
    </row>
    <row r="10" spans="2:10" x14ac:dyDescent="0.25">
      <c r="B10" s="35" t="s">
        <v>439</v>
      </c>
      <c r="C10" s="331">
        <f>+C9/C8</f>
        <v>4.0497667680940737</v>
      </c>
      <c r="F10" s="35" t="s">
        <v>440</v>
      </c>
      <c r="G10" s="316">
        <f>+C31*C19+C32*G7</f>
        <v>1341.9826875000001</v>
      </c>
    </row>
    <row r="11" spans="2:10" x14ac:dyDescent="0.25">
      <c r="B11" s="35" t="s">
        <v>441</v>
      </c>
      <c r="C11" s="332">
        <f>+FSM!G46</f>
        <v>0.22500000000000001</v>
      </c>
      <c r="F11" s="45" t="s">
        <v>442</v>
      </c>
      <c r="G11" s="328">
        <f>SUM(G7:G10)</f>
        <v>108700.59768750001</v>
      </c>
    </row>
    <row r="12" spans="2:10" x14ac:dyDescent="0.25">
      <c r="B12" s="35" t="s">
        <v>443</v>
      </c>
      <c r="C12" s="320">
        <f>+'Trading Comps'!D22</f>
        <v>16941.003995999999</v>
      </c>
      <c r="F12" s="45" t="s">
        <v>444</v>
      </c>
    </row>
    <row r="13" spans="2:10" x14ac:dyDescent="0.25">
      <c r="F13" s="35" t="s">
        <v>445</v>
      </c>
      <c r="G13" s="316">
        <f>+C25*C19</f>
        <v>53679.307500000003</v>
      </c>
    </row>
    <row r="14" spans="2:10" x14ac:dyDescent="0.25">
      <c r="B14" s="45" t="s">
        <v>446</v>
      </c>
      <c r="F14" s="35" t="s">
        <v>447</v>
      </c>
      <c r="G14" s="316">
        <f>+C24*C19</f>
        <v>53679.307500000003</v>
      </c>
    </row>
    <row r="15" spans="2:10" x14ac:dyDescent="0.25">
      <c r="B15" s="35" t="s">
        <v>448</v>
      </c>
      <c r="C15" s="330">
        <f>+'Trading Comps'!E11</f>
        <v>67.97</v>
      </c>
      <c r="F15" s="35" t="s">
        <v>449</v>
      </c>
      <c r="G15" s="316">
        <f>+C31*C19</f>
        <v>1073.5861500000001</v>
      </c>
    </row>
    <row r="16" spans="2:10" x14ac:dyDescent="0.25">
      <c r="B16" s="35" t="s">
        <v>450</v>
      </c>
      <c r="C16" s="314">
        <v>0.25</v>
      </c>
      <c r="F16" s="35" t="s">
        <v>451</v>
      </c>
      <c r="G16" s="316">
        <f>+C32*G7</f>
        <v>268.39653750000002</v>
      </c>
    </row>
    <row r="17" spans="2:10" x14ac:dyDescent="0.25">
      <c r="B17" s="35" t="s">
        <v>452</v>
      </c>
      <c r="C17" s="331">
        <f>+C15*(1+C16)</f>
        <v>84.962500000000006</v>
      </c>
      <c r="F17" s="45" t="s">
        <v>453</v>
      </c>
      <c r="G17" s="328">
        <f>SUM(G13:G16)</f>
        <v>108700.59768750001</v>
      </c>
    </row>
    <row r="18" spans="2:10" x14ac:dyDescent="0.25">
      <c r="B18" s="35" t="s">
        <v>454</v>
      </c>
      <c r="C18" s="320">
        <f>+'Trading Comps'!E17</f>
        <v>1263.5999999999999</v>
      </c>
      <c r="F18" s="45" t="s">
        <v>455</v>
      </c>
      <c r="G18" s="333" t="str">
        <f>IF(ROUND(G11-G17,2)=0,"Yes","NO — CHECK")</f>
        <v>Yes</v>
      </c>
    </row>
    <row r="19" spans="2:10" x14ac:dyDescent="0.25">
      <c r="B19" s="45" t="s">
        <v>456</v>
      </c>
      <c r="C19" s="328">
        <f>+C17*C18</f>
        <v>107358.61500000001</v>
      </c>
      <c r="F19" s="35" t="s">
        <v>457</v>
      </c>
      <c r="G19" s="329">
        <f>+G8/C12</f>
        <v>1.5843012466284292</v>
      </c>
    </row>
    <row r="20" spans="2:10" x14ac:dyDescent="0.25">
      <c r="B20" s="35" t="s">
        <v>458</v>
      </c>
      <c r="C20" s="334">
        <f>+'Trading Comps'!E34</f>
        <v>9340</v>
      </c>
      <c r="J20" s="312" t="s">
        <v>459</v>
      </c>
    </row>
    <row r="21" spans="2:10" x14ac:dyDescent="0.25">
      <c r="B21" s="35" t="s">
        <v>460</v>
      </c>
      <c r="C21" s="335">
        <f>+C19/C20</f>
        <v>11.494498394004284</v>
      </c>
      <c r="F21" s="308" t="s">
        <v>461</v>
      </c>
      <c r="G21" s="309"/>
      <c r="H21" s="309"/>
    </row>
    <row r="22" spans="2:10" x14ac:dyDescent="0.25">
      <c r="F22" s="35" t="s">
        <v>462</v>
      </c>
      <c r="G22" s="336">
        <v>32600</v>
      </c>
      <c r="J22" s="312" t="s">
        <v>463</v>
      </c>
    </row>
    <row r="23" spans="2:10" x14ac:dyDescent="0.25">
      <c r="B23" s="45" t="s">
        <v>464</v>
      </c>
      <c r="F23" s="35" t="s">
        <v>465</v>
      </c>
      <c r="G23" s="314">
        <v>0.2</v>
      </c>
    </row>
    <row r="24" spans="2:10" x14ac:dyDescent="0.25">
      <c r="B24" s="35" t="s">
        <v>466</v>
      </c>
      <c r="C24" s="314">
        <v>0.5</v>
      </c>
      <c r="F24" s="35" t="s">
        <v>467</v>
      </c>
      <c r="G24" s="336">
        <v>12000</v>
      </c>
    </row>
    <row r="25" spans="2:10" x14ac:dyDescent="0.25">
      <c r="B25" s="35" t="s">
        <v>468</v>
      </c>
      <c r="C25" s="337">
        <f>1-C24</f>
        <v>0.5</v>
      </c>
      <c r="F25" s="35" t="s">
        <v>469</v>
      </c>
      <c r="G25" s="316">
        <f>+G23*G24</f>
        <v>2400</v>
      </c>
    </row>
    <row r="26" spans="2:10" x14ac:dyDescent="0.25">
      <c r="B26" s="35" t="s">
        <v>470</v>
      </c>
      <c r="C26" s="314">
        <v>0.5</v>
      </c>
      <c r="F26" s="35" t="s">
        <v>471</v>
      </c>
      <c r="G26" s="338">
        <v>20</v>
      </c>
    </row>
    <row r="27" spans="2:10" x14ac:dyDescent="0.25">
      <c r="B27" s="35" t="s">
        <v>472</v>
      </c>
      <c r="C27" s="337">
        <f>1-C26</f>
        <v>0.5</v>
      </c>
      <c r="F27" s="35" t="s">
        <v>473</v>
      </c>
      <c r="G27" s="316">
        <f>+G25/G26</f>
        <v>120</v>
      </c>
    </row>
    <row r="28" spans="2:10" x14ac:dyDescent="0.25">
      <c r="B28" s="35" t="s">
        <v>474</v>
      </c>
      <c r="C28" s="339">
        <v>0.24</v>
      </c>
      <c r="F28" s="35" t="s">
        <v>475</v>
      </c>
      <c r="G28" s="316">
        <f>+G25*C11</f>
        <v>540</v>
      </c>
      <c r="J28" s="312" t="s">
        <v>476</v>
      </c>
    </row>
    <row r="29" spans="2:10" x14ac:dyDescent="0.25">
      <c r="B29" s="35" t="s">
        <v>477</v>
      </c>
      <c r="C29" s="332">
        <f>+FSM!G240</f>
        <v>0.12879356804692393</v>
      </c>
      <c r="F29" s="45" t="s">
        <v>478</v>
      </c>
      <c r="J29" s="312" t="s">
        <v>479</v>
      </c>
    </row>
    <row r="30" spans="2:10" x14ac:dyDescent="0.25">
      <c r="B30" s="35" t="s">
        <v>480</v>
      </c>
      <c r="C30" s="336">
        <v>500</v>
      </c>
      <c r="F30" s="45" t="s">
        <v>481</v>
      </c>
      <c r="G30" s="328">
        <f>+C19-(G22+G25-G28)</f>
        <v>72898.615000000005</v>
      </c>
      <c r="J30" s="312" t="s">
        <v>482</v>
      </c>
    </row>
    <row r="31" spans="2:10" x14ac:dyDescent="0.25">
      <c r="B31" s="35" t="s">
        <v>483</v>
      </c>
      <c r="C31" s="314">
        <v>0.01</v>
      </c>
    </row>
    <row r="32" spans="2:10" x14ac:dyDescent="0.25">
      <c r="B32" s="35" t="s">
        <v>484</v>
      </c>
      <c r="C32" s="314">
        <v>0.01</v>
      </c>
      <c r="F32" s="308" t="s">
        <v>485</v>
      </c>
      <c r="G32" s="309"/>
      <c r="H32" s="309"/>
    </row>
    <row r="33" spans="2:7" x14ac:dyDescent="0.25">
      <c r="F33" s="35" t="s">
        <v>486</v>
      </c>
      <c r="G33" s="316">
        <f>+C9</f>
        <v>11615.299123329996</v>
      </c>
    </row>
    <row r="34" spans="2:7" x14ac:dyDescent="0.25">
      <c r="B34" s="45" t="s">
        <v>487</v>
      </c>
      <c r="F34" s="35" t="s">
        <v>488</v>
      </c>
      <c r="G34" s="316">
        <f>+C20</f>
        <v>9340</v>
      </c>
    </row>
    <row r="35" spans="2:7" x14ac:dyDescent="0.25">
      <c r="B35" s="35" t="s">
        <v>489</v>
      </c>
      <c r="C35" s="316">
        <f>+C24*C19/C7</f>
        <v>1491.0918750000001</v>
      </c>
      <c r="F35" s="45" t="s">
        <v>490</v>
      </c>
    </row>
    <row r="36" spans="2:7" x14ac:dyDescent="0.25">
      <c r="B36" s="35" t="s">
        <v>491</v>
      </c>
      <c r="C36" s="335">
        <f>+C17/C7</f>
        <v>2.3600694444444446</v>
      </c>
      <c r="F36" s="35" t="s">
        <v>492</v>
      </c>
      <c r="G36" s="316">
        <f>-C28*G7</f>
        <v>-6441.5168999999996</v>
      </c>
    </row>
    <row r="37" spans="2:7" x14ac:dyDescent="0.25">
      <c r="B37" s="35" t="s">
        <v>493</v>
      </c>
      <c r="C37" s="335">
        <f>+C24*C17/C7</f>
        <v>1.1800347222222223</v>
      </c>
      <c r="F37" s="35" t="s">
        <v>494</v>
      </c>
      <c r="G37" s="316">
        <f>-C29*(G8+G10)</f>
        <v>-3629.6135101868276</v>
      </c>
    </row>
    <row r="38" spans="2:7" x14ac:dyDescent="0.25">
      <c r="F38" s="35" t="s">
        <v>495</v>
      </c>
      <c r="G38" s="316">
        <f>+C30</f>
        <v>500</v>
      </c>
    </row>
    <row r="39" spans="2:7" x14ac:dyDescent="0.25">
      <c r="F39" s="35" t="s">
        <v>496</v>
      </c>
      <c r="G39" s="316">
        <f>-G27</f>
        <v>-120</v>
      </c>
    </row>
    <row r="40" spans="2:7" x14ac:dyDescent="0.25">
      <c r="F40" s="35" t="s">
        <v>497</v>
      </c>
      <c r="G40" s="316">
        <f>-G16/5</f>
        <v>-53.679307500000007</v>
      </c>
    </row>
    <row r="41" spans="2:7" x14ac:dyDescent="0.25">
      <c r="F41" s="35" t="s">
        <v>498</v>
      </c>
      <c r="G41" s="316">
        <f>-SUM(G36:G40)*C11</f>
        <v>2192.5821864795362</v>
      </c>
    </row>
    <row r="42" spans="2:7" x14ac:dyDescent="0.25">
      <c r="F42" s="35" t="s">
        <v>499</v>
      </c>
      <c r="G42" s="316">
        <f>SUM(G36:G41)</f>
        <v>-7552.2275312072907</v>
      </c>
    </row>
    <row r="43" spans="2:7" x14ac:dyDescent="0.25">
      <c r="F43" s="45" t="s">
        <v>500</v>
      </c>
      <c r="G43" s="328">
        <f>+G33+G34+G42</f>
        <v>13403.071592122707</v>
      </c>
    </row>
    <row r="44" spans="2:7" x14ac:dyDescent="0.25">
      <c r="F44" s="35" t="s">
        <v>501</v>
      </c>
      <c r="G44" s="316">
        <f>+C8+C35</f>
        <v>4359.2321379999994</v>
      </c>
    </row>
    <row r="45" spans="2:7" x14ac:dyDescent="0.25">
      <c r="F45" s="45" t="s">
        <v>502</v>
      </c>
      <c r="G45" s="340">
        <f>+G43/G44</f>
        <v>3.074640479750177</v>
      </c>
    </row>
    <row r="46" spans="2:7" x14ac:dyDescent="0.25">
      <c r="F46" s="35" t="s">
        <v>503</v>
      </c>
      <c r="G46" s="331">
        <f>+C10</f>
        <v>4.0497667680940737</v>
      </c>
    </row>
    <row r="47" spans="2:7" x14ac:dyDescent="0.25">
      <c r="F47" s="45" t="s">
        <v>504</v>
      </c>
      <c r="G47" s="340">
        <f>+G45-G46</f>
        <v>-0.9751262883438967</v>
      </c>
    </row>
    <row r="48" spans="2:7" x14ac:dyDescent="0.25">
      <c r="F48" s="45" t="s">
        <v>505</v>
      </c>
      <c r="G48" s="341">
        <f>+G47/G46</f>
        <v>-0.24078578944999757</v>
      </c>
    </row>
    <row r="49" spans="2:21" x14ac:dyDescent="0.25">
      <c r="F49" s="35" t="s">
        <v>506</v>
      </c>
      <c r="G49" s="316">
        <f>MAX(0,-G47*G44/(1-C11))</f>
        <v>5484.905619041765</v>
      </c>
    </row>
    <row r="51" spans="2:21" x14ac:dyDescent="0.25">
      <c r="F51" s="308" t="s">
        <v>507</v>
      </c>
      <c r="G51" s="309"/>
      <c r="H51" s="309"/>
    </row>
    <row r="52" spans="2:21" x14ac:dyDescent="0.25">
      <c r="F52" s="35"/>
      <c r="G52" s="45" t="s">
        <v>508</v>
      </c>
      <c r="H52" s="45" t="s">
        <v>509</v>
      </c>
    </row>
    <row r="53" spans="2:21" x14ac:dyDescent="0.25">
      <c r="F53" s="35" t="s">
        <v>510</v>
      </c>
      <c r="G53" s="337">
        <f>+'Trading Comps'!D31/('Trading Comps'!D31+'Trading Comps'!E31)</f>
        <v>0.53942679061733123</v>
      </c>
      <c r="H53" s="337">
        <f>1-G53</f>
        <v>0.46057320938266877</v>
      </c>
    </row>
    <row r="54" spans="2:21" x14ac:dyDescent="0.25">
      <c r="F54" s="35" t="s">
        <v>511</v>
      </c>
      <c r="G54" s="337">
        <f>+'Trading Comps'!D32/('Trading Comps'!D32+'Trading Comps'!E32)</f>
        <v>0.59732686888404385</v>
      </c>
      <c r="H54" s="337">
        <f>1-G54</f>
        <v>0.40267313111595615</v>
      </c>
    </row>
    <row r="55" spans="2:21" x14ac:dyDescent="0.25">
      <c r="F55" s="35" t="s">
        <v>512</v>
      </c>
      <c r="G55" s="337">
        <f>+'Trading Comps'!D34/('Trading Comps'!D34+'Trading Comps'!E34)</f>
        <v>0.54740475534633404</v>
      </c>
      <c r="H55" s="337">
        <f>1-G55</f>
        <v>0.45259524465366596</v>
      </c>
    </row>
    <row r="56" spans="2:21" x14ac:dyDescent="0.25">
      <c r="F56" s="35" t="s">
        <v>513</v>
      </c>
      <c r="G56" s="337">
        <f>+C8/G44</f>
        <v>0.65794620983774743</v>
      </c>
      <c r="H56" s="337">
        <f>+C35/G44</f>
        <v>0.34205379016225274</v>
      </c>
    </row>
    <row r="57" spans="2:21" x14ac:dyDescent="0.25">
      <c r="F57" s="346" t="s">
        <v>514</v>
      </c>
      <c r="G57" s="347"/>
      <c r="H57" s="347"/>
      <c r="I57" s="347"/>
      <c r="J57" s="347"/>
    </row>
    <row r="60" spans="2:21" x14ac:dyDescent="0.25">
      <c r="B60" s="308" t="s">
        <v>515</v>
      </c>
      <c r="C60" s="309"/>
      <c r="D60" s="309"/>
      <c r="E60" s="309"/>
      <c r="F60" s="309"/>
      <c r="G60" s="309"/>
    </row>
    <row r="61" spans="2:21" x14ac:dyDescent="0.25">
      <c r="B61" s="45" t="s">
        <v>516</v>
      </c>
      <c r="C61" s="342">
        <v>0.1</v>
      </c>
      <c r="D61" s="342">
        <v>0.2</v>
      </c>
      <c r="E61" s="342">
        <v>0.25</v>
      </c>
      <c r="F61" s="342">
        <v>0.3</v>
      </c>
      <c r="G61" s="342">
        <v>0.4</v>
      </c>
      <c r="L61" s="45" t="s">
        <v>517</v>
      </c>
    </row>
    <row r="62" spans="2:21" x14ac:dyDescent="0.25">
      <c r="B62" s="342">
        <v>0</v>
      </c>
      <c r="C62" s="343">
        <f>+U62</f>
        <v>-0.35138480686714291</v>
      </c>
      <c r="D62" s="343">
        <f>+U63</f>
        <v>-0.45873491385277354</v>
      </c>
      <c r="E62" s="343">
        <f>+U64</f>
        <v>-0.51240996734558975</v>
      </c>
      <c r="F62" s="343">
        <f>+U65</f>
        <v>-0.56608502083840517</v>
      </c>
      <c r="G62" s="343">
        <f>+U66</f>
        <v>-0.67343512782403614</v>
      </c>
      <c r="L62" s="329">
        <f>$B62</f>
        <v>0</v>
      </c>
      <c r="M62" s="329">
        <f>C$61</f>
        <v>0.1</v>
      </c>
      <c r="N62" s="344">
        <f>C15*(1+M62)*C18</f>
        <v>94475.581200000001</v>
      </c>
      <c r="O62" s="344">
        <f>C26*(1-L62)*N62</f>
        <v>47237.7906</v>
      </c>
      <c r="P62" s="344">
        <f>(1-C26)*(1-L62)*N62</f>
        <v>47237.7906</v>
      </c>
      <c r="Q62" s="344">
        <f>C31*N62+C32*O62</f>
        <v>1417.133718</v>
      </c>
      <c r="R62" s="344">
        <f>(-C28*O62-C29*(P62+Q62)+C30-G27-C32*O62/5)*(1-C11)</f>
        <v>-13421.439639155407</v>
      </c>
      <c r="S62" s="344">
        <f>C9+C20+R62</f>
        <v>7533.8594841745908</v>
      </c>
      <c r="T62" s="344">
        <f>C8+L62*N62/C7</f>
        <v>2868.1402629999998</v>
      </c>
      <c r="U62" s="345">
        <f>S62/T62/C10-1</f>
        <v>-0.35138480686714291</v>
      </c>
    </row>
    <row r="63" spans="2:21" x14ac:dyDescent="0.25">
      <c r="B63" s="342">
        <v>0.25</v>
      </c>
      <c r="C63" s="343">
        <f>+U67</f>
        <v>-0.23352992966901631</v>
      </c>
      <c r="D63" s="343">
        <f>+U68</f>
        <v>-0.31086703077303035</v>
      </c>
      <c r="E63" s="343">
        <f>+U69</f>
        <v>-0.3485782481475499</v>
      </c>
      <c r="F63" s="343">
        <f>+U70</f>
        <v>-0.38567213860266036</v>
      </c>
      <c r="G63" s="343">
        <f>+U71</f>
        <v>-0.45806759547250531</v>
      </c>
      <c r="L63" s="329">
        <f>$B62</f>
        <v>0</v>
      </c>
      <c r="M63" s="329">
        <f>D$61</f>
        <v>0.2</v>
      </c>
      <c r="N63" s="344">
        <f>C15*(1+M63)*C18</f>
        <v>103064.27039999998</v>
      </c>
      <c r="O63" s="344">
        <f>C26*(1-L63)*N63</f>
        <v>51532.13519999999</v>
      </c>
      <c r="P63" s="344">
        <f>(1-C26)*(1-L63)*N63</f>
        <v>51532.13519999999</v>
      </c>
      <c r="Q63" s="344">
        <f>C31*N63+C32*O63</f>
        <v>1545.9640559999998</v>
      </c>
      <c r="R63" s="344">
        <f>(-C28*O63-C29*(P63+Q63)+C30-G27-C32*O63/5)*(1-C11)</f>
        <v>-14668.343242714984</v>
      </c>
      <c r="S63" s="344">
        <f>C9+C20+R63</f>
        <v>6286.9558806150144</v>
      </c>
      <c r="T63" s="344">
        <f>C8+L63*N63/C7</f>
        <v>2868.1402629999998</v>
      </c>
      <c r="U63" s="345">
        <f>S63/T63/C10-1</f>
        <v>-0.45873491385277354</v>
      </c>
    </row>
    <row r="64" spans="2:21" x14ac:dyDescent="0.25">
      <c r="B64" s="342">
        <v>0.5</v>
      </c>
      <c r="C64" s="343">
        <f>+U72</f>
        <v>-0.15266869279981787</v>
      </c>
      <c r="D64" s="343">
        <f>+U73</f>
        <v>-0.21222832785640933</v>
      </c>
      <c r="E64" s="343">
        <f>+U74</f>
        <v>-0.24078578944999751</v>
      </c>
      <c r="F64" s="343">
        <f>+U75</f>
        <v>-0.26857234367700999</v>
      </c>
      <c r="G64" s="343">
        <f>+U76</f>
        <v>-0.32195431159664711</v>
      </c>
      <c r="L64" s="329">
        <f>$B62</f>
        <v>0</v>
      </c>
      <c r="M64" s="329">
        <f>E$61</f>
        <v>0.25</v>
      </c>
      <c r="N64" s="344">
        <f>C15*(1+M64)*C18</f>
        <v>107358.61500000001</v>
      </c>
      <c r="O64" s="344">
        <f>C26*(1-L64)*N64</f>
        <v>53679.307500000003</v>
      </c>
      <c r="P64" s="344">
        <f>(1-C26)*(1-L64)*N64</f>
        <v>53679.307500000003</v>
      </c>
      <c r="Q64" s="344">
        <f>C31*N64+C32*O64</f>
        <v>1610.3792250000001</v>
      </c>
      <c r="R64" s="344">
        <f>(-C28*O64-C29*(P64+Q64)+C30-G27-C32*O64/5)*(1-C11)</f>
        <v>-15291.795044494782</v>
      </c>
      <c r="S64" s="344">
        <f>C9+C20+R64</f>
        <v>5663.5040788352162</v>
      </c>
      <c r="T64" s="344">
        <f>C8+L64*N64/C7</f>
        <v>2868.1402629999998</v>
      </c>
      <c r="U64" s="345">
        <f>S64/T64/C10-1</f>
        <v>-0.51240996734558975</v>
      </c>
    </row>
    <row r="65" spans="2:21" x14ac:dyDescent="0.25">
      <c r="B65" s="342">
        <v>0.75</v>
      </c>
      <c r="C65" s="343">
        <f>+U77</f>
        <v>-9.3745954468974269E-2</v>
      </c>
      <c r="D65" s="343">
        <f>+U78</f>
        <v>-0.1417426447100798</v>
      </c>
      <c r="E65" s="343">
        <f>+U79</f>
        <v>-0.16447921651927211</v>
      </c>
      <c r="F65" s="343">
        <f>+U80</f>
        <v>-0.18643256012018261</v>
      </c>
      <c r="G65" s="343">
        <f>+U81</f>
        <v>-0.22814605546303257</v>
      </c>
      <c r="L65" s="329">
        <f>$B62</f>
        <v>0</v>
      </c>
      <c r="M65" s="329">
        <f>F$61</f>
        <v>0.3</v>
      </c>
      <c r="N65" s="344">
        <f>C15*(1+M65)*C18</f>
        <v>111652.9596</v>
      </c>
      <c r="O65" s="344">
        <f>C26*(1-L65)*N65</f>
        <v>55826.479800000001</v>
      </c>
      <c r="P65" s="344">
        <f>(1-C26)*(1-L65)*N65</f>
        <v>55826.479800000001</v>
      </c>
      <c r="Q65" s="344">
        <f>C31*N65+C32*O65</f>
        <v>1674.794394</v>
      </c>
      <c r="R65" s="344">
        <f>(-C28*O65-C29*(P65+Q65)+C30-G27-C32*O65/5)*(1-C11)</f>
        <v>-15915.246846274573</v>
      </c>
      <c r="S65" s="344">
        <f>C9+C20+R65</f>
        <v>5040.0522770554253</v>
      </c>
      <c r="T65" s="344">
        <f>C8+L65*N65/C7</f>
        <v>2868.1402629999998</v>
      </c>
      <c r="U65" s="345">
        <f>S65/T65/C10-1</f>
        <v>-0.56608502083840517</v>
      </c>
    </row>
    <row r="66" spans="2:21" x14ac:dyDescent="0.25">
      <c r="B66" s="342">
        <v>1</v>
      </c>
      <c r="C66" s="343">
        <f>+U82</f>
        <v>-4.8899983703089123E-2</v>
      </c>
      <c r="D66" s="343">
        <f>+U83</f>
        <v>-8.8862258859609744E-2</v>
      </c>
      <c r="E66" s="343">
        <f>+U84</f>
        <v>-0.10762115800471683</v>
      </c>
      <c r="F66" s="343">
        <f>+U85</f>
        <v>-0.1256303603163561</v>
      </c>
      <c r="G66" s="343">
        <f>+U86</f>
        <v>-0.15957253526716442</v>
      </c>
      <c r="L66" s="329">
        <f>$B62</f>
        <v>0</v>
      </c>
      <c r="M66" s="329">
        <f>G$61</f>
        <v>0.4</v>
      </c>
      <c r="N66" s="344">
        <f>C15*(1+M66)*C18</f>
        <v>120241.64879999998</v>
      </c>
      <c r="O66" s="344">
        <f>C26*(1-L66)*N66</f>
        <v>60120.82439999999</v>
      </c>
      <c r="P66" s="344">
        <f>(1-C26)*(1-L66)*N66</f>
        <v>60120.82439999999</v>
      </c>
      <c r="Q66" s="344">
        <f>C31*N66+C32*O66</f>
        <v>1803.6247319999998</v>
      </c>
      <c r="R66" s="344">
        <f>(-C28*O66-C29*(P66+Q66)+C30-G27-C32*O66/5)*(1-C11)</f>
        <v>-17162.150449834153</v>
      </c>
      <c r="S66" s="344">
        <f>C9+C20+R66</f>
        <v>3793.1486734958453</v>
      </c>
      <c r="T66" s="344">
        <f>C8+L66*N66/C7</f>
        <v>2868.1402629999998</v>
      </c>
      <c r="U66" s="345">
        <f>S66/T66/C10-1</f>
        <v>-0.67343512782403614</v>
      </c>
    </row>
    <row r="67" spans="2:21" x14ac:dyDescent="0.25">
      <c r="B67" s="346" t="s">
        <v>518</v>
      </c>
      <c r="C67" s="347"/>
      <c r="D67" s="347"/>
      <c r="E67" s="347"/>
      <c r="F67" s="347"/>
      <c r="G67" s="347"/>
      <c r="L67" s="329">
        <f>$B63</f>
        <v>0.25</v>
      </c>
      <c r="M67" s="329">
        <f>C$61</f>
        <v>0.1</v>
      </c>
      <c r="N67" s="344">
        <f>C15*(1+M67)*C18</f>
        <v>94475.581200000001</v>
      </c>
      <c r="O67" s="344">
        <f>C26*(1-L67)*N67</f>
        <v>35428.342949999998</v>
      </c>
      <c r="P67" s="344">
        <f>(1-C26)*(1-L67)*N67</f>
        <v>35428.342949999998</v>
      </c>
      <c r="Q67" s="344">
        <f>C31*N67+C32*O67</f>
        <v>1299.0392415000001</v>
      </c>
      <c r="R67" s="344">
        <f>(-C28*O67-C29*(P67+Q67)+C30-G27-C32*O67/5)*(1-C11)</f>
        <v>-10016.02993330891</v>
      </c>
      <c r="S67" s="344">
        <f>C9+C20+R67</f>
        <v>10939.269190021088</v>
      </c>
      <c r="T67" s="344">
        <f>C8+L67*N67/C7</f>
        <v>3524.2206879999999</v>
      </c>
      <c r="U67" s="345">
        <f>S67/T67/C10-1</f>
        <v>-0.23352992966901631</v>
      </c>
    </row>
    <row r="68" spans="2:21" x14ac:dyDescent="0.25">
      <c r="L68" s="329">
        <f>$B63</f>
        <v>0.25</v>
      </c>
      <c r="M68" s="329">
        <f>D$61</f>
        <v>0.2</v>
      </c>
      <c r="N68" s="344">
        <f>C15*(1+M68)*C18</f>
        <v>103064.27039999998</v>
      </c>
      <c r="O68" s="344">
        <f>C26*(1-L68)*N68</f>
        <v>38649.101399999992</v>
      </c>
      <c r="P68" s="344">
        <f>(1-C26)*(1-L68)*N68</f>
        <v>38649.101399999992</v>
      </c>
      <c r="Q68" s="344">
        <f>C31*N68+C32*O68</f>
        <v>1417.1337179999998</v>
      </c>
      <c r="R68" s="344">
        <f>(-C28*O68-C29*(P68+Q68)+C30-G27-C32*O68/5)*(1-C11)</f>
        <v>-10953.350836336993</v>
      </c>
      <c r="S68" s="344">
        <f>C9+C20+R68</f>
        <v>10001.948286993005</v>
      </c>
      <c r="T68" s="344">
        <f>C8+L68*N68/C7</f>
        <v>3583.8643629999997</v>
      </c>
      <c r="U68" s="345">
        <f>S68/T68/C10-1</f>
        <v>-0.31086703077303035</v>
      </c>
    </row>
    <row r="69" spans="2:21" x14ac:dyDescent="0.25">
      <c r="B69" s="45" t="s">
        <v>519</v>
      </c>
      <c r="L69" s="329">
        <f>$B63</f>
        <v>0.25</v>
      </c>
      <c r="M69" s="329">
        <f>E$61</f>
        <v>0.25</v>
      </c>
      <c r="N69" s="344">
        <f>C15*(1+M69)*C18</f>
        <v>107358.61500000001</v>
      </c>
      <c r="O69" s="344">
        <f>C26*(1-L69)*N69</f>
        <v>40259.480625000004</v>
      </c>
      <c r="P69" s="344">
        <f>(1-C26)*(1-L69)*N69</f>
        <v>40259.480625000004</v>
      </c>
      <c r="Q69" s="344">
        <f>C31*N69+C32*O69</f>
        <v>1476.1809562500002</v>
      </c>
      <c r="R69" s="344">
        <f>(-C28*O69-C29*(P69+Q69)+C30-G27-C32*O69/5)*(1-C11)</f>
        <v>-11422.011287851035</v>
      </c>
      <c r="S69" s="344">
        <f>C9+C20+R69</f>
        <v>9533.2878354789627</v>
      </c>
      <c r="T69" s="344">
        <f>C8+L69*N69/C7</f>
        <v>3613.6862004999998</v>
      </c>
      <c r="U69" s="345">
        <f>S69/T69/C10-1</f>
        <v>-0.3485782481475499</v>
      </c>
    </row>
    <row r="70" spans="2:21" x14ac:dyDescent="0.25">
      <c r="B70" s="346" t="s">
        <v>520</v>
      </c>
      <c r="C70" s="347"/>
      <c r="D70" s="347"/>
      <c r="E70" s="347"/>
      <c r="F70" s="347"/>
      <c r="G70" s="347"/>
      <c r="H70" s="347"/>
      <c r="I70" s="347"/>
      <c r="J70" s="347"/>
      <c r="L70" s="329">
        <f>$B63</f>
        <v>0.25</v>
      </c>
      <c r="M70" s="329">
        <f>F$61</f>
        <v>0.3</v>
      </c>
      <c r="N70" s="344">
        <f>C15*(1+M70)*C18</f>
        <v>111652.9596</v>
      </c>
      <c r="O70" s="344">
        <f>C26*(1-L70)*N70</f>
        <v>41869.859850000001</v>
      </c>
      <c r="P70" s="344">
        <f>(1-C26)*(1-L70)*N70</f>
        <v>41869.859850000001</v>
      </c>
      <c r="Q70" s="344">
        <f>C31*N70+C32*O70</f>
        <v>1535.2281945</v>
      </c>
      <c r="R70" s="344">
        <f>(-C28*O70-C29*(P70+Q70)+C30-G27-C32*O70/5)*(1-C11)</f>
        <v>-11890.671739365076</v>
      </c>
      <c r="S70" s="344">
        <f>C9+C20+R70</f>
        <v>9064.627383964922</v>
      </c>
      <c r="T70" s="344">
        <f>C8+L70*N70/C7</f>
        <v>3643.5080379999999</v>
      </c>
      <c r="U70" s="345">
        <f>S70/T70/C10-1</f>
        <v>-0.38567213860266036</v>
      </c>
    </row>
    <row r="71" spans="2:21" x14ac:dyDescent="0.25">
      <c r="B71" s="346" t="s">
        <v>521</v>
      </c>
      <c r="C71" s="347"/>
      <c r="D71" s="347"/>
      <c r="E71" s="347"/>
      <c r="F71" s="347"/>
      <c r="G71" s="347"/>
      <c r="H71" s="347"/>
      <c r="I71" s="347"/>
      <c r="J71" s="347"/>
      <c r="L71" s="329">
        <f>$B63</f>
        <v>0.25</v>
      </c>
      <c r="M71" s="329">
        <f>G$61</f>
        <v>0.4</v>
      </c>
      <c r="N71" s="344">
        <f>C15*(1+M71)*C18</f>
        <v>120241.64879999998</v>
      </c>
      <c r="O71" s="344">
        <f>C26*(1-L71)*N71</f>
        <v>45090.618299999995</v>
      </c>
      <c r="P71" s="344">
        <f>(1-C26)*(1-L71)*N71</f>
        <v>45090.618299999995</v>
      </c>
      <c r="Q71" s="344">
        <f>C31*N71+C32*O71</f>
        <v>1653.3226709999999</v>
      </c>
      <c r="R71" s="344">
        <f>(-C28*O71-C29*(P71+Q71)+C30-G27-C32*O71/5)*(1-C11)</f>
        <v>-12827.992642393161</v>
      </c>
      <c r="S71" s="344">
        <f>C9+C20+R71</f>
        <v>8127.306480936837</v>
      </c>
      <c r="T71" s="344">
        <f>C8+L71*N71/C7</f>
        <v>3703.1517129999997</v>
      </c>
      <c r="U71" s="345">
        <f>S71/T71/C10-1</f>
        <v>-0.45806759547250531</v>
      </c>
    </row>
    <row r="72" spans="2:21" x14ac:dyDescent="0.25">
      <c r="B72" s="346" t="s">
        <v>522</v>
      </c>
      <c r="C72" s="347"/>
      <c r="D72" s="347"/>
      <c r="E72" s="347"/>
      <c r="F72" s="347"/>
      <c r="G72" s="347"/>
      <c r="H72" s="347"/>
      <c r="I72" s="347"/>
      <c r="J72" s="347"/>
      <c r="L72" s="329">
        <f>$B64</f>
        <v>0.5</v>
      </c>
      <c r="M72" s="329">
        <f>C$61</f>
        <v>0.1</v>
      </c>
      <c r="N72" s="344">
        <f>C15*(1+M72)*C18</f>
        <v>94475.581200000001</v>
      </c>
      <c r="O72" s="344">
        <f>C26*(1-L72)*N72</f>
        <v>23618.8953</v>
      </c>
      <c r="P72" s="344">
        <f>(1-C26)*(1-L72)*N72</f>
        <v>23618.8953</v>
      </c>
      <c r="Q72" s="344">
        <f>C31*N72+C32*O72</f>
        <v>1180.944765</v>
      </c>
      <c r="R72" s="344">
        <f>(-C28*O72-C29*(P72+Q72)+C30-G27-C32*O72/5)*(1-C11)</f>
        <v>-6610.6202274624166</v>
      </c>
      <c r="S72" s="344">
        <f>C9+C20+R72</f>
        <v>14344.678895867582</v>
      </c>
      <c r="T72" s="344">
        <f>C8+L72*N72/C7</f>
        <v>4180.3011129999995</v>
      </c>
      <c r="U72" s="345">
        <f>S72/T72/C10-1</f>
        <v>-0.15266869279981787</v>
      </c>
    </row>
    <row r="73" spans="2:21" x14ac:dyDescent="0.25">
      <c r="B73" s="346" t="s">
        <v>523</v>
      </c>
      <c r="C73" s="347"/>
      <c r="D73" s="347"/>
      <c r="E73" s="347"/>
      <c r="F73" s="347"/>
      <c r="G73" s="347"/>
      <c r="H73" s="347"/>
      <c r="I73" s="347"/>
      <c r="J73" s="347"/>
      <c r="L73" s="329">
        <f>$B64</f>
        <v>0.5</v>
      </c>
      <c r="M73" s="329">
        <f>D$61</f>
        <v>0.2</v>
      </c>
      <c r="N73" s="344">
        <f>C15*(1+M73)*C18</f>
        <v>103064.27039999998</v>
      </c>
      <c r="O73" s="344">
        <f>C26*(1-L73)*N73</f>
        <v>25766.067599999995</v>
      </c>
      <c r="P73" s="344">
        <f>(1-C26)*(1-L73)*N73</f>
        <v>25766.067599999995</v>
      </c>
      <c r="Q73" s="344">
        <f>C31*N73+C32*O73</f>
        <v>1288.3033799999998</v>
      </c>
      <c r="R73" s="344">
        <f>(-C28*O73-C29*(P73+Q73)+C30-G27-C32*O73/5)*(1-C11)</f>
        <v>-7238.3584299589984</v>
      </c>
      <c r="S73" s="344">
        <f>C9+C20+R73</f>
        <v>13716.940693371</v>
      </c>
      <c r="T73" s="344">
        <f>C8+L73*N73/C7</f>
        <v>4299.588463</v>
      </c>
      <c r="U73" s="345">
        <f>S73/T73/C10-1</f>
        <v>-0.21222832785640933</v>
      </c>
    </row>
    <row r="74" spans="2:21" x14ac:dyDescent="0.25">
      <c r="B74" s="346" t="s">
        <v>524</v>
      </c>
      <c r="C74" s="347"/>
      <c r="D74" s="347"/>
      <c r="E74" s="347"/>
      <c r="F74" s="347"/>
      <c r="G74" s="347"/>
      <c r="H74" s="347"/>
      <c r="I74" s="347"/>
      <c r="J74" s="347"/>
      <c r="L74" s="329">
        <f>$B64</f>
        <v>0.5</v>
      </c>
      <c r="M74" s="329">
        <f>E$61</f>
        <v>0.25</v>
      </c>
      <c r="N74" s="344">
        <f>C15*(1+M74)*C18</f>
        <v>107358.61500000001</v>
      </c>
      <c r="O74" s="344">
        <f>C26*(1-L74)*N74</f>
        <v>26839.653750000001</v>
      </c>
      <c r="P74" s="344">
        <f>(1-C26)*(1-L74)*N74</f>
        <v>26839.653750000001</v>
      </c>
      <c r="Q74" s="344">
        <f>C31*N74+C32*O74</f>
        <v>1341.9826875000001</v>
      </c>
      <c r="R74" s="344">
        <f>(-C28*O74-C29*(P74+Q74)+C30-G27-C32*O74/5)*(1-C11)</f>
        <v>-7552.2275312072907</v>
      </c>
      <c r="S74" s="344">
        <f>C9+C20+R74</f>
        <v>13403.071592122707</v>
      </c>
      <c r="T74" s="344">
        <f>C8+L74*N74/C7</f>
        <v>4359.2321379999994</v>
      </c>
      <c r="U74" s="345">
        <f>S74/T74/C10-1</f>
        <v>-0.24078578944999751</v>
      </c>
    </row>
    <row r="75" spans="2:21" x14ac:dyDescent="0.25">
      <c r="B75" s="346" t="s">
        <v>525</v>
      </c>
      <c r="C75" s="347"/>
      <c r="D75" s="347"/>
      <c r="E75" s="347"/>
      <c r="F75" s="347"/>
      <c r="G75" s="347"/>
      <c r="H75" s="347"/>
      <c r="I75" s="347"/>
      <c r="J75" s="347"/>
      <c r="L75" s="329">
        <f>$B64</f>
        <v>0.5</v>
      </c>
      <c r="M75" s="329">
        <f>F$61</f>
        <v>0.3</v>
      </c>
      <c r="N75" s="344">
        <f>C15*(1+M75)*C18</f>
        <v>111652.9596</v>
      </c>
      <c r="O75" s="344">
        <f>C26*(1-L75)*N75</f>
        <v>27913.2399</v>
      </c>
      <c r="P75" s="344">
        <f>(1-C26)*(1-L75)*N75</f>
        <v>27913.2399</v>
      </c>
      <c r="Q75" s="344">
        <f>C31*N75+C32*O75</f>
        <v>1395.6619950000002</v>
      </c>
      <c r="R75" s="344">
        <f>(-C28*O75-C29*(P75+Q75)+C30-G27-C32*O75/5)*(1-C11)</f>
        <v>-7866.096632455582</v>
      </c>
      <c r="S75" s="344">
        <f>C9+C20+R75</f>
        <v>13089.202490874417</v>
      </c>
      <c r="T75" s="344">
        <f>C8+L75*N75/C7</f>
        <v>4418.8758129999997</v>
      </c>
      <c r="U75" s="345">
        <f>S75/T75/C10-1</f>
        <v>-0.26857234367700999</v>
      </c>
    </row>
    <row r="76" spans="2:21" x14ac:dyDescent="0.25">
      <c r="B76" s="346" t="s">
        <v>526</v>
      </c>
      <c r="C76" s="347"/>
      <c r="D76" s="347"/>
      <c r="E76" s="347"/>
      <c r="F76" s="347"/>
      <c r="G76" s="347"/>
      <c r="H76" s="347"/>
      <c r="I76" s="347"/>
      <c r="J76" s="347"/>
      <c r="L76" s="329">
        <f>$B64</f>
        <v>0.5</v>
      </c>
      <c r="M76" s="329">
        <f>G$61</f>
        <v>0.4</v>
      </c>
      <c r="N76" s="344">
        <f>C15*(1+M76)*C18</f>
        <v>120241.64879999998</v>
      </c>
      <c r="O76" s="344">
        <f>C26*(1-L76)*N76</f>
        <v>30060.412199999995</v>
      </c>
      <c r="P76" s="344">
        <f>(1-C26)*(1-L76)*N76</f>
        <v>30060.412199999995</v>
      </c>
      <c r="Q76" s="344">
        <f>C31*N76+C32*O76</f>
        <v>1503.0206099999998</v>
      </c>
      <c r="R76" s="344">
        <f>(-C28*O76-C29*(P76+Q76)+C30-G27-C32*O76/5)*(1-C11)</f>
        <v>-8493.8348349521657</v>
      </c>
      <c r="S76" s="344">
        <f>C9+C20+R76</f>
        <v>12461.464288377832</v>
      </c>
      <c r="T76" s="344">
        <f>C8+L76*N76/C7</f>
        <v>4538.1631629999993</v>
      </c>
      <c r="U76" s="345">
        <f>S76/T76/C10-1</f>
        <v>-0.32195431159664711</v>
      </c>
    </row>
    <row r="77" spans="2:21" x14ac:dyDescent="0.25">
      <c r="L77" s="329">
        <f>$B65</f>
        <v>0.75</v>
      </c>
      <c r="M77" s="329">
        <f>C$61</f>
        <v>0.1</v>
      </c>
      <c r="N77" s="344">
        <f>C15*(1+M77)*C18</f>
        <v>94475.581200000001</v>
      </c>
      <c r="O77" s="344">
        <f>C26*(1-L77)*N77</f>
        <v>11809.44765</v>
      </c>
      <c r="P77" s="344">
        <f>(1-C26)*(1-L77)*N77</f>
        <v>11809.44765</v>
      </c>
      <c r="Q77" s="344">
        <f>C31*N77+C32*O77</f>
        <v>1062.8502885</v>
      </c>
      <c r="R77" s="344">
        <f>(-C28*O77-C29*(P77+Q77)+C30-G27-C32*O77/5)*(1-C11)</f>
        <v>-3205.2105216159212</v>
      </c>
      <c r="S77" s="344">
        <f>C9+C20+R77</f>
        <v>17750.088601714077</v>
      </c>
      <c r="T77" s="344">
        <f>C8+L77*N77/C7</f>
        <v>4836.3815379999996</v>
      </c>
      <c r="U77" s="345">
        <f>S77/T77/C10-1</f>
        <v>-9.3745954468974269E-2</v>
      </c>
    </row>
    <row r="78" spans="2:21" x14ac:dyDescent="0.25">
      <c r="L78" s="329">
        <f>$B65</f>
        <v>0.75</v>
      </c>
      <c r="M78" s="329">
        <f>D$61</f>
        <v>0.2</v>
      </c>
      <c r="N78" s="344">
        <f>C15*(1+M78)*C18</f>
        <v>103064.27039999998</v>
      </c>
      <c r="O78" s="344">
        <f>C26*(1-L78)*N78</f>
        <v>12883.033799999997</v>
      </c>
      <c r="P78" s="344">
        <f>(1-C26)*(1-L78)*N78</f>
        <v>12883.033799999997</v>
      </c>
      <c r="Q78" s="344">
        <f>C31*N78+C32*O78</f>
        <v>1159.4730419999999</v>
      </c>
      <c r="R78" s="344">
        <f>(-C28*O78-C29*(P78+Q78)+C30-G27-C32*O78/5)*(1-C11)</f>
        <v>-3523.3660235810034</v>
      </c>
      <c r="S78" s="344">
        <f>C9+C20+R78</f>
        <v>17431.933099748996</v>
      </c>
      <c r="T78" s="344">
        <f>C8+L78*N78/C7</f>
        <v>5015.3125629999995</v>
      </c>
      <c r="U78" s="345">
        <f>S78/T78/C10-1</f>
        <v>-0.1417426447100798</v>
      </c>
    </row>
    <row r="79" spans="2:21" x14ac:dyDescent="0.25">
      <c r="L79" s="329">
        <f>$B65</f>
        <v>0.75</v>
      </c>
      <c r="M79" s="329">
        <f>E$61</f>
        <v>0.25</v>
      </c>
      <c r="N79" s="344">
        <f>C15*(1+M79)*C18</f>
        <v>107358.61500000001</v>
      </c>
      <c r="O79" s="344">
        <f>C26*(1-L79)*N79</f>
        <v>13419.826875000001</v>
      </c>
      <c r="P79" s="344">
        <f>(1-C26)*(1-L79)*N79</f>
        <v>13419.826875000001</v>
      </c>
      <c r="Q79" s="344">
        <f>C31*N79+C32*O79</f>
        <v>1207.78441875</v>
      </c>
      <c r="R79" s="344">
        <f>(-C28*O79-C29*(P79+Q79)+C30-G27-C32*O79/5)*(1-C11)</f>
        <v>-3682.4437745635464</v>
      </c>
      <c r="S79" s="344">
        <f>C9+C20+R79</f>
        <v>17272.85534876645</v>
      </c>
      <c r="T79" s="344">
        <f>C8+L79*N79/C7</f>
        <v>5104.7780755000003</v>
      </c>
      <c r="U79" s="345">
        <f>S79/T79/C10-1</f>
        <v>-0.16447921651927211</v>
      </c>
    </row>
    <row r="80" spans="2:21" x14ac:dyDescent="0.25">
      <c r="L80" s="329">
        <f>$B65</f>
        <v>0.75</v>
      </c>
      <c r="M80" s="329">
        <f>F$61</f>
        <v>0.3</v>
      </c>
      <c r="N80" s="344">
        <f>C15*(1+M80)*C18</f>
        <v>111652.9596</v>
      </c>
      <c r="O80" s="344">
        <f>C26*(1-L80)*N80</f>
        <v>13956.61995</v>
      </c>
      <c r="P80" s="344">
        <f>(1-C26)*(1-L80)*N80</f>
        <v>13956.61995</v>
      </c>
      <c r="Q80" s="344">
        <f>C31*N80+C32*O80</f>
        <v>1256.0957955000001</v>
      </c>
      <c r="R80" s="344">
        <f>(-C28*O80-C29*(P80+Q80)+C30-G27-C32*O80/5)*(1-C11)</f>
        <v>-3841.521525546088</v>
      </c>
      <c r="S80" s="344">
        <f>C9+C20+R80</f>
        <v>17113.777597783912</v>
      </c>
      <c r="T80" s="344">
        <f>C8+L80*N80/C7</f>
        <v>5194.2435879999994</v>
      </c>
      <c r="U80" s="345">
        <f>S80/T80/C10-1</f>
        <v>-0.18643256012018261</v>
      </c>
    </row>
    <row r="81" spans="12:21" x14ac:dyDescent="0.25">
      <c r="L81" s="329">
        <f>$B65</f>
        <v>0.75</v>
      </c>
      <c r="M81" s="329">
        <f>G$61</f>
        <v>0.4</v>
      </c>
      <c r="N81" s="344">
        <f>C15*(1+M81)*C18</f>
        <v>120241.64879999998</v>
      </c>
      <c r="O81" s="344">
        <f>C26*(1-L81)*N81</f>
        <v>15030.206099999998</v>
      </c>
      <c r="P81" s="344">
        <f>(1-C26)*(1-L81)*N81</f>
        <v>15030.206099999998</v>
      </c>
      <c r="Q81" s="344">
        <f>C31*N81+C32*O81</f>
        <v>1352.7185489999997</v>
      </c>
      <c r="R81" s="344">
        <f>(-C28*O81-C29*(P81+Q81)+C30-G27-C32*O81/5)*(1-C11)</f>
        <v>-4159.6770275111712</v>
      </c>
      <c r="S81" s="344">
        <f>C9+C20+R81</f>
        <v>16795.622095818828</v>
      </c>
      <c r="T81" s="344">
        <f>C8+L81*N81/C7</f>
        <v>5373.1746129999992</v>
      </c>
      <c r="U81" s="345">
        <f>S81/T81/C10-1</f>
        <v>-0.22814605546303257</v>
      </c>
    </row>
    <row r="82" spans="12:21" x14ac:dyDescent="0.25">
      <c r="L82" s="329">
        <f>$B66</f>
        <v>1</v>
      </c>
      <c r="M82" s="329">
        <f>C$61</f>
        <v>0.1</v>
      </c>
      <c r="N82" s="344">
        <f>C15*(1+M82)*C18</f>
        <v>94475.581200000001</v>
      </c>
      <c r="O82" s="344">
        <f>C26*(1-L82)*N82</f>
        <v>0</v>
      </c>
      <c r="P82" s="344">
        <f>(1-C26)*(1-L82)*N82</f>
        <v>0</v>
      </c>
      <c r="Q82" s="344">
        <f>C31*N82+C32*O82</f>
        <v>944.75581199999999</v>
      </c>
      <c r="R82" s="344">
        <f>(-C28*O82-C29*(P82+Q82)+C30-G27-C32*O82/5)*(1-C11)</f>
        <v>200.19918423057462</v>
      </c>
      <c r="S82" s="344">
        <f>C9+C20+R82</f>
        <v>21155.498307560574</v>
      </c>
      <c r="T82" s="344">
        <f>C8+L82*N82/C7</f>
        <v>5492.4619629999997</v>
      </c>
      <c r="U82" s="345">
        <f>S82/T82/C10-1</f>
        <v>-4.8899983703089123E-2</v>
      </c>
    </row>
    <row r="83" spans="12:21" x14ac:dyDescent="0.25">
      <c r="L83" s="329">
        <f>$B66</f>
        <v>1</v>
      </c>
      <c r="M83" s="329">
        <f>D$61</f>
        <v>0.2</v>
      </c>
      <c r="N83" s="344">
        <f>C15*(1+M83)*C18</f>
        <v>103064.27039999998</v>
      </c>
      <c r="O83" s="344">
        <f>C26*(1-L83)*N83</f>
        <v>0</v>
      </c>
      <c r="P83" s="344">
        <f>(1-C26)*(1-L83)*N83</f>
        <v>0</v>
      </c>
      <c r="Q83" s="344">
        <f>C31*N83+C32*O83</f>
        <v>1030.6427039999999</v>
      </c>
      <c r="R83" s="344">
        <f>(-C28*O83-C29*(P83+Q83)+C30-G27-C32*O83/5)*(1-C11)</f>
        <v>191.6263827969905</v>
      </c>
      <c r="S83" s="344">
        <f>C9+C20+R83</f>
        <v>21146.925506126987</v>
      </c>
      <c r="T83" s="344">
        <f>C8+L83*N83/C7</f>
        <v>5731.036662999999</v>
      </c>
      <c r="U83" s="345">
        <f>S83/T83/C10-1</f>
        <v>-8.8862258859609744E-2</v>
      </c>
    </row>
    <row r="84" spans="12:21" x14ac:dyDescent="0.25">
      <c r="L84" s="329">
        <f>$B66</f>
        <v>1</v>
      </c>
      <c r="M84" s="329">
        <f>E$61</f>
        <v>0.25</v>
      </c>
      <c r="N84" s="344">
        <f>C15*(1+M84)*C18</f>
        <v>107358.61500000001</v>
      </c>
      <c r="O84" s="344">
        <f>C26*(1-L84)*N84</f>
        <v>0</v>
      </c>
      <c r="P84" s="344">
        <f>(1-C26)*(1-L84)*N84</f>
        <v>0</v>
      </c>
      <c r="Q84" s="344">
        <f>C31*N84+C32*O84</f>
        <v>1073.5861500000001</v>
      </c>
      <c r="R84" s="344">
        <f>(-C28*O84-C29*(P84+Q84)+C30-G27-C32*O84/5)*(1-C11)</f>
        <v>187.33998208019847</v>
      </c>
      <c r="S84" s="344">
        <f>C9+C20+R84</f>
        <v>21142.639105410195</v>
      </c>
      <c r="T84" s="344">
        <f>C8+L84*N84/C7</f>
        <v>5850.3240129999995</v>
      </c>
      <c r="U84" s="345">
        <f>S84/T84/C10-1</f>
        <v>-0.10762115800471683</v>
      </c>
    </row>
    <row r="85" spans="12:21" x14ac:dyDescent="0.25">
      <c r="L85" s="329">
        <f>$B66</f>
        <v>1</v>
      </c>
      <c r="M85" s="329">
        <f>F$61</f>
        <v>0.3</v>
      </c>
      <c r="N85" s="344">
        <f>C15*(1+M85)*C18</f>
        <v>111652.9596</v>
      </c>
      <c r="O85" s="344">
        <f>C26*(1-L85)*N85</f>
        <v>0</v>
      </c>
      <c r="P85" s="344">
        <f>(1-C26)*(1-L85)*N85</f>
        <v>0</v>
      </c>
      <c r="Q85" s="344">
        <f>C31*N85+C32*O85</f>
        <v>1116.5295960000001</v>
      </c>
      <c r="R85" s="344">
        <f>(-C28*O85-C29*(P85+Q85)+C30-G27-C32*O85/5)*(1-C11)</f>
        <v>183.05358136340638</v>
      </c>
      <c r="S85" s="344">
        <f>C9+C20+R85</f>
        <v>21138.352704693403</v>
      </c>
      <c r="T85" s="344">
        <f>C8+L85*N85/C7</f>
        <v>5969.611363</v>
      </c>
      <c r="U85" s="345">
        <f>S85/T85/C10-1</f>
        <v>-0.1256303603163561</v>
      </c>
    </row>
    <row r="86" spans="12:21" x14ac:dyDescent="0.25">
      <c r="L86" s="329">
        <f>$B66</f>
        <v>1</v>
      </c>
      <c r="M86" s="329">
        <f>G$61</f>
        <v>0.4</v>
      </c>
      <c r="N86" s="344">
        <f>C15*(1+M86)*C18</f>
        <v>120241.64879999998</v>
      </c>
      <c r="O86" s="344">
        <f>C26*(1-L86)*N86</f>
        <v>0</v>
      </c>
      <c r="P86" s="344">
        <f>(1-C26)*(1-L86)*N86</f>
        <v>0</v>
      </c>
      <c r="Q86" s="344">
        <f>C31*N86+C32*O86</f>
        <v>1202.4164879999998</v>
      </c>
      <c r="R86" s="344">
        <f>(-C28*O86-C29*(P86+Q86)+C30-G27-C32*O86/5)*(1-C11)</f>
        <v>174.48077992982226</v>
      </c>
      <c r="S86" s="344">
        <f>C9+C20+R86</f>
        <v>21129.77990325982</v>
      </c>
      <c r="T86" s="344">
        <f>C8+L86*N86/C7</f>
        <v>6208.1860629999992</v>
      </c>
      <c r="U86" s="345">
        <f>S86/T86/C10-1</f>
        <v>-0.15957253526716442</v>
      </c>
    </row>
  </sheetData>
  <mergeCells count="9">
    <mergeCell ref="B76:J76"/>
    <mergeCell ref="B71:J71"/>
    <mergeCell ref="B75:J75"/>
    <mergeCell ref="F57:J57"/>
    <mergeCell ref="B73:J73"/>
    <mergeCell ref="B74:J74"/>
    <mergeCell ref="B70:J70"/>
    <mergeCell ref="B72:J72"/>
    <mergeCell ref="B67:G6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67"/>
  <sheetViews>
    <sheetView showGridLines="0" workbookViewId="0">
      <selection activeCell="E12" sqref="E12"/>
    </sheetView>
  </sheetViews>
  <sheetFormatPr defaultRowHeight="15" x14ac:dyDescent="0.25"/>
  <cols>
    <col min="1" max="1" width="2" style="6" customWidth="1"/>
    <col min="2" max="2" width="38" style="6" customWidth="1"/>
    <col min="3" max="3" width="2" style="6" customWidth="1"/>
    <col min="4" max="7" width="16" style="6" customWidth="1"/>
    <col min="8" max="8" width="2" style="6" customWidth="1"/>
    <col min="9" max="9" width="46" style="6" customWidth="1"/>
    <col min="10" max="16384" width="9.140625" style="6"/>
  </cols>
  <sheetData>
    <row r="1" spans="2:9" ht="15.75" thickBot="1" x14ac:dyDescent="0.3"/>
    <row r="2" spans="2:9" s="51" customFormat="1" ht="15.75" customHeight="1" thickBot="1" x14ac:dyDescent="0.3">
      <c r="B2" s="52" t="s">
        <v>532</v>
      </c>
      <c r="C2" s="53"/>
      <c r="D2" s="53"/>
    </row>
    <row r="3" spans="2:9" x14ac:dyDescent="0.25">
      <c r="B3" s="312" t="s">
        <v>528</v>
      </c>
    </row>
    <row r="4" spans="2:9" x14ac:dyDescent="0.25">
      <c r="B4" s="45" t="s">
        <v>317</v>
      </c>
      <c r="D4" s="313" t="s">
        <v>531</v>
      </c>
      <c r="I4" s="312"/>
    </row>
    <row r="6" spans="2:9" x14ac:dyDescent="0.25">
      <c r="B6" s="308" t="s">
        <v>318</v>
      </c>
      <c r="C6" s="309"/>
      <c r="D6" s="309"/>
      <c r="E6" s="309"/>
      <c r="F6" s="309"/>
      <c r="G6" s="309"/>
    </row>
    <row r="7" spans="2:9" x14ac:dyDescent="0.25">
      <c r="B7" s="35" t="s">
        <v>105</v>
      </c>
      <c r="D7" s="313" t="s">
        <v>106</v>
      </c>
      <c r="E7" s="313" t="s">
        <v>319</v>
      </c>
      <c r="F7" s="313" t="s">
        <v>320</v>
      </c>
      <c r="G7" s="313" t="s">
        <v>321</v>
      </c>
    </row>
    <row r="8" spans="2:9" x14ac:dyDescent="0.25">
      <c r="B8" s="35" t="s">
        <v>322</v>
      </c>
      <c r="D8" s="313" t="s">
        <v>323</v>
      </c>
      <c r="E8" s="313" t="s">
        <v>324</v>
      </c>
      <c r="F8" s="313" t="s">
        <v>325</v>
      </c>
      <c r="G8" s="313" t="s">
        <v>326</v>
      </c>
    </row>
    <row r="9" spans="2:9" x14ac:dyDescent="0.25">
      <c r="B9" s="35" t="s">
        <v>327</v>
      </c>
      <c r="D9" s="313" t="s">
        <v>328</v>
      </c>
      <c r="E9" s="313" t="s">
        <v>328</v>
      </c>
      <c r="F9" s="313" t="s">
        <v>329</v>
      </c>
      <c r="G9" s="313" t="s">
        <v>330</v>
      </c>
    </row>
    <row r="10" spans="2:9" x14ac:dyDescent="0.25">
      <c r="B10" s="35" t="s">
        <v>331</v>
      </c>
      <c r="D10" s="313" t="s">
        <v>332</v>
      </c>
      <c r="E10" s="313" t="s">
        <v>333</v>
      </c>
      <c r="F10" s="313" t="s">
        <v>332</v>
      </c>
      <c r="G10" s="313" t="s">
        <v>332</v>
      </c>
    </row>
    <row r="11" spans="2:9" x14ac:dyDescent="0.25">
      <c r="B11" s="35" t="s">
        <v>334</v>
      </c>
      <c r="D11" s="322">
        <f>+DCF!H5</f>
        <v>36</v>
      </c>
      <c r="E11" s="323">
        <v>67.97</v>
      </c>
      <c r="F11" s="323">
        <v>124.1</v>
      </c>
      <c r="G11" s="323">
        <v>0.74</v>
      </c>
      <c r="I11" s="312" t="s">
        <v>529</v>
      </c>
    </row>
    <row r="12" spans="2:9" x14ac:dyDescent="0.25">
      <c r="B12" s="312" t="s">
        <v>335</v>
      </c>
      <c r="D12" s="324" t="s">
        <v>336</v>
      </c>
      <c r="E12" s="324" t="s">
        <v>336</v>
      </c>
      <c r="F12" s="324" t="s">
        <v>336</v>
      </c>
      <c r="G12" s="324" t="s">
        <v>336</v>
      </c>
    </row>
    <row r="14" spans="2:9" x14ac:dyDescent="0.25">
      <c r="B14" s="308" t="s">
        <v>337</v>
      </c>
      <c r="C14" s="309"/>
      <c r="D14" s="309"/>
      <c r="E14" s="309"/>
      <c r="F14" s="309"/>
      <c r="G14" s="309"/>
    </row>
    <row r="15" spans="2:9" x14ac:dyDescent="0.25">
      <c r="B15" s="35" t="s">
        <v>338</v>
      </c>
      <c r="D15" s="325">
        <f>+DCF!C72/1000000</f>
        <v>2868.1402629999998</v>
      </c>
      <c r="E15" s="326">
        <v>1263.5999999999999</v>
      </c>
      <c r="F15" s="326">
        <v>476</v>
      </c>
      <c r="G15" s="326">
        <v>8284</v>
      </c>
    </row>
    <row r="16" spans="2:9" x14ac:dyDescent="0.25">
      <c r="B16" s="35" t="s">
        <v>339</v>
      </c>
      <c r="D16" s="326">
        <v>0</v>
      </c>
      <c r="E16" s="326">
        <v>0</v>
      </c>
      <c r="F16" s="326">
        <v>0</v>
      </c>
      <c r="G16" s="326">
        <v>0</v>
      </c>
      <c r="I16" s="312"/>
    </row>
    <row r="17" spans="2:7" x14ac:dyDescent="0.25">
      <c r="B17" s="45" t="s">
        <v>340</v>
      </c>
      <c r="D17" s="327">
        <f>+D15+D16</f>
        <v>2868.1402629999998</v>
      </c>
      <c r="E17" s="327">
        <f>+E15+E16</f>
        <v>1263.5999999999999</v>
      </c>
      <c r="F17" s="327">
        <f>+F15+F16</f>
        <v>476</v>
      </c>
      <c r="G17" s="327">
        <f>+G15+G16</f>
        <v>8284</v>
      </c>
    </row>
    <row r="19" spans="2:7" x14ac:dyDescent="0.25">
      <c r="B19" s="308" t="s">
        <v>341</v>
      </c>
      <c r="C19" s="309"/>
      <c r="D19" s="309"/>
      <c r="E19" s="309"/>
      <c r="F19" s="309"/>
      <c r="G19" s="309"/>
    </row>
    <row r="20" spans="2:7" x14ac:dyDescent="0.25">
      <c r="B20" s="35" t="s">
        <v>342</v>
      </c>
      <c r="D20" s="320">
        <f>+(FSM!F79+FSM!F88+FSM!F83+FSM!F90)/1000000</f>
        <v>842.05469300000004</v>
      </c>
      <c r="E20" s="315">
        <v>30</v>
      </c>
      <c r="F20" s="315">
        <v>900</v>
      </c>
      <c r="G20" s="315">
        <v>1900</v>
      </c>
    </row>
    <row r="21" spans="2:7" x14ac:dyDescent="0.25">
      <c r="B21" s="35" t="s">
        <v>343</v>
      </c>
      <c r="D21" s="315">
        <v>0</v>
      </c>
      <c r="E21" s="315">
        <v>0</v>
      </c>
      <c r="F21" s="315">
        <v>0</v>
      </c>
      <c r="G21" s="315">
        <v>350</v>
      </c>
    </row>
    <row r="22" spans="2:7" x14ac:dyDescent="0.25">
      <c r="B22" s="35" t="s">
        <v>344</v>
      </c>
      <c r="D22" s="320">
        <f>+D20+D21-(DCF!C65/1000000)</f>
        <v>16941.003995999999</v>
      </c>
      <c r="E22" s="315">
        <v>15000</v>
      </c>
      <c r="F22" s="315">
        <v>4500</v>
      </c>
      <c r="G22" s="315">
        <v>894</v>
      </c>
    </row>
    <row r="23" spans="2:7" x14ac:dyDescent="0.25">
      <c r="B23" s="45" t="s">
        <v>345</v>
      </c>
      <c r="D23" s="328">
        <f>+D20+D21-D22</f>
        <v>-16098.949302999999</v>
      </c>
      <c r="E23" s="328">
        <f>+E20+E21-E22</f>
        <v>-14970</v>
      </c>
      <c r="F23" s="328">
        <f>+F20+F21-F22</f>
        <v>-3600</v>
      </c>
      <c r="G23" s="328">
        <f>+G20+G21-G22</f>
        <v>1356</v>
      </c>
    </row>
    <row r="25" spans="2:7" x14ac:dyDescent="0.25">
      <c r="B25" s="308" t="s">
        <v>346</v>
      </c>
      <c r="C25" s="309"/>
      <c r="D25" s="309"/>
      <c r="E25" s="309"/>
      <c r="F25" s="309"/>
      <c r="G25" s="309"/>
    </row>
    <row r="26" spans="2:7" x14ac:dyDescent="0.25">
      <c r="B26" s="45" t="s">
        <v>347</v>
      </c>
      <c r="D26" s="328">
        <f>+D11*D17</f>
        <v>103253.049468</v>
      </c>
      <c r="E26" s="328">
        <f>+E11*E17</f>
        <v>85886.891999999993</v>
      </c>
      <c r="F26" s="328">
        <f>+F11*F17</f>
        <v>59071.6</v>
      </c>
      <c r="G26" s="328">
        <f>+G11*G17</f>
        <v>6130.16</v>
      </c>
    </row>
    <row r="27" spans="2:7" x14ac:dyDescent="0.25">
      <c r="B27" s="45" t="s">
        <v>348</v>
      </c>
      <c r="D27" s="317">
        <f>+D26+D23</f>
        <v>87154.100164999996</v>
      </c>
      <c r="E27" s="317">
        <f>+E26+E23</f>
        <v>70916.891999999993</v>
      </c>
      <c r="F27" s="317">
        <f>+F26+F23</f>
        <v>55471.6</v>
      </c>
      <c r="G27" s="317">
        <f>+G26+G23</f>
        <v>7486.16</v>
      </c>
    </row>
    <row r="29" spans="2:7" x14ac:dyDescent="0.25">
      <c r="B29" s="308" t="s">
        <v>349</v>
      </c>
      <c r="C29" s="309"/>
      <c r="D29" s="309"/>
      <c r="E29" s="309"/>
      <c r="F29" s="309"/>
      <c r="G29" s="309"/>
    </row>
    <row r="30" spans="2:7" x14ac:dyDescent="0.25">
      <c r="B30" s="312" t="s">
        <v>350</v>
      </c>
      <c r="D30" s="324" t="s">
        <v>351</v>
      </c>
      <c r="E30" s="324" t="s">
        <v>352</v>
      </c>
      <c r="F30" s="324" t="s">
        <v>351</v>
      </c>
      <c r="G30" s="324" t="s">
        <v>351</v>
      </c>
    </row>
    <row r="31" spans="2:7" x14ac:dyDescent="0.25">
      <c r="B31" s="35" t="s">
        <v>19</v>
      </c>
      <c r="D31" s="320">
        <f>+FSM!F16/1000000</f>
        <v>26844.075575999999</v>
      </c>
      <c r="E31" s="315">
        <v>22920</v>
      </c>
      <c r="F31" s="315">
        <v>13070</v>
      </c>
      <c r="G31" s="315">
        <v>2820</v>
      </c>
    </row>
    <row r="32" spans="2:7" x14ac:dyDescent="0.25">
      <c r="B32" s="35" t="s">
        <v>21</v>
      </c>
      <c r="D32" s="320">
        <f>+FSM!F37/1000000</f>
        <v>15279.05955</v>
      </c>
      <c r="E32" s="315">
        <v>10300</v>
      </c>
      <c r="F32" s="315">
        <v>5300</v>
      </c>
      <c r="G32" s="315">
        <v>1020</v>
      </c>
    </row>
    <row r="33" spans="2:7" x14ac:dyDescent="0.25">
      <c r="B33" s="35" t="s">
        <v>23</v>
      </c>
      <c r="D33" s="320">
        <f>+FSM!F26/1000000</f>
        <v>12960.33052</v>
      </c>
      <c r="E33" s="315">
        <v>9300</v>
      </c>
      <c r="F33" s="315">
        <v>4200</v>
      </c>
      <c r="G33" s="315">
        <v>650</v>
      </c>
    </row>
    <row r="34" spans="2:7" x14ac:dyDescent="0.25">
      <c r="B34" s="35" t="s">
        <v>182</v>
      </c>
      <c r="D34" s="320">
        <f>+FSM!F35/1000000</f>
        <v>11296.540287</v>
      </c>
      <c r="E34" s="315">
        <v>9340</v>
      </c>
      <c r="F34" s="315">
        <v>4320</v>
      </c>
      <c r="G34" s="315">
        <v>325</v>
      </c>
    </row>
    <row r="35" spans="2:7" x14ac:dyDescent="0.25">
      <c r="B35" s="312" t="s">
        <v>353</v>
      </c>
      <c r="D35" s="329">
        <f>+D32/D31</f>
        <v>0.56917808574716855</v>
      </c>
      <c r="E35" s="329">
        <f>+E32/E31</f>
        <v>0.44938917975567189</v>
      </c>
      <c r="F35" s="329">
        <f>+F32/F31</f>
        <v>0.40550879877582252</v>
      </c>
      <c r="G35" s="329">
        <f>+G32/G31</f>
        <v>0.36170212765957449</v>
      </c>
    </row>
    <row r="36" spans="2:7" x14ac:dyDescent="0.25">
      <c r="B36" s="312" t="s">
        <v>354</v>
      </c>
      <c r="D36" s="324"/>
      <c r="E36" s="324"/>
      <c r="F36" s="324"/>
      <c r="G36" s="324"/>
    </row>
    <row r="38" spans="2:7" x14ac:dyDescent="0.25">
      <c r="B38" s="308" t="s">
        <v>355</v>
      </c>
      <c r="C38" s="309"/>
      <c r="D38" s="309"/>
      <c r="E38" s="309"/>
      <c r="F38" s="309"/>
      <c r="G38" s="309"/>
    </row>
    <row r="39" spans="2:7" x14ac:dyDescent="0.25">
      <c r="B39" s="35" t="s">
        <v>356</v>
      </c>
      <c r="D39" s="318">
        <f>IFERROR(D27/D31,"NM")</f>
        <v>3.246679138503108</v>
      </c>
      <c r="E39" s="318">
        <f>IFERROR(E27/E31,"NM")</f>
        <v>3.0941052356020937</v>
      </c>
      <c r="F39" s="318">
        <f>IFERROR(F27/F31,"NM")</f>
        <v>4.2441928079571536</v>
      </c>
      <c r="G39" s="318">
        <f>IFERROR(G27/G31,"NM")</f>
        <v>2.6546666666666665</v>
      </c>
    </row>
    <row r="40" spans="2:7" x14ac:dyDescent="0.25">
      <c r="B40" s="45" t="s">
        <v>357</v>
      </c>
      <c r="D40" s="319">
        <f>IFERROR(D27/D32,"NM")</f>
        <v>5.7041534447714088</v>
      </c>
      <c r="E40" s="319">
        <f>IFERROR(E27/E32,"NM")</f>
        <v>6.8851351456310672</v>
      </c>
      <c r="F40" s="319">
        <f>IFERROR(F27/F32,"NM")</f>
        <v>10.46633962264151</v>
      </c>
      <c r="G40" s="319">
        <f>IFERROR(G27/G32,"NM")</f>
        <v>7.3393725490196076</v>
      </c>
    </row>
    <row r="41" spans="2:7" x14ac:dyDescent="0.25">
      <c r="B41" s="35" t="s">
        <v>358</v>
      </c>
      <c r="D41" s="318">
        <f>IFERROR(D27/D33,"NM")</f>
        <v>6.7246819076493738</v>
      </c>
      <c r="E41" s="318">
        <f>IFERROR(E27/E33,"NM")</f>
        <v>7.6254722580645149</v>
      </c>
      <c r="F41" s="318">
        <f>IFERROR(F27/F33,"NM")</f>
        <v>13.20752380952381</v>
      </c>
      <c r="G41" s="318">
        <f>IFERROR(G27/G33,"NM")</f>
        <v>11.51716923076923</v>
      </c>
    </row>
    <row r="42" spans="2:7" x14ac:dyDescent="0.25">
      <c r="B42" s="45" t="s">
        <v>359</v>
      </c>
      <c r="D42" s="319">
        <f>IFERROR(D26/D34,"NM")</f>
        <v>9.1402364657454527</v>
      </c>
      <c r="E42" s="319">
        <f>IFERROR(E26/E34,"NM")</f>
        <v>9.1955987152034258</v>
      </c>
      <c r="F42" s="319">
        <f>IFERROR(F26/F34,"NM")</f>
        <v>13.673981481481482</v>
      </c>
      <c r="G42" s="319">
        <f>IFERROR(G26/G34,"NM")</f>
        <v>18.86203076923077</v>
      </c>
    </row>
    <row r="44" spans="2:7" x14ac:dyDescent="0.25">
      <c r="B44" s="308" t="s">
        <v>360</v>
      </c>
      <c r="C44" s="309"/>
      <c r="D44" s="309"/>
      <c r="E44" s="309"/>
      <c r="F44" s="309"/>
      <c r="G44" s="309"/>
    </row>
    <row r="45" spans="2:7" x14ac:dyDescent="0.25">
      <c r="D45" s="45" t="s">
        <v>361</v>
      </c>
      <c r="E45" s="45" t="s">
        <v>362</v>
      </c>
      <c r="F45" s="45" t="s">
        <v>363</v>
      </c>
      <c r="G45" s="45" t="s">
        <v>364</v>
      </c>
    </row>
    <row r="46" spans="2:7" x14ac:dyDescent="0.25">
      <c r="B46" s="35" t="s">
        <v>365</v>
      </c>
      <c r="D46" s="318">
        <f>IFERROR(AVERAGE(E39:G39),"NM")</f>
        <v>3.330988236741971</v>
      </c>
      <c r="E46" s="318">
        <f>IFERROR(AVERAGE(E40:G40),"NM")</f>
        <v>8.2302824390973957</v>
      </c>
      <c r="F46" s="318">
        <f>IFERROR(AVERAGE(E41:G41),"NM")</f>
        <v>10.78338843278585</v>
      </c>
      <c r="G46" s="318">
        <f>IFERROR(AVERAGE(E42:G42),"NM")</f>
        <v>13.91053698863856</v>
      </c>
    </row>
    <row r="47" spans="2:7" x14ac:dyDescent="0.25">
      <c r="B47" s="45" t="s">
        <v>366</v>
      </c>
      <c r="D47" s="319">
        <f>IFERROR(MEDIAN(E39:G39),"NM")</f>
        <v>3.0941052356020937</v>
      </c>
      <c r="E47" s="319">
        <f>IFERROR(MEDIAN(E40:G40),"NM")</f>
        <v>7.3393725490196076</v>
      </c>
      <c r="F47" s="319">
        <f>IFERROR(MEDIAN(E41:G41),"NM")</f>
        <v>11.51716923076923</v>
      </c>
      <c r="G47" s="319">
        <f>IFERROR(MEDIAN(E42:G42),"NM")</f>
        <v>13.673981481481482</v>
      </c>
    </row>
    <row r="48" spans="2:7" x14ac:dyDescent="0.25">
      <c r="B48" s="35" t="s">
        <v>100</v>
      </c>
      <c r="D48" s="318">
        <f>IFERROR(MAX(E39:G39),"NM")</f>
        <v>4.2441928079571536</v>
      </c>
      <c r="E48" s="318">
        <f>IFERROR(MAX(E40:G40),"NM")</f>
        <v>10.46633962264151</v>
      </c>
      <c r="F48" s="318">
        <f>IFERROR(MAX(E41:G41),"NM")</f>
        <v>13.20752380952381</v>
      </c>
      <c r="G48" s="318">
        <f>IFERROR(MAX(E42:G42),"NM")</f>
        <v>18.86203076923077</v>
      </c>
    </row>
    <row r="49" spans="2:7" x14ac:dyDescent="0.25">
      <c r="B49" s="35" t="s">
        <v>98</v>
      </c>
      <c r="D49" s="318">
        <f>IFERROR(MIN(E39:G39),"NM")</f>
        <v>2.6546666666666665</v>
      </c>
      <c r="E49" s="318">
        <f>IFERROR(MIN(E40:G40),"NM")</f>
        <v>6.8851351456310672</v>
      </c>
      <c r="F49" s="318">
        <f>IFERROR(MIN(E41:G41),"NM")</f>
        <v>7.6254722580645149</v>
      </c>
      <c r="G49" s="318">
        <f>IFERROR(MIN(E42:G42),"NM")</f>
        <v>9.1955987152034258</v>
      </c>
    </row>
    <row r="51" spans="2:7" x14ac:dyDescent="0.25">
      <c r="B51" s="308" t="s">
        <v>367</v>
      </c>
      <c r="C51" s="309"/>
      <c r="D51" s="309"/>
      <c r="E51" s="309"/>
      <c r="F51" s="309"/>
      <c r="G51" s="309"/>
    </row>
    <row r="52" spans="2:7" x14ac:dyDescent="0.25">
      <c r="B52" s="45" t="s">
        <v>368</v>
      </c>
    </row>
    <row r="53" spans="2:7" x14ac:dyDescent="0.25">
      <c r="B53" s="35" t="s">
        <v>369</v>
      </c>
      <c r="D53" s="318">
        <f>+E47</f>
        <v>7.3393725490196076</v>
      </c>
    </row>
    <row r="54" spans="2:7" x14ac:dyDescent="0.25">
      <c r="B54" s="35" t="s">
        <v>370</v>
      </c>
      <c r="D54" s="316">
        <f>+D32</f>
        <v>15279.05955</v>
      </c>
    </row>
    <row r="55" spans="2:7" x14ac:dyDescent="0.25">
      <c r="B55" s="35" t="s">
        <v>371</v>
      </c>
      <c r="D55" s="316">
        <f>+D53*D54</f>
        <v>112138.71023610588</v>
      </c>
    </row>
    <row r="56" spans="2:7" x14ac:dyDescent="0.25">
      <c r="B56" s="35" t="s">
        <v>372</v>
      </c>
      <c r="D56" s="316">
        <f>-D23</f>
        <v>16098.949302999999</v>
      </c>
    </row>
    <row r="57" spans="2:7" x14ac:dyDescent="0.25">
      <c r="B57" s="35" t="s">
        <v>373</v>
      </c>
      <c r="D57" s="316">
        <f>+D55+D56</f>
        <v>128237.65953910588</v>
      </c>
    </row>
    <row r="58" spans="2:7" x14ac:dyDescent="0.25">
      <c r="B58" s="45" t="s">
        <v>374</v>
      </c>
      <c r="D58" s="321">
        <f>+D57/D17</f>
        <v>44.711083761633276</v>
      </c>
    </row>
    <row r="60" spans="2:7" x14ac:dyDescent="0.25">
      <c r="B60" s="45" t="s">
        <v>375</v>
      </c>
    </row>
    <row r="61" spans="2:7" x14ac:dyDescent="0.25">
      <c r="B61" s="35" t="s">
        <v>376</v>
      </c>
      <c r="D61" s="318">
        <f>+G47</f>
        <v>13.673981481481482</v>
      </c>
    </row>
    <row r="62" spans="2:7" x14ac:dyDescent="0.25">
      <c r="B62" s="35" t="s">
        <v>377</v>
      </c>
      <c r="D62" s="316">
        <f>+D34</f>
        <v>11296.540287</v>
      </c>
    </row>
    <row r="63" spans="2:7" x14ac:dyDescent="0.25">
      <c r="B63" s="45" t="s">
        <v>374</v>
      </c>
      <c r="D63" s="321">
        <f>+D61*D62/D17</f>
        <v>53.856739393797042</v>
      </c>
    </row>
    <row r="65" spans="2:4" x14ac:dyDescent="0.25">
      <c r="B65" s="45" t="s">
        <v>378</v>
      </c>
    </row>
    <row r="66" spans="2:4" x14ac:dyDescent="0.25">
      <c r="B66" s="35" t="s">
        <v>379</v>
      </c>
      <c r="D66" s="318">
        <f>+E40</f>
        <v>6.8851351456310672</v>
      </c>
    </row>
    <row r="67" spans="2:4" x14ac:dyDescent="0.25">
      <c r="B67" s="45" t="s">
        <v>374</v>
      </c>
      <c r="D67" s="321">
        <f>(D66*D32-D23)/D17</f>
        <v>42.291285669558278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FSM</vt:lpstr>
      <vt:lpstr>DCF</vt:lpstr>
      <vt:lpstr>WACC</vt:lpstr>
      <vt:lpstr>Trading Comps "Subjective"</vt:lpstr>
      <vt:lpstr>Transaction Comps</vt:lpstr>
      <vt:lpstr>Accretion Dilution</vt:lpstr>
      <vt:lpstr>Trading Comps</vt:lpstr>
      <vt:lpstr>FSM!Company_Name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WAEL</dc:creator>
  <cp:lastModifiedBy>Ahmed Wael</cp:lastModifiedBy>
  <cp:revision>0</cp:revision>
  <dcterms:created xsi:type="dcterms:W3CDTF">2015-06-05T18:17:20Z</dcterms:created>
  <dcterms:modified xsi:type="dcterms:W3CDTF">2026-07-08T02:57:09Z</dcterms:modified>
  <dc:language>en-US</dc:language>
</cp:coreProperties>
</file>