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Qassim Cement\"/>
    </mc:Choice>
  </mc:AlternateContent>
  <xr:revisionPtr revIDLastSave="0" documentId="13_ncr:1_{B078D759-65BB-45F1-90AA-CF5DF24903AB}" xr6:coauthVersionLast="47" xr6:coauthVersionMax="47" xr10:uidLastSave="{00000000-0000-0000-0000-000000000000}"/>
  <bookViews>
    <workbookView xWindow="-20610" yWindow="1845" windowWidth="20730" windowHeight="11160" tabRatio="500" xr2:uid="{00000000-000D-0000-FFFF-FFFF00000000}"/>
  </bookViews>
  <sheets>
    <sheet name="FSM" sheetId="4" r:id="rId1"/>
    <sheet name="DCF" sheetId="2" r:id="rId2"/>
    <sheet name="WACC" sheetId="3" r:id="rId3"/>
  </sheets>
  <definedNames>
    <definedName name="CIQWBGuid" localSheetId="1" hidden="1">"DCF_complete.xlsx"</definedName>
    <definedName name="CIQWBGuid" localSheetId="2" hidden="1">"DCF_complete.xlsx"</definedName>
    <definedName name="CIQWBGuid" hidden="1">"a611639b-bab1-425e-aaa5-008c326fdfdb"</definedName>
    <definedName name="Company_Name" localSheetId="0">FSM!$D$5</definedName>
    <definedName name="Company_Name">#REF!</definedName>
    <definedName name="Hist_Yr" localSheetId="0">FSM!#REF!</definedName>
    <definedName name="Hist_Yr">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1" hidden="1">43549.6880671296</definedName>
    <definedName name="IQ_NAMES_REVISION_DATE_" localSheetId="2" hidden="1">43549.6880671296</definedName>
    <definedName name="IQ_NAMES_REVISION_DATE_" hidden="1">43588.5561574074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LNK841c85bef3244d5c8fb6b3f84988d79e" localSheetId="1" hidden="1">#REF!</definedName>
    <definedName name="MLNK841c85bef3244d5c8fb6b3f84988d79e" localSheetId="2" hidden="1">#REF!</definedName>
    <definedName name="MLNK841c85bef3244d5c8fb6b3f84988d79e" hidden="1">#REF!</definedName>
    <definedName name="MLNKa7775792bf444a4785f8ed5c82461a24" localSheetId="1" hidden="1">#REF!</definedName>
    <definedName name="MLNKa7775792bf444a4785f8ed5c82461a24" localSheetId="2" hidden="1">#REF!</definedName>
    <definedName name="MLNKa7775792bf444a4785f8ed5c82461a24" hidden="1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261" i="4" l="1"/>
  <c r="I261" i="4" s="1"/>
  <c r="J261" i="4" s="1"/>
  <c r="K261" i="4" s="1"/>
  <c r="C11" i="3"/>
  <c r="F291" i="4"/>
  <c r="F292" i="4" s="1"/>
  <c r="F297" i="4" s="1"/>
  <c r="E291" i="4"/>
  <c r="D291" i="4"/>
  <c r="D292" i="4" s="1"/>
  <c r="D297" i="4" s="1"/>
  <c r="J42" i="4"/>
  <c r="K42" i="4" s="1"/>
  <c r="C13" i="3"/>
  <c r="H156" i="4"/>
  <c r="I156" i="4" s="1"/>
  <c r="J156" i="4" s="1"/>
  <c r="K156" i="4" s="1"/>
  <c r="D72" i="2"/>
  <c r="C72" i="2"/>
  <c r="I61" i="2"/>
  <c r="C18" i="3" s="1"/>
  <c r="C64" i="2"/>
  <c r="C63" i="2"/>
  <c r="C62" i="2"/>
  <c r="C57" i="2"/>
  <c r="E292" i="4" l="1"/>
  <c r="E297" i="4" s="1"/>
  <c r="C65" i="2"/>
  <c r="C19" i="3"/>
  <c r="E18" i="3" s="1"/>
  <c r="D70" i="2" l="1"/>
  <c r="C70" i="2"/>
  <c r="E19" i="3"/>
  <c r="D14" i="2"/>
  <c r="B3" i="2"/>
  <c r="F81" i="4"/>
  <c r="E81" i="4"/>
  <c r="D81" i="4"/>
  <c r="G142" i="4"/>
  <c r="F261" i="4" l="1"/>
  <c r="F257" i="4" s="1"/>
  <c r="E261" i="4"/>
  <c r="E257" i="4" s="1"/>
  <c r="D261" i="4"/>
  <c r="D257" i="4" s="1"/>
  <c r="E280" i="4"/>
  <c r="E272" i="4"/>
  <c r="F282" i="4"/>
  <c r="G279" i="4" s="1"/>
  <c r="E282" i="4"/>
  <c r="F279" i="4" s="1"/>
  <c r="D282" i="4"/>
  <c r="E279" i="4" s="1"/>
  <c r="E285" i="4" s="1"/>
  <c r="F273" i="4"/>
  <c r="G273" i="4" s="1"/>
  <c r="E273" i="4"/>
  <c r="F272" i="4"/>
  <c r="G272" i="4" s="1"/>
  <c r="D273" i="4"/>
  <c r="D272" i="4"/>
  <c r="F270" i="4"/>
  <c r="G267" i="4" s="1"/>
  <c r="E270" i="4"/>
  <c r="F267" i="4" s="1"/>
  <c r="D270" i="4"/>
  <c r="E267" i="4" s="1"/>
  <c r="D251" i="4"/>
  <c r="D246" i="4"/>
  <c r="D250" i="4" s="1"/>
  <c r="E246" i="4"/>
  <c r="F246" i="4"/>
  <c r="F248" i="4"/>
  <c r="G245" i="4" s="1"/>
  <c r="E248" i="4"/>
  <c r="F245" i="4" s="1"/>
  <c r="F251" i="4" s="1"/>
  <c r="G251" i="4" s="1"/>
  <c r="D248" i="4"/>
  <c r="E245" i="4" s="1"/>
  <c r="E251" i="4" s="1"/>
  <c r="F197" i="4"/>
  <c r="E197" i="4"/>
  <c r="D197" i="4"/>
  <c r="F237" i="4"/>
  <c r="G237" i="4" s="1"/>
  <c r="E237" i="4"/>
  <c r="D237" i="4"/>
  <c r="F236" i="4"/>
  <c r="G235" i="4" s="1"/>
  <c r="E236" i="4"/>
  <c r="F235" i="4" s="1"/>
  <c r="D236" i="4"/>
  <c r="E235" i="4" s="1"/>
  <c r="F239" i="4"/>
  <c r="E239" i="4"/>
  <c r="F238" i="4"/>
  <c r="E238" i="4"/>
  <c r="D239" i="4"/>
  <c r="D238" i="4"/>
  <c r="G62" i="4"/>
  <c r="H62" i="4" s="1"/>
  <c r="I62" i="4" s="1"/>
  <c r="J62" i="4" s="1"/>
  <c r="K62" i="4" s="1"/>
  <c r="F234" i="4"/>
  <c r="G231" i="4" s="1"/>
  <c r="E234" i="4"/>
  <c r="F231" i="4" s="1"/>
  <c r="D234" i="4"/>
  <c r="E231" i="4" s="1"/>
  <c r="F225" i="4"/>
  <c r="G225" i="4" s="1"/>
  <c r="E225" i="4"/>
  <c r="F224" i="4"/>
  <c r="G224" i="4" s="1"/>
  <c r="E224" i="4"/>
  <c r="F223" i="4"/>
  <c r="G220" i="4" s="1"/>
  <c r="E223" i="4"/>
  <c r="F220" i="4" s="1"/>
  <c r="D223" i="4"/>
  <c r="E220" i="4" s="1"/>
  <c r="G66" i="4"/>
  <c r="H66" i="4" s="1"/>
  <c r="I66" i="4" s="1"/>
  <c r="J66" i="4" s="1"/>
  <c r="K66" i="4" s="1"/>
  <c r="G65" i="4"/>
  <c r="H65" i="4" s="1"/>
  <c r="I65" i="4" s="1"/>
  <c r="J65" i="4" s="1"/>
  <c r="K65" i="4" s="1"/>
  <c r="G55" i="4"/>
  <c r="H55" i="4" s="1"/>
  <c r="I55" i="4" s="1"/>
  <c r="J55" i="4" s="1"/>
  <c r="K55" i="4" s="1"/>
  <c r="G54" i="4"/>
  <c r="H54" i="4" s="1"/>
  <c r="I54" i="4" s="1"/>
  <c r="J54" i="4" s="1"/>
  <c r="K54" i="4" s="1"/>
  <c r="G64" i="4"/>
  <c r="H64" i="4" s="1"/>
  <c r="I64" i="4" s="1"/>
  <c r="J64" i="4" s="1"/>
  <c r="K64" i="4" s="1"/>
  <c r="G96" i="4"/>
  <c r="H96" i="4" s="1"/>
  <c r="I96" i="4" s="1"/>
  <c r="J96" i="4" s="1"/>
  <c r="K96" i="4" s="1"/>
  <c r="G95" i="4"/>
  <c r="H95" i="4" s="1"/>
  <c r="I95" i="4" s="1"/>
  <c r="J95" i="4" s="1"/>
  <c r="K95" i="4" s="1"/>
  <c r="G94" i="4"/>
  <c r="H94" i="4" s="1"/>
  <c r="I94" i="4" s="1"/>
  <c r="J94" i="4" s="1"/>
  <c r="K94" i="4" s="1"/>
  <c r="G93" i="4"/>
  <c r="H93" i="4" s="1"/>
  <c r="I93" i="4" s="1"/>
  <c r="J93" i="4" s="1"/>
  <c r="K93" i="4" s="1"/>
  <c r="G92" i="4"/>
  <c r="H92" i="4" s="1"/>
  <c r="I92" i="4" s="1"/>
  <c r="F212" i="4"/>
  <c r="G208" i="4" s="1"/>
  <c r="E212" i="4"/>
  <c r="F208" i="4" s="1"/>
  <c r="D212" i="4"/>
  <c r="E208" i="4" s="1"/>
  <c r="H199" i="4"/>
  <c r="I199" i="4" s="1"/>
  <c r="J199" i="4" s="1"/>
  <c r="K199" i="4" s="1"/>
  <c r="G75" i="4"/>
  <c r="G197" i="4" s="1"/>
  <c r="G239" i="4" l="1"/>
  <c r="H239" i="4" s="1"/>
  <c r="H75" i="4"/>
  <c r="G135" i="4"/>
  <c r="F284" i="4"/>
  <c r="F285" i="4"/>
  <c r="G285" i="4" s="1"/>
  <c r="E284" i="4"/>
  <c r="J92" i="4"/>
  <c r="H284" i="4"/>
  <c r="I284" i="4" s="1"/>
  <c r="J284" i="4" s="1"/>
  <c r="K284" i="4" s="1"/>
  <c r="G280" i="4"/>
  <c r="H272" i="4"/>
  <c r="I272" i="4" s="1"/>
  <c r="H273" i="4"/>
  <c r="I273" i="4" s="1"/>
  <c r="J273" i="4" s="1"/>
  <c r="K273" i="4" s="1"/>
  <c r="F250" i="4"/>
  <c r="E250" i="4"/>
  <c r="H251" i="4"/>
  <c r="I251" i="4" s="1"/>
  <c r="J251" i="4" s="1"/>
  <c r="K251" i="4" s="1"/>
  <c r="G247" i="4"/>
  <c r="G122" i="4" s="1"/>
  <c r="G238" i="4"/>
  <c r="H238" i="4" s="1"/>
  <c r="H237" i="4"/>
  <c r="H225" i="4"/>
  <c r="I225" i="4" s="1"/>
  <c r="J225" i="4" s="1"/>
  <c r="K225" i="4" s="1"/>
  <c r="H224" i="4"/>
  <c r="I224" i="4" s="1"/>
  <c r="J224" i="4" s="1"/>
  <c r="K224" i="4" s="1"/>
  <c r="G250" i="4" l="1"/>
  <c r="H250" i="4" s="1"/>
  <c r="I250" i="4" s="1"/>
  <c r="J250" i="4" s="1"/>
  <c r="K250" i="4" s="1"/>
  <c r="I75" i="4"/>
  <c r="I197" i="4" s="1"/>
  <c r="H197" i="4"/>
  <c r="H135" i="4"/>
  <c r="G281" i="4"/>
  <c r="G282" i="4" s="1"/>
  <c r="H285" i="4"/>
  <c r="I237" i="4"/>
  <c r="K92" i="4"/>
  <c r="J272" i="4"/>
  <c r="I239" i="4"/>
  <c r="I238" i="4"/>
  <c r="I135" i="4" l="1"/>
  <c r="J75" i="4"/>
  <c r="J197" i="4" s="1"/>
  <c r="G246" i="4"/>
  <c r="G248" i="4" s="1"/>
  <c r="H245" i="4" s="1"/>
  <c r="J237" i="4"/>
  <c r="I285" i="4"/>
  <c r="H279" i="4"/>
  <c r="H280" i="4" s="1"/>
  <c r="G84" i="4"/>
  <c r="G113" i="4" s="1"/>
  <c r="K272" i="4"/>
  <c r="J239" i="4"/>
  <c r="J238" i="4"/>
  <c r="K75" i="4" l="1"/>
  <c r="K197" i="4" s="1"/>
  <c r="G114" i="4"/>
  <c r="J135" i="4"/>
  <c r="G85" i="4"/>
  <c r="K135" i="4"/>
  <c r="K237" i="4"/>
  <c r="H281" i="4"/>
  <c r="H282" i="4" s="1"/>
  <c r="J285" i="4"/>
  <c r="K285" i="4" s="1"/>
  <c r="H247" i="4"/>
  <c r="H122" i="4" s="1"/>
  <c r="H246" i="4"/>
  <c r="K238" i="4"/>
  <c r="K239" i="4"/>
  <c r="H248" i="4" l="1"/>
  <c r="H85" i="4" s="1"/>
  <c r="H114" i="4"/>
  <c r="I279" i="4"/>
  <c r="H84" i="4"/>
  <c r="H113" i="4" s="1"/>
  <c r="I245" i="4" l="1"/>
  <c r="I247" i="4" s="1"/>
  <c r="I122" i="4" s="1"/>
  <c r="I280" i="4"/>
  <c r="I281" i="4"/>
  <c r="I246" i="4" l="1"/>
  <c r="I114" i="4" s="1"/>
  <c r="I282" i="4"/>
  <c r="I84" i="4" s="1"/>
  <c r="I113" i="4" s="1"/>
  <c r="I248" i="4" l="1"/>
  <c r="J245" i="4" s="1"/>
  <c r="J279" i="4"/>
  <c r="J280" i="4" s="1"/>
  <c r="J247" i="4"/>
  <c r="J122" i="4" s="1"/>
  <c r="J246" i="4"/>
  <c r="I85" i="4" l="1"/>
  <c r="J281" i="4"/>
  <c r="J282" i="4" s="1"/>
  <c r="K279" i="4" s="1"/>
  <c r="J248" i="4"/>
  <c r="J85" i="4" s="1"/>
  <c r="J114" i="4"/>
  <c r="J84" i="4" l="1"/>
  <c r="J113" i="4" s="1"/>
  <c r="K245" i="4"/>
  <c r="K246" i="4" s="1"/>
  <c r="K281" i="4"/>
  <c r="K280" i="4"/>
  <c r="K247" i="4" l="1"/>
  <c r="K122" i="4" s="1"/>
  <c r="K282" i="4"/>
  <c r="K84" i="4" s="1"/>
  <c r="K113" i="4" s="1"/>
  <c r="K248" i="4"/>
  <c r="K85" i="4" s="1"/>
  <c r="K114" i="4"/>
  <c r="F201" i="4"/>
  <c r="E201" i="4"/>
  <c r="D201" i="4"/>
  <c r="H195" i="4"/>
  <c r="G195" i="4"/>
  <c r="G198" i="4" s="1"/>
  <c r="F195" i="4"/>
  <c r="F198" i="4" s="1"/>
  <c r="E195" i="4"/>
  <c r="F178" i="4"/>
  <c r="E178" i="4"/>
  <c r="F177" i="4"/>
  <c r="E177" i="4"/>
  <c r="F176" i="4"/>
  <c r="F188" i="4" s="1"/>
  <c r="G188" i="4" s="1"/>
  <c r="E176" i="4"/>
  <c r="F172" i="4"/>
  <c r="E172" i="4"/>
  <c r="F171" i="4"/>
  <c r="F187" i="4" s="1"/>
  <c r="G187" i="4" s="1"/>
  <c r="E171" i="4"/>
  <c r="E187" i="4" s="1"/>
  <c r="F170" i="4"/>
  <c r="E170" i="4"/>
  <c r="D178" i="4"/>
  <c r="D177" i="4"/>
  <c r="D176" i="4"/>
  <c r="D172" i="4"/>
  <c r="D171" i="4"/>
  <c r="D187" i="4" s="1"/>
  <c r="D170" i="4"/>
  <c r="D186" i="4" s="1"/>
  <c r="D152" i="4"/>
  <c r="D156" i="4" s="1"/>
  <c r="E152" i="4"/>
  <c r="E156" i="4" s="1"/>
  <c r="F152" i="4"/>
  <c r="F156" i="4" s="1"/>
  <c r="D161" i="4"/>
  <c r="E161" i="4"/>
  <c r="F161" i="4"/>
  <c r="F157" i="4"/>
  <c r="G157" i="4" s="1"/>
  <c r="E157" i="4"/>
  <c r="D157" i="4"/>
  <c r="F154" i="4"/>
  <c r="G151" i="4" s="1"/>
  <c r="E154" i="4"/>
  <c r="F151" i="4" s="1"/>
  <c r="D154" i="4"/>
  <c r="E151" i="4" s="1"/>
  <c r="H21" i="4"/>
  <c r="I21" i="4" s="1"/>
  <c r="J21" i="4" s="1"/>
  <c r="K21" i="4" s="1"/>
  <c r="F42" i="4"/>
  <c r="E42" i="4"/>
  <c r="F41" i="4"/>
  <c r="G41" i="4" s="1"/>
  <c r="H41" i="4" s="1"/>
  <c r="I41" i="4" s="1"/>
  <c r="J41" i="4" s="1"/>
  <c r="K41" i="4" s="1"/>
  <c r="E41" i="4"/>
  <c r="F40" i="4"/>
  <c r="G40" i="4" s="1"/>
  <c r="H40" i="4" s="1"/>
  <c r="I40" i="4" s="1"/>
  <c r="J40" i="4" s="1"/>
  <c r="K40" i="4" s="1"/>
  <c r="E40" i="4"/>
  <c r="D42" i="4"/>
  <c r="D41" i="4"/>
  <c r="D40" i="4"/>
  <c r="G16" i="4"/>
  <c r="F199" i="4" l="1"/>
  <c r="G177" i="4"/>
  <c r="G77" i="4" s="1"/>
  <c r="G123" i="4" s="1"/>
  <c r="H187" i="4"/>
  <c r="G171" i="4"/>
  <c r="G52" i="4" s="1"/>
  <c r="G119" i="4" s="1"/>
  <c r="H188" i="4"/>
  <c r="I188" i="4" s="1"/>
  <c r="J188" i="4" s="1"/>
  <c r="K188" i="4" s="1"/>
  <c r="G178" i="4"/>
  <c r="G78" i="4" s="1"/>
  <c r="G112" i="4" s="1"/>
  <c r="G257" i="4"/>
  <c r="E14" i="2"/>
  <c r="E15" i="2" s="1"/>
  <c r="F162" i="4"/>
  <c r="F163" i="4"/>
  <c r="E162" i="4"/>
  <c r="E163" i="4"/>
  <c r="D162" i="4"/>
  <c r="D163" i="4"/>
  <c r="G233" i="4"/>
  <c r="G111" i="4" s="1"/>
  <c r="G232" i="4"/>
  <c r="G222" i="4"/>
  <c r="G221" i="4"/>
  <c r="G130" i="4" s="1"/>
  <c r="E198" i="4"/>
  <c r="F196" i="4"/>
  <c r="E196" i="4"/>
  <c r="G152" i="4"/>
  <c r="G201" i="4"/>
  <c r="G28" i="4" s="1"/>
  <c r="E173" i="4"/>
  <c r="G22" i="4"/>
  <c r="G172" i="4"/>
  <c r="G53" i="4" s="1"/>
  <c r="G120" i="4" s="1"/>
  <c r="G153" i="4"/>
  <c r="G109" i="4" s="1"/>
  <c r="H157" i="4"/>
  <c r="I157" i="4" s="1"/>
  <c r="J157" i="4" s="1"/>
  <c r="K157" i="4" s="1"/>
  <c r="D179" i="4"/>
  <c r="F173" i="4"/>
  <c r="E179" i="4"/>
  <c r="D188" i="4"/>
  <c r="D173" i="4"/>
  <c r="F179" i="4"/>
  <c r="E186" i="4"/>
  <c r="E188" i="4"/>
  <c r="F186" i="4"/>
  <c r="G186" i="4" s="1"/>
  <c r="G19" i="4"/>
  <c r="H16" i="4"/>
  <c r="G20" i="4"/>
  <c r="H172" i="4" l="1"/>
  <c r="H257" i="4"/>
  <c r="F14" i="2"/>
  <c r="F15" i="2" s="1"/>
  <c r="I187" i="4"/>
  <c r="H171" i="4"/>
  <c r="G129" i="4"/>
  <c r="G131" i="4" s="1"/>
  <c r="E27" i="2"/>
  <c r="G110" i="4"/>
  <c r="G161" i="4"/>
  <c r="G162" i="4" s="1"/>
  <c r="G234" i="4"/>
  <c r="G63" i="4" s="1"/>
  <c r="G154" i="4"/>
  <c r="H151" i="4" s="1"/>
  <c r="G223" i="4"/>
  <c r="H220" i="4" s="1"/>
  <c r="H233" i="4"/>
  <c r="H111" i="4" s="1"/>
  <c r="H232" i="4"/>
  <c r="H222" i="4"/>
  <c r="H221" i="4"/>
  <c r="H130" i="4" s="1"/>
  <c r="F181" i="4"/>
  <c r="D32" i="2" s="1"/>
  <c r="D33" i="2" s="1"/>
  <c r="D181" i="4"/>
  <c r="D182" i="4" s="1"/>
  <c r="E181" i="4"/>
  <c r="E182" i="4" s="1"/>
  <c r="H201" i="4"/>
  <c r="H28" i="4" s="1"/>
  <c r="H186" i="4"/>
  <c r="H152" i="4"/>
  <c r="H53" i="4"/>
  <c r="H120" i="4" s="1"/>
  <c r="H177" i="4"/>
  <c r="H77" i="4" s="1"/>
  <c r="H123" i="4" s="1"/>
  <c r="H178" i="4"/>
  <c r="H78" i="4" s="1"/>
  <c r="H112" i="4" s="1"/>
  <c r="H153" i="4"/>
  <c r="I16" i="4"/>
  <c r="J16" i="4" s="1"/>
  <c r="H22" i="4"/>
  <c r="H20" i="4"/>
  <c r="H19" i="4"/>
  <c r="G61" i="4" l="1"/>
  <c r="J257" i="4"/>
  <c r="H14" i="2"/>
  <c r="J172" i="4"/>
  <c r="J53" i="4" s="1"/>
  <c r="I257" i="4"/>
  <c r="G14" i="2"/>
  <c r="I172" i="4"/>
  <c r="I53" i="4" s="1"/>
  <c r="I120" i="4" s="1"/>
  <c r="J187" i="4"/>
  <c r="I171" i="4"/>
  <c r="E28" i="2"/>
  <c r="H129" i="4"/>
  <c r="H131" i="4" s="1"/>
  <c r="F27" i="2"/>
  <c r="H109" i="4"/>
  <c r="G60" i="4"/>
  <c r="G236" i="4"/>
  <c r="G86" i="4" s="1"/>
  <c r="H110" i="4"/>
  <c r="H161" i="4"/>
  <c r="H162" i="4" s="1"/>
  <c r="H231" i="4"/>
  <c r="H234" i="4" s="1"/>
  <c r="H63" i="4" s="1"/>
  <c r="G163" i="4"/>
  <c r="E25" i="2" s="1"/>
  <c r="J232" i="4"/>
  <c r="J233" i="4"/>
  <c r="J111" i="4" s="1"/>
  <c r="I233" i="4"/>
  <c r="I111" i="4" s="1"/>
  <c r="I232" i="4"/>
  <c r="H223" i="4"/>
  <c r="J222" i="4"/>
  <c r="J221" i="4"/>
  <c r="J130" i="4" s="1"/>
  <c r="I221" i="4"/>
  <c r="I130" i="4" s="1"/>
  <c r="I222" i="4"/>
  <c r="F183" i="4"/>
  <c r="H154" i="4"/>
  <c r="F182" i="4"/>
  <c r="E183" i="4"/>
  <c r="J177" i="4"/>
  <c r="J77" i="4" s="1"/>
  <c r="J178" i="4"/>
  <c r="J78" i="4" s="1"/>
  <c r="I178" i="4"/>
  <c r="I78" i="4" s="1"/>
  <c r="I112" i="4" s="1"/>
  <c r="I177" i="4"/>
  <c r="I77" i="4" s="1"/>
  <c r="I123" i="4" s="1"/>
  <c r="I186" i="4"/>
  <c r="J152" i="4"/>
  <c r="J153" i="4"/>
  <c r="I152" i="4"/>
  <c r="I153" i="4"/>
  <c r="J22" i="4"/>
  <c r="J20" i="4"/>
  <c r="J19" i="4"/>
  <c r="I22" i="4"/>
  <c r="I20" i="4"/>
  <c r="I19" i="4"/>
  <c r="K16" i="4"/>
  <c r="K257" i="4" l="1"/>
  <c r="I14" i="2"/>
  <c r="K172" i="4"/>
  <c r="K53" i="4" s="1"/>
  <c r="K120" i="4" s="1"/>
  <c r="K187" i="4"/>
  <c r="K171" i="4" s="1"/>
  <c r="J171" i="4"/>
  <c r="I15" i="2"/>
  <c r="H15" i="2"/>
  <c r="G15" i="2"/>
  <c r="J129" i="4"/>
  <c r="J131" i="4" s="1"/>
  <c r="H27" i="2"/>
  <c r="F28" i="2"/>
  <c r="I129" i="4"/>
  <c r="I131" i="4" s="1"/>
  <c r="G27" i="2"/>
  <c r="J112" i="4"/>
  <c r="J120" i="4"/>
  <c r="J123" i="4"/>
  <c r="J109" i="4"/>
  <c r="G79" i="4"/>
  <c r="I109" i="4"/>
  <c r="I110" i="4"/>
  <c r="I161" i="4"/>
  <c r="I162" i="4" s="1"/>
  <c r="J110" i="4"/>
  <c r="J161" i="4"/>
  <c r="J162" i="4" s="1"/>
  <c r="H235" i="4"/>
  <c r="H163" i="4"/>
  <c r="F25" i="2" s="1"/>
  <c r="I151" i="4"/>
  <c r="I154" i="4" s="1"/>
  <c r="I60" i="4" s="1"/>
  <c r="H60" i="4"/>
  <c r="I220" i="4"/>
  <c r="H61" i="4"/>
  <c r="K232" i="4"/>
  <c r="K233" i="4"/>
  <c r="K111" i="4" s="1"/>
  <c r="I231" i="4"/>
  <c r="I234" i="4" s="1"/>
  <c r="I63" i="4" s="1"/>
  <c r="H236" i="4"/>
  <c r="K221" i="4"/>
  <c r="K130" i="4" s="1"/>
  <c r="K222" i="4"/>
  <c r="I223" i="4"/>
  <c r="K178" i="4"/>
  <c r="K78" i="4" s="1"/>
  <c r="K112" i="4" s="1"/>
  <c r="K177" i="4"/>
  <c r="K77" i="4" s="1"/>
  <c r="K123" i="4" s="1"/>
  <c r="J186" i="4"/>
  <c r="K152" i="4"/>
  <c r="K153" i="4"/>
  <c r="K22" i="4"/>
  <c r="K20" i="4"/>
  <c r="K19" i="4"/>
  <c r="I163" i="4" l="1"/>
  <c r="G25" i="2" s="1"/>
  <c r="G136" i="4"/>
  <c r="K129" i="4"/>
  <c r="K131" i="4" s="1"/>
  <c r="I27" i="2"/>
  <c r="G28" i="2"/>
  <c r="H28" i="2"/>
  <c r="K109" i="4"/>
  <c r="K110" i="4"/>
  <c r="K161" i="4"/>
  <c r="K162" i="4" s="1"/>
  <c r="J163" i="4"/>
  <c r="H25" i="2" s="1"/>
  <c r="J220" i="4"/>
  <c r="J223" i="4" s="1"/>
  <c r="I61" i="4"/>
  <c r="I67" i="4" s="1"/>
  <c r="H67" i="4"/>
  <c r="H79" i="4"/>
  <c r="H86" i="4"/>
  <c r="H87" i="4" s="1"/>
  <c r="J231" i="4"/>
  <c r="J234" i="4" s="1"/>
  <c r="J63" i="4" s="1"/>
  <c r="I236" i="4"/>
  <c r="I235" i="4"/>
  <c r="J151" i="4"/>
  <c r="J154" i="4" s="1"/>
  <c r="J60" i="4" s="1"/>
  <c r="K186" i="4"/>
  <c r="I28" i="2" l="1"/>
  <c r="H136" i="4"/>
  <c r="K163" i="4"/>
  <c r="I25" i="2" s="1"/>
  <c r="I79" i="4"/>
  <c r="I86" i="4"/>
  <c r="I87" i="4" s="1"/>
  <c r="K220" i="4"/>
  <c r="K223" i="4" s="1"/>
  <c r="K61" i="4" s="1"/>
  <c r="J61" i="4"/>
  <c r="J67" i="4" s="1"/>
  <c r="J235" i="4"/>
  <c r="K231" i="4"/>
  <c r="K234" i="4" s="1"/>
  <c r="J236" i="4"/>
  <c r="K151" i="4"/>
  <c r="K154" i="4" s="1"/>
  <c r="K60" i="4" s="1"/>
  <c r="I136" i="4" l="1"/>
  <c r="J79" i="4"/>
  <c r="J86" i="4"/>
  <c r="J87" i="4" s="1"/>
  <c r="K236" i="4"/>
  <c r="K63" i="4"/>
  <c r="K67" i="4" s="1"/>
  <c r="K235" i="4"/>
  <c r="J136" i="4" l="1"/>
  <c r="K79" i="4"/>
  <c r="K86" i="4"/>
  <c r="K87" i="4" s="1"/>
  <c r="K136" i="4" l="1"/>
  <c r="F38" i="4"/>
  <c r="E38" i="4"/>
  <c r="F98" i="4"/>
  <c r="E98" i="4"/>
  <c r="D98" i="4"/>
  <c r="G87" i="4"/>
  <c r="F87" i="4"/>
  <c r="E87" i="4"/>
  <c r="D87" i="4"/>
  <c r="D89" i="4" s="1"/>
  <c r="D100" i="4" s="1"/>
  <c r="G67" i="4"/>
  <c r="F67" i="4"/>
  <c r="E67" i="4"/>
  <c r="D67" i="4"/>
  <c r="F57" i="4"/>
  <c r="E57" i="4"/>
  <c r="D57" i="4"/>
  <c r="F18" i="4"/>
  <c r="E18" i="4"/>
  <c r="D18" i="4"/>
  <c r="F14" i="4"/>
  <c r="F13" i="4"/>
  <c r="C2" i="4"/>
  <c r="E304" i="4" l="1"/>
  <c r="E303" i="4"/>
  <c r="F304" i="4"/>
  <c r="F303" i="4"/>
  <c r="F276" i="4"/>
  <c r="F288" i="4"/>
  <c r="F277" i="4"/>
  <c r="F289" i="4"/>
  <c r="D304" i="4"/>
  <c r="D303" i="4"/>
  <c r="F264" i="4"/>
  <c r="F265" i="4"/>
  <c r="F89" i="4"/>
  <c r="F100" i="4" s="1"/>
  <c r="F69" i="4"/>
  <c r="D69" i="4"/>
  <c r="D102" i="4" s="1"/>
  <c r="E89" i="4"/>
  <c r="E100" i="4" s="1"/>
  <c r="E69" i="4"/>
  <c r="F167" i="4"/>
  <c r="F166" i="4"/>
  <c r="G14" i="4"/>
  <c r="D23" i="4"/>
  <c r="D300" i="4" s="1"/>
  <c r="D39" i="4"/>
  <c r="E23" i="4"/>
  <c r="E300" i="4" s="1"/>
  <c r="E39" i="4"/>
  <c r="F23" i="4"/>
  <c r="F39" i="4"/>
  <c r="G39" i="4" s="1"/>
  <c r="H39" i="4" s="1"/>
  <c r="I39" i="4" s="1"/>
  <c r="J39" i="4" s="1"/>
  <c r="K39" i="4" s="1"/>
  <c r="G13" i="4"/>
  <c r="E13" i="4"/>
  <c r="E14" i="4"/>
  <c r="F191" i="4"/>
  <c r="F192" i="4"/>
  <c r="F204" i="4"/>
  <c r="F205" i="4"/>
  <c r="F217" i="4"/>
  <c r="F218" i="4"/>
  <c r="F228" i="4"/>
  <c r="F229" i="4"/>
  <c r="F242" i="4"/>
  <c r="F243" i="4"/>
  <c r="F254" i="4"/>
  <c r="F255" i="4"/>
  <c r="F46" i="4"/>
  <c r="F47" i="4"/>
  <c r="F148" i="4"/>
  <c r="F149" i="4"/>
  <c r="D296" i="4" l="1"/>
  <c r="D313" i="4"/>
  <c r="D312" i="4"/>
  <c r="F296" i="4"/>
  <c r="F312" i="4"/>
  <c r="F313" i="4"/>
  <c r="E296" i="4"/>
  <c r="E313" i="4"/>
  <c r="E312" i="4"/>
  <c r="E277" i="4"/>
  <c r="E289" i="4"/>
  <c r="G277" i="4"/>
  <c r="G289" i="4"/>
  <c r="G276" i="4"/>
  <c r="G288" i="4"/>
  <c r="E276" i="4"/>
  <c r="E288" i="4"/>
  <c r="F300" i="4"/>
  <c r="D18" i="2"/>
  <c r="F29" i="4"/>
  <c r="F43" i="4" s="1"/>
  <c r="F34" i="4"/>
  <c r="D29" i="4"/>
  <c r="D31" i="4" s="1"/>
  <c r="D34" i="4"/>
  <c r="E29" i="4"/>
  <c r="E31" i="4" s="1"/>
  <c r="E34" i="4"/>
  <c r="E102" i="4"/>
  <c r="E265" i="4"/>
  <c r="G264" i="4"/>
  <c r="E264" i="4"/>
  <c r="G265" i="4"/>
  <c r="F102" i="4"/>
  <c r="G47" i="4"/>
  <c r="G228" i="4"/>
  <c r="G192" i="4"/>
  <c r="G149" i="4"/>
  <c r="G243" i="4"/>
  <c r="G242" i="4"/>
  <c r="G218" i="4"/>
  <c r="H13" i="4"/>
  <c r="G167" i="4"/>
  <c r="H14" i="4"/>
  <c r="G229" i="4"/>
  <c r="G255" i="4"/>
  <c r="G106" i="4"/>
  <c r="G205" i="4"/>
  <c r="G105" i="4"/>
  <c r="G254" i="4"/>
  <c r="G217" i="4"/>
  <c r="G18" i="4"/>
  <c r="G46" i="4"/>
  <c r="G166" i="4"/>
  <c r="G148" i="4"/>
  <c r="G191" i="4"/>
  <c r="G204" i="4"/>
  <c r="E167" i="4"/>
  <c r="E149" i="4"/>
  <c r="E47" i="4"/>
  <c r="E255" i="4"/>
  <c r="E243" i="4"/>
  <c r="E229" i="4"/>
  <c r="E218" i="4"/>
  <c r="E205" i="4"/>
  <c r="E192" i="4"/>
  <c r="D14" i="4"/>
  <c r="E166" i="4"/>
  <c r="E148" i="4"/>
  <c r="E46" i="4"/>
  <c r="E254" i="4"/>
  <c r="E242" i="4"/>
  <c r="E228" i="4"/>
  <c r="E217" i="4"/>
  <c r="E204" i="4"/>
  <c r="E191" i="4"/>
  <c r="D13" i="4"/>
  <c r="E209" i="4" l="1"/>
  <c r="E214" i="4" s="1"/>
  <c r="E307" i="4"/>
  <c r="E308" i="4"/>
  <c r="E311" i="4"/>
  <c r="E314" i="4" s="1"/>
  <c r="E315" i="4" s="1"/>
  <c r="D209" i="4"/>
  <c r="D214" i="4" s="1"/>
  <c r="D311" i="4"/>
  <c r="D314" i="4" s="1"/>
  <c r="D308" i="4"/>
  <c r="D307" i="4"/>
  <c r="F31" i="4"/>
  <c r="E43" i="4"/>
  <c r="D43" i="4"/>
  <c r="G43" i="4"/>
  <c r="D22" i="2"/>
  <c r="C7" i="3" s="1"/>
  <c r="C8" i="3" s="1"/>
  <c r="E21" i="3" s="1"/>
  <c r="H277" i="4"/>
  <c r="H289" i="4"/>
  <c r="F35" i="4"/>
  <c r="F295" i="4"/>
  <c r="F317" i="4" s="1"/>
  <c r="D16" i="2"/>
  <c r="D17" i="2" s="1"/>
  <c r="D276" i="4"/>
  <c r="D288" i="4"/>
  <c r="H276" i="4"/>
  <c r="H288" i="4"/>
  <c r="D35" i="4"/>
  <c r="D295" i="4"/>
  <c r="D317" i="4" s="1"/>
  <c r="D19" i="2"/>
  <c r="D277" i="4"/>
  <c r="D289" i="4"/>
  <c r="E35" i="4"/>
  <c r="E295" i="4"/>
  <c r="E317" i="4" s="1"/>
  <c r="H243" i="4"/>
  <c r="D265" i="4"/>
  <c r="H264" i="4"/>
  <c r="D264" i="4"/>
  <c r="I14" i="4"/>
  <c r="J14" i="4" s="1"/>
  <c r="H265" i="4"/>
  <c r="H218" i="4"/>
  <c r="H106" i="4"/>
  <c r="H149" i="4"/>
  <c r="H192" i="4"/>
  <c r="H47" i="4"/>
  <c r="H205" i="4"/>
  <c r="H105" i="4"/>
  <c r="H229" i="4"/>
  <c r="H255" i="4"/>
  <c r="H167" i="4"/>
  <c r="H217" i="4"/>
  <c r="H228" i="4"/>
  <c r="H148" i="4"/>
  <c r="H242" i="4"/>
  <c r="H166" i="4"/>
  <c r="H254" i="4"/>
  <c r="H191" i="4"/>
  <c r="I13" i="4"/>
  <c r="H46" i="4"/>
  <c r="H204" i="4"/>
  <c r="G17" i="4"/>
  <c r="G176" i="4" s="1"/>
  <c r="G23" i="4"/>
  <c r="H18" i="4"/>
  <c r="D166" i="4"/>
  <c r="D148" i="4"/>
  <c r="D46" i="4"/>
  <c r="D254" i="4"/>
  <c r="D242" i="4"/>
  <c r="D228" i="4"/>
  <c r="D217" i="4"/>
  <c r="D204" i="4"/>
  <c r="D191" i="4"/>
  <c r="D255" i="4"/>
  <c r="D167" i="4"/>
  <c r="D149" i="4"/>
  <c r="D47" i="4"/>
  <c r="D243" i="4"/>
  <c r="D229" i="4"/>
  <c r="D218" i="4"/>
  <c r="D205" i="4"/>
  <c r="D192" i="4"/>
  <c r="O90" i="2"/>
  <c r="P90" i="2" s="1"/>
  <c r="Q90" i="2" s="1"/>
  <c r="G90" i="2"/>
  <c r="F90" i="2" s="1"/>
  <c r="E90" i="2" s="1"/>
  <c r="D315" i="4" l="1"/>
  <c r="F209" i="4"/>
  <c r="F214" i="4" s="1"/>
  <c r="H214" i="4" s="1"/>
  <c r="I214" i="4" s="1"/>
  <c r="J214" i="4" s="1"/>
  <c r="F308" i="4"/>
  <c r="F311" i="4"/>
  <c r="F314" i="4" s="1"/>
  <c r="F315" i="4" s="1"/>
  <c r="F307" i="4"/>
  <c r="I243" i="4"/>
  <c r="D21" i="2"/>
  <c r="D23" i="2"/>
  <c r="J277" i="4"/>
  <c r="J289" i="4"/>
  <c r="E18" i="2"/>
  <c r="I276" i="4"/>
  <c r="I288" i="4"/>
  <c r="I149" i="4"/>
  <c r="I289" i="4"/>
  <c r="H43" i="4"/>
  <c r="E22" i="2"/>
  <c r="I192" i="4"/>
  <c r="G34" i="4"/>
  <c r="I47" i="4"/>
  <c r="I277" i="4"/>
  <c r="I229" i="4"/>
  <c r="I264" i="4"/>
  <c r="I205" i="4"/>
  <c r="J265" i="4"/>
  <c r="I265" i="4"/>
  <c r="I218" i="4"/>
  <c r="I106" i="4"/>
  <c r="I255" i="4"/>
  <c r="I167" i="4"/>
  <c r="I166" i="4"/>
  <c r="I228" i="4"/>
  <c r="I148" i="4"/>
  <c r="I217" i="4"/>
  <c r="J13" i="4"/>
  <c r="J166" i="4" s="1"/>
  <c r="I242" i="4"/>
  <c r="I105" i="4"/>
  <c r="I254" i="4"/>
  <c r="I46" i="4"/>
  <c r="G170" i="4"/>
  <c r="I191" i="4"/>
  <c r="I204" i="4"/>
  <c r="H17" i="4"/>
  <c r="H170" i="4" s="1"/>
  <c r="H23" i="4"/>
  <c r="I18" i="4"/>
  <c r="J167" i="4"/>
  <c r="J149" i="4"/>
  <c r="J106" i="4"/>
  <c r="J47" i="4"/>
  <c r="J255" i="4"/>
  <c r="J243" i="4"/>
  <c r="J229" i="4"/>
  <c r="J218" i="4"/>
  <c r="J205" i="4"/>
  <c r="J192" i="4"/>
  <c r="K14" i="4"/>
  <c r="H90" i="2"/>
  <c r="I90" i="2" s="1"/>
  <c r="N90" i="2"/>
  <c r="M90" i="2" s="1"/>
  <c r="E21" i="2" l="1"/>
  <c r="E23" i="2"/>
  <c r="E19" i="2"/>
  <c r="K277" i="4"/>
  <c r="K289" i="4"/>
  <c r="F18" i="2"/>
  <c r="F19" i="2" s="1"/>
  <c r="J276" i="4"/>
  <c r="J288" i="4"/>
  <c r="I43" i="4"/>
  <c r="F22" i="2"/>
  <c r="G35" i="4"/>
  <c r="E16" i="2"/>
  <c r="E17" i="2" s="1"/>
  <c r="H34" i="4"/>
  <c r="J264" i="4"/>
  <c r="K265" i="4"/>
  <c r="J148" i="4"/>
  <c r="J217" i="4"/>
  <c r="J204" i="4"/>
  <c r="J191" i="4"/>
  <c r="J46" i="4"/>
  <c r="J254" i="4"/>
  <c r="K13" i="4"/>
  <c r="K228" i="4" s="1"/>
  <c r="J242" i="4"/>
  <c r="G173" i="4"/>
  <c r="G51" i="4"/>
  <c r="J105" i="4"/>
  <c r="J228" i="4"/>
  <c r="G179" i="4"/>
  <c r="G74" i="4"/>
  <c r="K214" i="4"/>
  <c r="H52" i="4"/>
  <c r="H119" i="4" s="1"/>
  <c r="H176" i="4"/>
  <c r="H74" i="4" s="1"/>
  <c r="H51" i="4"/>
  <c r="I17" i="4"/>
  <c r="I170" i="4" s="1"/>
  <c r="I23" i="4"/>
  <c r="K18" i="4"/>
  <c r="J18" i="4"/>
  <c r="K255" i="4"/>
  <c r="K243" i="4"/>
  <c r="K229" i="4"/>
  <c r="K218" i="4"/>
  <c r="K205" i="4"/>
  <c r="K192" i="4"/>
  <c r="K47" i="4"/>
  <c r="K167" i="4"/>
  <c r="K149" i="4"/>
  <c r="K106" i="4"/>
  <c r="Q130" i="2"/>
  <c r="O130" i="2"/>
  <c r="Q129" i="2"/>
  <c r="O129" i="2"/>
  <c r="Q128" i="2"/>
  <c r="O128" i="2"/>
  <c r="D130" i="2"/>
  <c r="E129" i="2"/>
  <c r="C129" i="2"/>
  <c r="E128" i="2"/>
  <c r="C128" i="2"/>
  <c r="F23" i="2" l="1"/>
  <c r="F21" i="2"/>
  <c r="J43" i="4"/>
  <c r="G22" i="2"/>
  <c r="G18" i="2"/>
  <c r="K276" i="4"/>
  <c r="K288" i="4"/>
  <c r="H35" i="4"/>
  <c r="F16" i="2"/>
  <c r="F17" i="2" s="1"/>
  <c r="H118" i="4"/>
  <c r="G121" i="4"/>
  <c r="G118" i="4"/>
  <c r="H121" i="4"/>
  <c r="I34" i="4"/>
  <c r="K204" i="4"/>
  <c r="K264" i="4"/>
  <c r="K166" i="4"/>
  <c r="K46" i="4"/>
  <c r="K191" i="4"/>
  <c r="K148" i="4"/>
  <c r="K242" i="4"/>
  <c r="K105" i="4"/>
  <c r="K254" i="4"/>
  <c r="K217" i="4"/>
  <c r="H179" i="4"/>
  <c r="G181" i="4"/>
  <c r="E32" i="2" s="1"/>
  <c r="H173" i="4"/>
  <c r="I176" i="4"/>
  <c r="I74" i="4" s="1"/>
  <c r="I52" i="4"/>
  <c r="I119" i="4" s="1"/>
  <c r="I51" i="4"/>
  <c r="I118" i="4" s="1"/>
  <c r="J17" i="4"/>
  <c r="J170" i="4" s="1"/>
  <c r="J23" i="4"/>
  <c r="K17" i="4"/>
  <c r="K170" i="4" s="1"/>
  <c r="K23" i="4"/>
  <c r="P129" i="2"/>
  <c r="D128" i="2"/>
  <c r="P128" i="2"/>
  <c r="P130" i="2"/>
  <c r="D129" i="2"/>
  <c r="G23" i="2" l="1"/>
  <c r="G19" i="2"/>
  <c r="H18" i="2"/>
  <c r="H19" i="2" s="1"/>
  <c r="G21" i="2"/>
  <c r="K43" i="4"/>
  <c r="I22" i="2" s="1"/>
  <c r="H22" i="2"/>
  <c r="I18" i="2"/>
  <c r="I19" i="2" s="1"/>
  <c r="H124" i="4"/>
  <c r="I35" i="4"/>
  <c r="G16" i="2"/>
  <c r="G17" i="2" s="1"/>
  <c r="E33" i="2"/>
  <c r="E26" i="2"/>
  <c r="E30" i="2" s="1"/>
  <c r="I121" i="4"/>
  <c r="I124" i="4" s="1"/>
  <c r="G124" i="4"/>
  <c r="K34" i="4"/>
  <c r="J34" i="4"/>
  <c r="H181" i="4"/>
  <c r="G183" i="4"/>
  <c r="G182" i="4"/>
  <c r="I179" i="4"/>
  <c r="I173" i="4"/>
  <c r="K176" i="4"/>
  <c r="K74" i="4" s="1"/>
  <c r="K52" i="4"/>
  <c r="K51" i="4"/>
  <c r="J176" i="4"/>
  <c r="J74" i="4" s="1"/>
  <c r="J52" i="4"/>
  <c r="J119" i="4" s="1"/>
  <c r="J51" i="4"/>
  <c r="B3" i="3"/>
  <c r="B35" i="2"/>
  <c r="H23" i="2" l="1"/>
  <c r="H21" i="2"/>
  <c r="I21" i="2"/>
  <c r="I23" i="2"/>
  <c r="K35" i="4"/>
  <c r="I16" i="2"/>
  <c r="J35" i="4"/>
  <c r="H16" i="2"/>
  <c r="H17" i="2" s="1"/>
  <c r="H183" i="4"/>
  <c r="F32" i="2"/>
  <c r="K118" i="4"/>
  <c r="K119" i="4"/>
  <c r="J118" i="4"/>
  <c r="K121" i="4"/>
  <c r="J121" i="4"/>
  <c r="H182" i="4"/>
  <c r="I181" i="4"/>
  <c r="J173" i="4"/>
  <c r="K173" i="4"/>
  <c r="J179" i="4"/>
  <c r="K179" i="4"/>
  <c r="C12" i="2"/>
  <c r="D37" i="2"/>
  <c r="D12" i="2"/>
  <c r="E12" i="2" s="1"/>
  <c r="E37" i="2" s="1"/>
  <c r="D5" i="2"/>
  <c r="D8" i="2" s="1"/>
  <c r="I17" i="2" l="1"/>
  <c r="I42" i="2"/>
  <c r="I44" i="2" s="1"/>
  <c r="I183" i="4"/>
  <c r="G32" i="2"/>
  <c r="G26" i="2" s="1"/>
  <c r="G30" i="2" s="1"/>
  <c r="G38" i="2" s="1"/>
  <c r="F33" i="2"/>
  <c r="F26" i="2"/>
  <c r="F30" i="2" s="1"/>
  <c r="F38" i="2" s="1"/>
  <c r="C38" i="2"/>
  <c r="E38" i="2" s="1"/>
  <c r="C14" i="2"/>
  <c r="C16" i="2"/>
  <c r="C18" i="2"/>
  <c r="K124" i="4"/>
  <c r="J124" i="4"/>
  <c r="I182" i="4"/>
  <c r="K181" i="4"/>
  <c r="J181" i="4"/>
  <c r="H32" i="2" s="1"/>
  <c r="F12" i="2"/>
  <c r="F37" i="2" s="1"/>
  <c r="H33" i="2" l="1"/>
  <c r="K182" i="4"/>
  <c r="I32" i="2"/>
  <c r="I33" i="2" s="1"/>
  <c r="G33" i="2"/>
  <c r="H26" i="2"/>
  <c r="H30" i="2" s="1"/>
  <c r="H38" i="2" s="1"/>
  <c r="K183" i="4"/>
  <c r="J182" i="4"/>
  <c r="J183" i="4"/>
  <c r="G12" i="2"/>
  <c r="G37" i="2" s="1"/>
  <c r="I26" i="2" l="1"/>
  <c r="I30" i="2" s="1"/>
  <c r="I38" i="2" s="1"/>
  <c r="C43" i="2" s="1"/>
  <c r="H12" i="2"/>
  <c r="H37" i="2" s="1"/>
  <c r="I195" i="4" l="1"/>
  <c r="H198" i="4"/>
  <c r="I12" i="2"/>
  <c r="I37" i="2" s="1"/>
  <c r="I201" i="4" l="1"/>
  <c r="I28" i="4" s="1"/>
  <c r="B43" i="2"/>
  <c r="E44" i="2"/>
  <c r="B44" i="2"/>
  <c r="G99" i="2" l="1"/>
  <c r="F99" i="2" s="1"/>
  <c r="E99" i="2" s="1"/>
  <c r="O99" i="2"/>
  <c r="P99" i="2" s="1"/>
  <c r="Q99" i="2" s="1"/>
  <c r="N99" i="2" l="1"/>
  <c r="M99" i="2" s="1"/>
  <c r="H99" i="2"/>
  <c r="I99" i="2" s="1"/>
  <c r="H4" i="2" l="1"/>
  <c r="L93" i="2"/>
  <c r="D102" i="2"/>
  <c r="D93" i="2"/>
  <c r="L102" i="2"/>
  <c r="I45" i="2" l="1"/>
  <c r="I51" i="2"/>
  <c r="F39" i="2"/>
  <c r="I39" i="2"/>
  <c r="E39" i="2"/>
  <c r="H39" i="2"/>
  <c r="G39" i="2"/>
  <c r="C44" i="2"/>
  <c r="B129" i="2"/>
  <c r="D103" i="2"/>
  <c r="D104" i="2" s="1"/>
  <c r="D101" i="2"/>
  <c r="D100" i="2" s="1"/>
  <c r="B128" i="2"/>
  <c r="G128" i="2"/>
  <c r="L94" i="2"/>
  <c r="L95" i="2" s="1"/>
  <c r="L92" i="2"/>
  <c r="L91" i="2" s="1"/>
  <c r="D94" i="2"/>
  <c r="D95" i="2" s="1"/>
  <c r="D92" i="2"/>
  <c r="D91" i="2" s="1"/>
  <c r="G129" i="2"/>
  <c r="L101" i="2"/>
  <c r="L100" i="2" s="1"/>
  <c r="L103" i="2"/>
  <c r="L104" i="2" s="1"/>
  <c r="G130" i="2" s="1"/>
  <c r="C45" i="2" l="1"/>
  <c r="C51" i="2"/>
  <c r="C46" i="2"/>
  <c r="C47" i="2" l="1"/>
  <c r="I46" i="2"/>
  <c r="I47" i="2" s="1"/>
  <c r="J195" i="4" l="1"/>
  <c r="I198" i="4"/>
  <c r="I49" i="2"/>
  <c r="I50" i="2" s="1"/>
  <c r="D69" i="2"/>
  <c r="D71" i="2" s="1"/>
  <c r="D73" i="2" s="1"/>
  <c r="D99" i="2" s="1"/>
  <c r="C49" i="2"/>
  <c r="C50" i="2" s="1"/>
  <c r="C69" i="2"/>
  <c r="C71" i="2" s="1"/>
  <c r="C73" i="2" s="1"/>
  <c r="J201" i="4" l="1"/>
  <c r="J28" i="4" s="1"/>
  <c r="D90" i="2"/>
  <c r="H7" i="2"/>
  <c r="H8" i="2" s="1"/>
  <c r="D79" i="2"/>
  <c r="D82" i="2"/>
  <c r="D84" i="2"/>
  <c r="D78" i="2"/>
  <c r="L99" i="2" s="1"/>
  <c r="D77" i="2"/>
  <c r="D83" i="2"/>
  <c r="C82" i="2"/>
  <c r="C79" i="2"/>
  <c r="C78" i="2"/>
  <c r="L90" i="2" s="1"/>
  <c r="C77" i="2"/>
  <c r="C83" i="2"/>
  <c r="C84" i="2"/>
  <c r="K195" i="4" l="1"/>
  <c r="J198" i="4"/>
  <c r="K201" i="4" l="1"/>
  <c r="K28" i="4" s="1"/>
  <c r="K198" i="4" l="1"/>
  <c r="H29" i="4" l="1"/>
  <c r="I29" i="4"/>
  <c r="I30" i="4" s="1"/>
  <c r="I31" i="4" s="1"/>
  <c r="J29" i="4"/>
  <c r="J30" i="4" s="1"/>
  <c r="K29" i="4"/>
  <c r="H30" i="4"/>
  <c r="H300" i="4"/>
  <c r="I300" i="4"/>
  <c r="J300" i="4"/>
  <c r="K300" i="4"/>
  <c r="I311" i="4" l="1"/>
  <c r="I209" i="4"/>
  <c r="I210" i="4" s="1"/>
  <c r="I268" i="4" s="1"/>
  <c r="I269" i="4" s="1"/>
  <c r="I137" i="4" s="1"/>
  <c r="I108" i="4"/>
  <c r="I115" i="4" s="1"/>
  <c r="I125" i="4" s="1"/>
  <c r="H31" i="4"/>
  <c r="J31" i="4"/>
  <c r="K30" i="4"/>
  <c r="K31" i="4" s="1"/>
  <c r="K311" i="4" l="1"/>
  <c r="H209" i="4"/>
  <c r="H210" i="4" s="1"/>
  <c r="H268" i="4" s="1"/>
  <c r="H269" i="4" s="1"/>
  <c r="H137" i="4" s="1"/>
  <c r="H311" i="4"/>
  <c r="J311" i="4"/>
  <c r="H108" i="4"/>
  <c r="H115" i="4" s="1"/>
  <c r="H125" i="4" s="1"/>
  <c r="K108" i="4"/>
  <c r="K115" i="4" s="1"/>
  <c r="K125" i="4" s="1"/>
  <c r="K209" i="4"/>
  <c r="K210" i="4" s="1"/>
  <c r="K268" i="4" s="1"/>
  <c r="K269" i="4" s="1"/>
  <c r="K137" i="4" s="1"/>
  <c r="J108" i="4"/>
  <c r="J115" i="4" s="1"/>
  <c r="J125" i="4" s="1"/>
  <c r="J209" i="4"/>
  <c r="J210" i="4" s="1"/>
  <c r="J268" i="4" s="1"/>
  <c r="J269" i="4" s="1"/>
  <c r="J137" i="4" s="1"/>
  <c r="G29" i="4"/>
  <c r="G30" i="4" s="1"/>
  <c r="G31" i="4" s="1"/>
  <c r="G300" i="4"/>
  <c r="G311" i="4" l="1"/>
  <c r="G108" i="4"/>
  <c r="G115" i="4" s="1"/>
  <c r="G125" i="4" s="1"/>
  <c r="G209" i="4"/>
  <c r="G210" i="4" s="1"/>
  <c r="G268" i="4" s="1"/>
  <c r="G269" i="4" s="1"/>
  <c r="G137" i="4" s="1"/>
  <c r="G258" i="4" l="1"/>
  <c r="G259" i="4" s="1"/>
  <c r="G80" i="4" s="1"/>
  <c r="G291" i="4" s="1"/>
  <c r="G212" i="4"/>
  <c r="G97" i="4" s="1"/>
  <c r="G98" i="4" s="1"/>
  <c r="G308" i="4" s="1"/>
  <c r="G270" i="4"/>
  <c r="H208" i="4" l="1"/>
  <c r="H212" i="4" s="1"/>
  <c r="I208" i="4" s="1"/>
  <c r="I212" i="4" s="1"/>
  <c r="G260" i="4"/>
  <c r="G138" i="4" s="1"/>
  <c r="G139" i="4" s="1"/>
  <c r="G141" i="4" s="1"/>
  <c r="G143" i="4" s="1"/>
  <c r="G56" i="4" s="1"/>
  <c r="G292" i="4" s="1"/>
  <c r="G76" i="4"/>
  <c r="G81" i="4" s="1"/>
  <c r="G89" i="4" s="1"/>
  <c r="G100" i="4" s="1"/>
  <c r="H267" i="4"/>
  <c r="H270" i="4" s="1"/>
  <c r="H97" i="4" l="1"/>
  <c r="H98" i="4" s="1"/>
  <c r="H308" i="4" s="1"/>
  <c r="H76" i="4"/>
  <c r="I267" i="4"/>
  <c r="I270" i="4" s="1"/>
  <c r="G295" i="4"/>
  <c r="G297" i="4"/>
  <c r="G57" i="4"/>
  <c r="H142" i="4"/>
  <c r="H258" i="4"/>
  <c r="H259" i="4" s="1"/>
  <c r="G145" i="4"/>
  <c r="I97" i="4"/>
  <c r="I98" i="4" s="1"/>
  <c r="I308" i="4" s="1"/>
  <c r="J208" i="4"/>
  <c r="J212" i="4" s="1"/>
  <c r="H80" i="4" l="1"/>
  <c r="H291" i="4" s="1"/>
  <c r="H260" i="4"/>
  <c r="H138" i="4" s="1"/>
  <c r="H139" i="4" s="1"/>
  <c r="H141" i="4" s="1"/>
  <c r="H143" i="4" s="1"/>
  <c r="J97" i="4"/>
  <c r="J98" i="4" s="1"/>
  <c r="J308" i="4" s="1"/>
  <c r="K208" i="4"/>
  <c r="K212" i="4" s="1"/>
  <c r="K97" i="4" s="1"/>
  <c r="K98" i="4" s="1"/>
  <c r="K308" i="4" s="1"/>
  <c r="I76" i="4"/>
  <c r="J267" i="4"/>
  <c r="J270" i="4" s="1"/>
  <c r="G304" i="4"/>
  <c r="G317" i="4" s="1"/>
  <c r="G303" i="4"/>
  <c r="G69" i="4"/>
  <c r="G313" i="4" l="1"/>
  <c r="G312" i="4"/>
  <c r="G307" i="4"/>
  <c r="H81" i="4"/>
  <c r="H89" i="4" s="1"/>
  <c r="H100" i="4" s="1"/>
  <c r="J76" i="4"/>
  <c r="K267" i="4"/>
  <c r="K270" i="4" s="1"/>
  <c r="K76" i="4" s="1"/>
  <c r="G102" i="4"/>
  <c r="G296" i="4"/>
  <c r="H56" i="4"/>
  <c r="G314" i="4" l="1"/>
  <c r="G315" i="4" s="1"/>
  <c r="I258" i="4"/>
  <c r="I259" i="4" s="1"/>
  <c r="H57" i="4"/>
  <c r="I142" i="4"/>
  <c r="H145" i="4"/>
  <c r="H292" i="4"/>
  <c r="H303" i="4" l="1"/>
  <c r="H304" i="4"/>
  <c r="H69" i="4"/>
  <c r="H295" i="4"/>
  <c r="H297" i="4"/>
  <c r="I80" i="4"/>
  <c r="I260" i="4"/>
  <c r="I138" i="4" s="1"/>
  <c r="I139" i="4" s="1"/>
  <c r="I141" i="4" s="1"/>
  <c r="I143" i="4" s="1"/>
  <c r="H313" i="4" l="1"/>
  <c r="H312" i="4"/>
  <c r="H314" i="4" s="1"/>
  <c r="H315" i="4" s="1"/>
  <c r="H307" i="4"/>
  <c r="H317" i="4"/>
  <c r="I291" i="4"/>
  <c r="I81" i="4"/>
  <c r="I89" i="4" s="1"/>
  <c r="I100" i="4" s="1"/>
  <c r="H102" i="4"/>
  <c r="H296" i="4"/>
  <c r="I56" i="4"/>
  <c r="J142" i="4" l="1"/>
  <c r="J258" i="4"/>
  <c r="J259" i="4" s="1"/>
  <c r="I57" i="4"/>
  <c r="I145" i="4"/>
  <c r="I292" i="4"/>
  <c r="I69" i="4" l="1"/>
  <c r="I303" i="4"/>
  <c r="I304" i="4"/>
  <c r="J80" i="4"/>
  <c r="J260" i="4"/>
  <c r="J138" i="4" s="1"/>
  <c r="J139" i="4" s="1"/>
  <c r="J141" i="4" s="1"/>
  <c r="J143" i="4" s="1"/>
  <c r="I297" i="4"/>
  <c r="I295" i="4"/>
  <c r="I317" i="4" l="1"/>
  <c r="I313" i="4"/>
  <c r="I312" i="4"/>
  <c r="I307" i="4"/>
  <c r="J56" i="4"/>
  <c r="J291" i="4"/>
  <c r="J81" i="4"/>
  <c r="J89" i="4" s="1"/>
  <c r="J100" i="4" s="1"/>
  <c r="I102" i="4"/>
  <c r="I296" i="4"/>
  <c r="I314" i="4" l="1"/>
  <c r="I315" i="4" s="1"/>
  <c r="J292" i="4"/>
  <c r="K142" i="4"/>
  <c r="K258" i="4"/>
  <c r="K259" i="4" s="1"/>
  <c r="J57" i="4"/>
  <c r="J145" i="4"/>
  <c r="K260" i="4" l="1"/>
  <c r="K138" i="4" s="1"/>
  <c r="K139" i="4" s="1"/>
  <c r="K141" i="4" s="1"/>
  <c r="K143" i="4" s="1"/>
  <c r="K80" i="4"/>
  <c r="J297" i="4"/>
  <c r="J295" i="4"/>
  <c r="J69" i="4"/>
  <c r="J304" i="4"/>
  <c r="J303" i="4"/>
  <c r="J313" i="4" l="1"/>
  <c r="J312" i="4"/>
  <c r="J307" i="4"/>
  <c r="J102" i="4"/>
  <c r="J296" i="4"/>
  <c r="K291" i="4"/>
  <c r="K81" i="4"/>
  <c r="K89" i="4" s="1"/>
  <c r="K100" i="4" s="1"/>
  <c r="J317" i="4"/>
  <c r="K56" i="4"/>
  <c r="K57" i="4" s="1"/>
  <c r="J314" i="4" l="1"/>
  <c r="J315" i="4" s="1"/>
  <c r="K145" i="4"/>
  <c r="K292" i="4"/>
  <c r="K304" i="4"/>
  <c r="K69" i="4"/>
  <c r="K303" i="4"/>
  <c r="K102" i="4" l="1"/>
  <c r="K313" i="4"/>
  <c r="K312" i="4"/>
  <c r="K307" i="4"/>
  <c r="K295" i="4"/>
  <c r="K317" i="4" s="1"/>
  <c r="K297" i="4"/>
  <c r="K296" i="4"/>
  <c r="K314" i="4" l="1"/>
  <c r="K315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Wall Street Prep</author>
    <author>Ahmed Wael</author>
  </authors>
  <commentList>
    <comment ref="I51" authorId="0" shapeId="0" xr:uid="{29E1BAD3-15D8-4C68-B94D-983C3D916D4F}">
      <text>
        <r>
          <rPr>
            <b/>
            <sz val="9"/>
            <color indexed="81"/>
            <rFont val="Tahoma"/>
            <family val="2"/>
          </rPr>
          <t>Wall Street Prep:</t>
        </r>
        <r>
          <rPr>
            <sz val="9"/>
            <color indexed="81"/>
            <rFont val="Tahoma"/>
            <family val="2"/>
          </rPr>
          <t xml:space="preserve">
Implied g = [r -FCF(t)/TV]/(1+FCF(t)/TV)</t>
        </r>
      </text>
    </comment>
    <comment ref="I56" authorId="1" shapeId="0" xr:uid="{0195700C-C5C5-4330-96B3-556643712A34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Note 17 [35] &amp; Note 38 [53] (110,559,000 Total Issued Shares - 798,353 Treasury Shares)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Ahmed Wael</author>
  </authors>
  <commentList>
    <comment ref="C6" authorId="0" shapeId="0" xr:uid="{22C26E4F-9491-4007-8CA3-346963207757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Note 7 "6% which is effective interest rate of specific borrowings."</t>
        </r>
      </text>
    </comment>
    <comment ref="C10" authorId="0" shapeId="0" xr:uid="{80123CF2-7060-49DA-81F5-1263CAECCF1A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Saudi sovereign USD/SAR yield 10Y</t>
        </r>
      </text>
    </comment>
    <comment ref="C11" authorId="0" shapeId="0" xr:uid="{6B95AB09-7B91-47F8-B246-AFB96B32D79E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Blume-adjusted 0.31
Raw Beta -0.03</t>
        </r>
      </text>
    </comment>
    <comment ref="C12" authorId="0" shapeId="0" xr:uid="{59E05674-684A-4763-8371-658A97CA9A72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Damodaran Market Risk Premium</t>
        </r>
      </text>
    </comment>
  </commentList>
</comments>
</file>

<file path=xl/sharedStrings.xml><?xml version="1.0" encoding="utf-8"?>
<sst xmlns="http://schemas.openxmlformats.org/spreadsheetml/2006/main" count="411" uniqueCount="310">
  <si>
    <t>Company Name</t>
  </si>
  <si>
    <t>Ticker</t>
  </si>
  <si>
    <t>Last Historical Year</t>
  </si>
  <si>
    <t>ASSETS</t>
  </si>
  <si>
    <t>Current Assets</t>
  </si>
  <si>
    <t>Total Current Assets</t>
  </si>
  <si>
    <t>Non-Current Assets</t>
  </si>
  <si>
    <t>Total Non-Current Assets</t>
  </si>
  <si>
    <t>Total Assets</t>
  </si>
  <si>
    <t>LIABILITIES AND EQUITY</t>
  </si>
  <si>
    <t>Current Liabilities</t>
  </si>
  <si>
    <t>Total Current Liabilities</t>
  </si>
  <si>
    <t>Non-Current Liabilities</t>
  </si>
  <si>
    <t>Total Non-Current Liabilities</t>
  </si>
  <si>
    <t>Total Liabilities</t>
  </si>
  <si>
    <t>Equity</t>
  </si>
  <si>
    <t>Total Equity</t>
  </si>
  <si>
    <t>Total Liabilites &amp; Equity</t>
  </si>
  <si>
    <t>Balance Check</t>
  </si>
  <si>
    <t>Cash Generated from Operations</t>
  </si>
  <si>
    <t>CASH FLOWS FROM INVESTING ACTIVITIES</t>
  </si>
  <si>
    <t>CASH FLOWS FROM FINANCING ACTIVITIES</t>
  </si>
  <si>
    <t>Reconciliation Check vs BS Cash</t>
  </si>
  <si>
    <t>Depreciation &amp; amortization</t>
  </si>
  <si>
    <t>EBITDA</t>
  </si>
  <si>
    <t>Revenue growth</t>
  </si>
  <si>
    <t>Tax rate</t>
  </si>
  <si>
    <t>Growth Rates &amp; Margins</t>
  </si>
  <si>
    <t>Latest Closing Share Price</t>
  </si>
  <si>
    <t>Latest Closing Share Price Date</t>
  </si>
  <si>
    <t>Shares outstanding</t>
  </si>
  <si>
    <t>PROPERTY, PLANT &amp; EQUIPMENT</t>
  </si>
  <si>
    <t>Beginning of period</t>
  </si>
  <si>
    <t>Plus: Capital expenditures</t>
  </si>
  <si>
    <t>Less: Depreciation</t>
  </si>
  <si>
    <t>End of period</t>
  </si>
  <si>
    <t>IMPUTING TOTAL DEPRECIATION &amp; AMORTIZATION</t>
  </si>
  <si>
    <t>D&amp;A not related to PP&amp;E</t>
  </si>
  <si>
    <t>as % of revenue</t>
  </si>
  <si>
    <t xml:space="preserve">Depreciation &amp; Amortization - Total </t>
  </si>
  <si>
    <t>% growth</t>
  </si>
  <si>
    <t>INCOME STATEMENT</t>
  </si>
  <si>
    <t xml:space="preserve">Fiscal year  </t>
  </si>
  <si>
    <t>Fiscal year end date</t>
  </si>
  <si>
    <t>BALANCE SHEET</t>
  </si>
  <si>
    <t>CASH FLOW STATEMENT</t>
  </si>
  <si>
    <t>Discounted Cash Flow Valuation</t>
  </si>
  <si>
    <t>Most recent fiscal year end</t>
  </si>
  <si>
    <t>Discount rate (WACC)</t>
  </si>
  <si>
    <t>Link from WACC</t>
  </si>
  <si>
    <t>End of first fiscal year</t>
  </si>
  <si>
    <t>Share price (Public Co)</t>
  </si>
  <si>
    <t>Most recent quarter end date</t>
  </si>
  <si>
    <t>Share price date</t>
  </si>
  <si>
    <t xml:space="preserve">Valuation date </t>
  </si>
  <si>
    <t>Portion of First Year Cash Flows</t>
  </si>
  <si>
    <t>Unlevered Free Cash Flows</t>
  </si>
  <si>
    <t>LTM</t>
  </si>
  <si>
    <t>Actual</t>
  </si>
  <si>
    <t>Forecasts</t>
  </si>
  <si>
    <t>Fiscal year ended</t>
  </si>
  <si>
    <t>Revenue</t>
  </si>
  <si>
    <t>% margin</t>
  </si>
  <si>
    <t>EBIT</t>
  </si>
  <si>
    <t>Tax on EBIT</t>
  </si>
  <si>
    <t>NOPAT (aka EBIAT)</t>
  </si>
  <si>
    <t>Changes in net working capital</t>
  </si>
  <si>
    <t>Capital expenditures</t>
  </si>
  <si>
    <t>Unlevered free cash flows (UFCF)</t>
  </si>
  <si>
    <t>Net working capital (WC Assets - WC liabilities)</t>
  </si>
  <si>
    <t>Val date</t>
  </si>
  <si>
    <t xml:space="preserve">Yr 1 - Stub </t>
  </si>
  <si>
    <t>Year 2</t>
  </si>
  <si>
    <t>Year 3</t>
  </si>
  <si>
    <t>Year 4</t>
  </si>
  <si>
    <t>Year 5</t>
  </si>
  <si>
    <t>Date for discounting cash flows</t>
  </si>
  <si>
    <t>Unlevered free cash flows (UFCF) stub adjusted</t>
  </si>
  <si>
    <t>Present value of of unlevered free cash flows</t>
  </si>
  <si>
    <t>Terminal value - growth in perpetuity approach</t>
  </si>
  <si>
    <t>Terminal value - EBITDA multiple approach</t>
  </si>
  <si>
    <t>Long term growth rate</t>
  </si>
  <si>
    <t>Terminal year EBITDA</t>
  </si>
  <si>
    <t>EBITDA multiple</t>
  </si>
  <si>
    <t>Present value of terminal value</t>
  </si>
  <si>
    <t>Present value of stage 1 cash flows</t>
  </si>
  <si>
    <t>Total enterprise value (TEV)</t>
  </si>
  <si>
    <t>Enterprise value (stage 1 + 2)</t>
  </si>
  <si>
    <t>Terminal value as % of TEV</t>
  </si>
  <si>
    <t>Stage 1 cash flows as % of TEV</t>
  </si>
  <si>
    <t>Cash flows as % of TEV</t>
  </si>
  <si>
    <t>Implied TV exit EBITDA multiple</t>
  </si>
  <si>
    <t>Implied terminal growth rate</t>
  </si>
  <si>
    <t>Net debt</t>
  </si>
  <si>
    <t>Source doc</t>
  </si>
  <si>
    <t>Source date</t>
  </si>
  <si>
    <t>Date</t>
  </si>
  <si>
    <t>Shares</t>
  </si>
  <si>
    <t>Gross debt and equivalents</t>
  </si>
  <si>
    <t>Basic shares</t>
  </si>
  <si>
    <t>Debt</t>
  </si>
  <si>
    <t>Restricted stock / RSUs</t>
  </si>
  <si>
    <t>Convertible debt</t>
  </si>
  <si>
    <t>Options / warrants</t>
  </si>
  <si>
    <t>Preferred stock</t>
  </si>
  <si>
    <t>Noncontrolling (minority) interests</t>
  </si>
  <si>
    <t>Convertible preferred stock</t>
  </si>
  <si>
    <t>Nonoperating assets</t>
  </si>
  <si>
    <t>Net diluted shares outstanding</t>
  </si>
  <si>
    <t xml:space="preserve">Cash </t>
  </si>
  <si>
    <t xml:space="preserve">Equity investments </t>
  </si>
  <si>
    <t>Valuation</t>
  </si>
  <si>
    <t>Perpetuity</t>
  </si>
  <si>
    <t>Enterprise value</t>
  </si>
  <si>
    <t xml:space="preserve">Equity value </t>
  </si>
  <si>
    <t>Equity value per share</t>
  </si>
  <si>
    <t>Last twelve months (LTM)</t>
  </si>
  <si>
    <t>EV / Revenue</t>
  </si>
  <si>
    <t xml:space="preserve">EV / EBITDA </t>
  </si>
  <si>
    <t>EV / EBIT</t>
  </si>
  <si>
    <t>Year 1</t>
  </si>
  <si>
    <t>Outputs</t>
  </si>
  <si>
    <t>LTM EBITDA multiple</t>
  </si>
  <si>
    <t>Long term growth rate (g):</t>
  </si>
  <si>
    <t>WACC:</t>
  </si>
  <si>
    <t xml:space="preserve">Data </t>
  </si>
  <si>
    <t>Tables</t>
  </si>
  <si>
    <t>Exit EBITDA Multiple</t>
  </si>
  <si>
    <t>Equity value range</t>
  </si>
  <si>
    <t>Football field</t>
  </si>
  <si>
    <t>Low</t>
  </si>
  <si>
    <t>Diff.</t>
  </si>
  <si>
    <t>High</t>
  </si>
  <si>
    <t>52 Week Market High/Low</t>
  </si>
  <si>
    <t>WACC Buildup</t>
  </si>
  <si>
    <t>Cost of capital assumptions</t>
  </si>
  <si>
    <t>Cost of debt</t>
  </si>
  <si>
    <t>Cost of debt (after tax)</t>
  </si>
  <si>
    <t xml:space="preserve">Risk free rate </t>
  </si>
  <si>
    <t xml:space="preserve">Beta </t>
  </si>
  <si>
    <t>Market risk premium</t>
  </si>
  <si>
    <t>Cost of equity</t>
  </si>
  <si>
    <t>Capital weights (capital structure)</t>
  </si>
  <si>
    <t xml:space="preserve">Target </t>
  </si>
  <si>
    <t xml:space="preserve">Current </t>
  </si>
  <si>
    <t>(override)</t>
  </si>
  <si>
    <t>% of total</t>
  </si>
  <si>
    <t>Cost of capital (WACC)</t>
  </si>
  <si>
    <t>CapEx % of revenue</t>
  </si>
  <si>
    <t>EBITDA margin %</t>
  </si>
  <si>
    <t>Implied Share Price</t>
  </si>
  <si>
    <t>Upside / (Downside)</t>
  </si>
  <si>
    <t>Finance costs</t>
  </si>
  <si>
    <t>Changes in Working Capital</t>
  </si>
  <si>
    <t>Net change in cash and cash equivalents</t>
  </si>
  <si>
    <t>Cash and cash equivalents at 1 January</t>
  </si>
  <si>
    <t>Cash and cash equivalents at 31 December</t>
  </si>
  <si>
    <t>WORKING CAPITAL SCHEDULE</t>
  </si>
  <si>
    <t>Operating Working Capital Assets</t>
  </si>
  <si>
    <t>Total Operating WC Assets</t>
  </si>
  <si>
    <t>Net Working Capital</t>
  </si>
  <si>
    <t>NWC as % of revenue</t>
  </si>
  <si>
    <t>Change in NWC (− = cash used)</t>
  </si>
  <si>
    <t>Operating Working Capital Liabilities</t>
  </si>
  <si>
    <t>Total Operating WC Liabilities</t>
  </si>
  <si>
    <t>DEBT &amp; INTEREST SCHEDULE</t>
  </si>
  <si>
    <t>Average debt</t>
  </si>
  <si>
    <t>Effective interest rate</t>
  </si>
  <si>
    <t>EQUITY &amp; NCI ROLL-FORWARD</t>
  </si>
  <si>
    <t>Retained Earnings</t>
  </si>
  <si>
    <t>Less: Dividends &amp; distributions</t>
  </si>
  <si>
    <t>Other (FX-to-RE, reserve transfer)</t>
  </si>
  <si>
    <t>End of period (= BS)</t>
  </si>
  <si>
    <t>Debt securities (optional cash asset)</t>
  </si>
  <si>
    <t>Operating cash flow before working capital</t>
  </si>
  <si>
    <t>Net cash flow from financing activities</t>
  </si>
  <si>
    <t>Net cash flows used in investing activities</t>
  </si>
  <si>
    <t>Net cash flows from operating activities</t>
  </si>
  <si>
    <t>PP&amp;E depreciation as % of revenue</t>
  </si>
  <si>
    <t>Consolidated FS 2025</t>
  </si>
  <si>
    <t>12/31/2025</t>
  </si>
  <si>
    <t>Gross Margin % of Revenue</t>
  </si>
  <si>
    <t>Midyear adjustment?</t>
  </si>
  <si>
    <t>WC DRIVERS (DAYS)</t>
  </si>
  <si>
    <t>DIO (days, off COGS)</t>
  </si>
  <si>
    <t>DSO (days, off revenue)</t>
  </si>
  <si>
    <t>DPO (days, off COGS)</t>
  </si>
  <si>
    <t>Plus: Additions</t>
  </si>
  <si>
    <t>Less: Amortization</t>
  </si>
  <si>
    <t>Additions % revenue</t>
  </si>
  <si>
    <t>Amortization % revenue</t>
  </si>
  <si>
    <t>LEASE SCHEDULE</t>
  </si>
  <si>
    <t>ROU — Beginning</t>
  </si>
  <si>
    <t>Plus: New leases</t>
  </si>
  <si>
    <t>Less: ROU depreciation</t>
  </si>
  <si>
    <t>ROU — End</t>
  </si>
  <si>
    <t>Lease liab — Beginning</t>
  </si>
  <si>
    <t>Lease liab — End</t>
  </si>
  <si>
    <t>ST share of liability</t>
  </si>
  <si>
    <t>New leases % revenue</t>
  </si>
  <si>
    <t>ROU dep % revenue</t>
  </si>
  <si>
    <t>Revolver draw / (paydown)</t>
  </si>
  <si>
    <t>Attributable to Shareholders</t>
  </si>
  <si>
    <t>Selling and Distribution Expenses %</t>
  </si>
  <si>
    <t>General and Administration Expenses % of Revenue</t>
  </si>
  <si>
    <t>All amounts are shown in Saudi riyal, except per-share data, ratios, and shares outstanding</t>
  </si>
  <si>
    <t>Inventories</t>
  </si>
  <si>
    <t>Total Debt (Excluding Leases)</t>
  </si>
  <si>
    <t>Provision</t>
  </si>
  <si>
    <t>Provision % of BOP</t>
  </si>
  <si>
    <t>Benefits paid % of BOP</t>
  </si>
  <si>
    <t>Net draw / (repayment)</t>
  </si>
  <si>
    <t>Revolver</t>
  </si>
  <si>
    <t>Cash before revolver</t>
  </si>
  <si>
    <t>Revolver EOP</t>
  </si>
  <si>
    <t>Cash of Revenue %</t>
  </si>
  <si>
    <t>Qassim Cement</t>
  </si>
  <si>
    <t>3040.SR</t>
  </si>
  <si>
    <t>Cost of revenue</t>
  </si>
  <si>
    <t>Gross profit</t>
  </si>
  <si>
    <t>Selling and marketing expenses</t>
  </si>
  <si>
    <t>General and administrative expenses</t>
  </si>
  <si>
    <t>Reversal / (allowance) for expected credit loss</t>
  </si>
  <si>
    <t>Other income, net</t>
  </si>
  <si>
    <t>Operation profit</t>
  </si>
  <si>
    <t>Unrealized gains on investments at FVTPL, net</t>
  </si>
  <si>
    <t>Realized gains on investments at FVTPL</t>
  </si>
  <si>
    <t>Income from financial investments at amortized cost</t>
  </si>
  <si>
    <t>Dividends from investments at fair value through profit or loss</t>
  </si>
  <si>
    <t>Zakat</t>
  </si>
  <si>
    <t>Net Profit for the year</t>
  </si>
  <si>
    <t>Profit before Zakat</t>
  </si>
  <si>
    <t>Property, plant and equipment</t>
  </si>
  <si>
    <t>Intangible assets</t>
  </si>
  <si>
    <t>Goodwill</t>
  </si>
  <si>
    <t>Right-of-use assets</t>
  </si>
  <si>
    <t>Investment properties</t>
  </si>
  <si>
    <t>Financial investments at FVTPL</t>
  </si>
  <si>
    <t>Financial investments at amortized cost</t>
  </si>
  <si>
    <t>Trade receivables</t>
  </si>
  <si>
    <t>Prepaid expenses and other receivables</t>
  </si>
  <si>
    <t>Cash and cash equivalents</t>
  </si>
  <si>
    <t>Trade and other payables</t>
  </si>
  <si>
    <t>Short term borrowing</t>
  </si>
  <si>
    <t>Dividends’ payable</t>
  </si>
  <si>
    <t>Zakat Provision</t>
  </si>
  <si>
    <t>Other Provision</t>
  </si>
  <si>
    <t>Short-term lease liabilities</t>
  </si>
  <si>
    <t>Employees’ benefit obligations</t>
  </si>
  <si>
    <t>Long-term lease liabilities</t>
  </si>
  <si>
    <t>Share capital</t>
  </si>
  <si>
    <t>Additional share capital</t>
  </si>
  <si>
    <t>Statutory reserve</t>
  </si>
  <si>
    <t>Treasury shares</t>
  </si>
  <si>
    <t>Other reserve</t>
  </si>
  <si>
    <t>Retained earnings</t>
  </si>
  <si>
    <t>Financial investments at amortized cost - current</t>
  </si>
  <si>
    <t>Provision for site restoration / rehabilitation</t>
  </si>
  <si>
    <t>Depreciation of property, plant and equipment</t>
  </si>
  <si>
    <t>Depreciation of right-of-use assets</t>
  </si>
  <si>
    <t>Service cost of employees’ benefits obligations</t>
  </si>
  <si>
    <t>Inventory</t>
  </si>
  <si>
    <t>Employees’ benefit obligations paid</t>
  </si>
  <si>
    <t>Amortisation of intangibles assets</t>
  </si>
  <si>
    <t>Paid to purchase property, plant and equipment</t>
  </si>
  <si>
    <t>Paid to purchase intangible assets</t>
  </si>
  <si>
    <t>Proceeds from short term borrowings</t>
  </si>
  <si>
    <t>Lease payments</t>
  </si>
  <si>
    <t>Paid dividends</t>
  </si>
  <si>
    <t>Plus: Net income</t>
  </si>
  <si>
    <t>Dividend payout ratio % of Net Income</t>
  </si>
  <si>
    <t>INTANGIBLE ASSETS</t>
  </si>
  <si>
    <t>Less: Benefits paid</t>
  </si>
  <si>
    <t>Dividends Declared (Additions)</t>
  </si>
  <si>
    <t>Less: Dividends Paid (Payments)</t>
  </si>
  <si>
    <t>Dividends Declared (Additions) % of Revenue</t>
  </si>
  <si>
    <t>Dividends Paid (Payments) % of Revenue</t>
  </si>
  <si>
    <t>Additions</t>
  </si>
  <si>
    <t>Less: Interest</t>
  </si>
  <si>
    <t>Additions % of Revenue</t>
  </si>
  <si>
    <t>Interest % of Revenue</t>
  </si>
  <si>
    <t>Minimum cash</t>
  </si>
  <si>
    <t>Change in other provisions</t>
  </si>
  <si>
    <t>Change in site restoration provision</t>
  </si>
  <si>
    <t>Change in zakat provision</t>
  </si>
  <si>
    <t>Net income</t>
  </si>
  <si>
    <t>Financial Ratios</t>
  </si>
  <si>
    <t>Net Debt</t>
  </si>
  <si>
    <t>Net Debt / EBITDA</t>
  </si>
  <si>
    <t>Gross Leverage (Total Debt / Total Assets)</t>
  </si>
  <si>
    <t>Net Debt / Equity</t>
  </si>
  <si>
    <t>Current Ratio</t>
  </si>
  <si>
    <t>Quick Ratio</t>
  </si>
  <si>
    <t>Strong / Adequate / Elevated</t>
  </si>
  <si>
    <t>Total Debt</t>
  </si>
  <si>
    <t>Leverage Ratios</t>
  </si>
  <si>
    <t>Coverage Ratios</t>
  </si>
  <si>
    <t>Liquidity Ratios</t>
  </si>
  <si>
    <t>Returns &amp; Profitability</t>
  </si>
  <si>
    <t>Return on Assets (ROA)</t>
  </si>
  <si>
    <t>Return on Equity (ROE)</t>
  </si>
  <si>
    <t>Interest Coverage Ratio EBIT / Finance Cost</t>
  </si>
  <si>
    <t>Net profit margin</t>
  </si>
  <si>
    <t>Asset turnover</t>
  </si>
  <si>
    <t>Equity multiplier (leverage)</t>
  </si>
  <si>
    <t>ROE (DuPont)</t>
  </si>
  <si>
    <t>Check: DuPont = direct ROE</t>
  </si>
  <si>
    <t>L</t>
  </si>
  <si>
    <t>H</t>
  </si>
  <si>
    <t>DuPont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</si>
</sst>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164" formatCode="&quot;$&quot;#,##0.00_);\(&quot;$&quot;#,##0.00\)"/>
    <numFmt numFmtId="165" formatCode="_(* #,##0_);_(* \(#,##0\);_(* &quot;-&quot;_);_(@_)"/>
    <numFmt numFmtId="166" formatCode="&quot;FY&quot;yy"/>
    <numFmt numFmtId="167" formatCode="0.0%"/>
    <numFmt numFmtId="168" formatCode="_(* #,##0.00_);_(* \(#,##0.00\);_(* \-??_);_(@_)"/>
    <numFmt numFmtId="169" formatCode="_(* #,##0_);_(* \(#,##0\);_(* \-??_);_(@_)"/>
    <numFmt numFmtId="170" formatCode="_(* #,##0_);_(* \(#,##0\);_(* \-_);_(@_)"/>
    <numFmt numFmtId="171" formatCode="_(* #,##0_);_(* \(#,##0\);_(* &quot;-&quot;??_);_(@_)"/>
    <numFmt numFmtId="172" formatCode="#,##0.000_);\(#,##0.000\)"/>
    <numFmt numFmtId="173" formatCode="m/d/yy;@"/>
    <numFmt numFmtId="174" formatCode="0\A;[Red]0\A"/>
    <numFmt numFmtId="175" formatCode="0\P_);\(0\P\)"/>
    <numFmt numFmtId="176" formatCode="0.0%_);\(0.0%\);@_)"/>
    <numFmt numFmtId="177" formatCode="_(#,##0.0%_);\(#,##0.0%\);_(&quot;–&quot;_)_%;_(@_)_%"/>
    <numFmt numFmtId="178" formatCode="0000\A"/>
    <numFmt numFmtId="179" formatCode="0000\P"/>
    <numFmt numFmtId="180" formatCode="#,##0_);\(#,##0\);@_)"/>
    <numFmt numFmtId="181" formatCode="0.0\x_);\(0.0\x\);@_)"/>
    <numFmt numFmtId="182" formatCode="0.000%_);\(0.000%\);@_)"/>
    <numFmt numFmtId="183" formatCode="#,##0.000_);\(#,##0.000\);@_)"/>
    <numFmt numFmtId="184" formatCode="_([$$]#,##0_)_%;\([$$]#,##0\)_%;_(&quot;–&quot;_)_%;_(@_)_%"/>
    <numFmt numFmtId="185" formatCode="&quot;$&quot;#,##0.00_);\(&quot;$&quot;#,##0.00\);@_)"/>
    <numFmt numFmtId="186" formatCode="_(0.0\x_)_';_(\(0.0\x\)_';_(&quot;–&quot;_)_%;_(@_)_%"/>
    <numFmt numFmtId="187" formatCode="_(0.0_)_'_x;_(\(0.0\)_';_(&quot;–&quot;_)_%;_(@_)_%"/>
    <numFmt numFmtId="188" formatCode="#,##0.00_);\(#,##0.00\);\-_);@_)"/>
    <numFmt numFmtId="189" formatCode="#,##0.0_);\(#,##0.0\);\-_);@_)"/>
    <numFmt numFmtId="190" formatCode="_(#,##0.00%_);\(#,##0.00%\);_(&quot;–&quot;_)_%;_(@_)_%"/>
    <numFmt numFmtId="191" formatCode="_(* #,##0.0_);_(* \(#,##0.0\);_(* \-??_);_(@_)"/>
    <numFmt numFmtId="192" formatCode="d/m/yy;@"/>
    <numFmt numFmtId="193" formatCode="[$-409]mmmmm/yy;@"/>
    <numFmt numFmtId="194" formatCode="&quot;SAR&quot;\ #,##0.00"/>
    <numFmt numFmtId="195" formatCode="_-* #,##0_-;\-* #,##0_-;_-* &quot;-&quot;??_-;_-@_-"/>
    <numFmt numFmtId="196" formatCode="0.00\x_);\(0.00\x\);@_)"/>
  </numFmts>
  <fonts count="37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theme="4" tint="-0.249977111117893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  <scheme val="minor"/>
    </font>
    <font>
      <i/>
      <sz val="9"/>
      <color rgb="FF000000"/>
      <name val="Calibri"/>
      <family val="2"/>
      <scheme val="minor"/>
    </font>
    <font>
      <sz val="10"/>
      <name val="Times New Roman"/>
      <family val="1"/>
    </font>
    <font>
      <sz val="11"/>
      <color rgb="FF008000"/>
      <name val="Calibri"/>
      <family val="2"/>
      <scheme val="minor"/>
    </font>
    <font>
      <u/>
      <sz val="11"/>
      <color theme="1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</font>
    <font>
      <sz val="11"/>
      <color theme="4" tint="-0.249977111117893"/>
      <name val="Calibri"/>
      <family val="2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11"/>
      <color rgb="FF0070C0"/>
      <name val="Calibri"/>
      <family val="2"/>
      <scheme val="minor"/>
    </font>
    <font>
      <sz val="11"/>
      <color rgb="FF0000FF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2F2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168" fontId="5" fillId="0" borderId="0"/>
    <xf numFmtId="9" fontId="5" fillId="0" borderId="0"/>
    <xf numFmtId="0" fontId="4" fillId="0" borderId="0"/>
    <xf numFmtId="37" fontId="20" fillId="0" borderId="0"/>
    <xf numFmtId="0" fontId="22" fillId="0" borderId="0" applyNumberFormat="0" applyFill="0" applyBorder="0" applyAlignment="0" applyProtection="0"/>
    <xf numFmtId="193" fontId="34" fillId="0" borderId="0"/>
  </cellStyleXfs>
  <cellXfs count="270">
    <xf numFmtId="0" fontId="0" fillId="0" borderId="0" xfId="0"/>
    <xf numFmtId="167" fontId="5" fillId="0" borderId="0" xfId="2" applyNumberFormat="1"/>
    <xf numFmtId="0" fontId="6" fillId="0" borderId="4" xfId="0" applyFont="1" applyBorder="1"/>
    <xf numFmtId="0" fontId="7" fillId="0" borderId="0" xfId="0" applyFont="1"/>
    <xf numFmtId="0" fontId="8" fillId="0" borderId="0" xfId="0" applyFont="1" applyAlignment="1">
      <alignment horizontal="center"/>
    </xf>
    <xf numFmtId="14" fontId="8" fillId="0" borderId="0" xfId="0" applyNumberFormat="1" applyFont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9" fillId="0" borderId="4" xfId="0" applyFont="1" applyBorder="1"/>
    <xf numFmtId="0" fontId="9" fillId="0" borderId="5" xfId="0" applyFont="1" applyBorder="1"/>
    <xf numFmtId="170" fontId="13" fillId="0" borderId="0" xfId="1" applyNumberFormat="1" applyFont="1"/>
    <xf numFmtId="0" fontId="14" fillId="0" borderId="1" xfId="0" applyFont="1" applyBorder="1"/>
    <xf numFmtId="169" fontId="14" fillId="0" borderId="1" xfId="1" applyNumberFormat="1" applyFont="1" applyBorder="1"/>
    <xf numFmtId="0" fontId="14" fillId="0" borderId="0" xfId="0" applyFont="1"/>
    <xf numFmtId="169" fontId="14" fillId="0" borderId="0" xfId="1" applyNumberFormat="1" applyFont="1"/>
    <xf numFmtId="167" fontId="10" fillId="0" borderId="0" xfId="2" applyNumberFormat="1" applyFont="1"/>
    <xf numFmtId="0" fontId="14" fillId="0" borderId="3" xfId="0" applyFont="1" applyBorder="1"/>
    <xf numFmtId="0" fontId="9" fillId="0" borderId="0" xfId="0" applyFont="1" applyAlignment="1">
      <alignment horizontal="left" indent="1"/>
    </xf>
    <xf numFmtId="169" fontId="9" fillId="0" borderId="0" xfId="0" applyNumberFormat="1" applyFont="1"/>
    <xf numFmtId="169" fontId="9" fillId="0" borderId="0" xfId="1" applyNumberFormat="1" applyFont="1"/>
    <xf numFmtId="0" fontId="16" fillId="0" borderId="2" xfId="0" applyFont="1" applyBorder="1"/>
    <xf numFmtId="169" fontId="14" fillId="0" borderId="2" xfId="1" applyNumberFormat="1" applyFont="1" applyBorder="1"/>
    <xf numFmtId="167" fontId="9" fillId="0" borderId="0" xfId="2" applyNumberFormat="1" applyFont="1"/>
    <xf numFmtId="1" fontId="9" fillId="0" borderId="0" xfId="2" applyNumberFormat="1" applyFont="1"/>
    <xf numFmtId="0" fontId="12" fillId="0" borderId="0" xfId="0" applyFont="1" applyAlignment="1">
      <alignment horizontal="left" indent="1"/>
    </xf>
    <xf numFmtId="169" fontId="14" fillId="0" borderId="0" xfId="0" applyNumberFormat="1" applyFont="1"/>
    <xf numFmtId="0" fontId="14" fillId="0" borderId="1" xfId="0" applyFont="1" applyBorder="1" applyAlignment="1">
      <alignment horizontal="left"/>
    </xf>
    <xf numFmtId="170" fontId="9" fillId="0" borderId="0" xfId="0" applyNumberFormat="1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indent="2"/>
    </xf>
    <xf numFmtId="170" fontId="15" fillId="0" borderId="3" xfId="1" applyNumberFormat="1" applyFont="1" applyBorder="1"/>
    <xf numFmtId="0" fontId="17" fillId="0" borderId="0" xfId="0" applyFont="1"/>
    <xf numFmtId="0" fontId="11" fillId="0" borderId="0" xfId="0" applyFont="1"/>
    <xf numFmtId="0" fontId="17" fillId="0" borderId="0" xfId="0" applyFont="1" applyAlignment="1">
      <alignment horizontal="center" vertical="center"/>
    </xf>
    <xf numFmtId="166" fontId="11" fillId="0" borderId="0" xfId="0" applyNumberFormat="1" applyFont="1" applyAlignment="1">
      <alignment horizontal="center" vertical="center"/>
    </xf>
    <xf numFmtId="0" fontId="12" fillId="0" borderId="0" xfId="0" applyFont="1"/>
    <xf numFmtId="170" fontId="12" fillId="0" borderId="0" xfId="0" applyNumberFormat="1" applyFont="1" applyAlignment="1">
      <alignment horizontal="center" vertical="center"/>
    </xf>
    <xf numFmtId="10" fontId="9" fillId="0" borderId="0" xfId="2" applyNumberFormat="1" applyFont="1"/>
    <xf numFmtId="0" fontId="14" fillId="0" borderId="3" xfId="0" applyFont="1" applyBorder="1" applyAlignment="1">
      <alignment horizontal="left"/>
    </xf>
    <xf numFmtId="0" fontId="6" fillId="0" borderId="6" xfId="0" applyFont="1" applyBorder="1"/>
    <xf numFmtId="0" fontId="0" fillId="0" borderId="6" xfId="0" applyBorder="1"/>
    <xf numFmtId="174" fontId="6" fillId="0" borderId="0" xfId="0" applyNumberFormat="1" applyFont="1"/>
    <xf numFmtId="175" fontId="6" fillId="0" borderId="0" xfId="0" applyNumberFormat="1" applyFont="1"/>
    <xf numFmtId="0" fontId="18" fillId="0" borderId="6" xfId="0" applyFont="1" applyBorder="1"/>
    <xf numFmtId="173" fontId="18" fillId="0" borderId="2" xfId="0" applyNumberFormat="1" applyFont="1" applyBorder="1"/>
    <xf numFmtId="0" fontId="15" fillId="0" borderId="0" xfId="0" applyFont="1"/>
    <xf numFmtId="173" fontId="18" fillId="0" borderId="6" xfId="0" applyNumberFormat="1" applyFont="1" applyBorder="1"/>
    <xf numFmtId="166" fontId="15" fillId="0" borderId="0" xfId="0" applyNumberFormat="1" applyFont="1" applyAlignment="1">
      <alignment horizontal="center" vertical="center"/>
    </xf>
    <xf numFmtId="0" fontId="0" fillId="0" borderId="3" xfId="0" applyBorder="1"/>
    <xf numFmtId="174" fontId="6" fillId="0" borderId="3" xfId="0" applyNumberFormat="1" applyFont="1" applyBorder="1"/>
    <xf numFmtId="175" fontId="6" fillId="0" borderId="3" xfId="0" applyNumberFormat="1" applyFont="1" applyBorder="1"/>
    <xf numFmtId="0" fontId="4" fillId="0" borderId="0" xfId="3"/>
    <xf numFmtId="0" fontId="6" fillId="0" borderId="4" xfId="3" applyFont="1" applyBorder="1"/>
    <xf numFmtId="0" fontId="4" fillId="0" borderId="4" xfId="3" applyBorder="1"/>
    <xf numFmtId="0" fontId="19" fillId="0" borderId="5" xfId="3" applyFont="1" applyBorder="1"/>
    <xf numFmtId="14" fontId="8" fillId="0" borderId="0" xfId="4" applyNumberFormat="1" applyFont="1" applyAlignment="1">
      <alignment horizontal="right"/>
    </xf>
    <xf numFmtId="176" fontId="21" fillId="0" borderId="0" xfId="3" applyNumberFormat="1" applyFont="1"/>
    <xf numFmtId="14" fontId="7" fillId="0" borderId="0" xfId="4" applyNumberFormat="1" applyFont="1" applyAlignment="1">
      <alignment horizontal="right"/>
    </xf>
    <xf numFmtId="14" fontId="8" fillId="0" borderId="0" xfId="3" applyNumberFormat="1" applyFont="1" applyAlignment="1">
      <alignment horizontal="right"/>
    </xf>
    <xf numFmtId="0" fontId="22" fillId="0" borderId="0" xfId="5" applyBorder="1"/>
    <xf numFmtId="177" fontId="7" fillId="0" borderId="0" xfId="3" applyNumberFormat="1" applyFont="1"/>
    <xf numFmtId="164" fontId="21" fillId="0" borderId="0" xfId="3" applyNumberFormat="1" applyFont="1" applyAlignment="1">
      <alignment horizontal="right"/>
    </xf>
    <xf numFmtId="0" fontId="6" fillId="0" borderId="7" xfId="3" applyFont="1" applyBorder="1"/>
    <xf numFmtId="0" fontId="4" fillId="0" borderId="7" xfId="3" applyBorder="1"/>
    <xf numFmtId="164" fontId="21" fillId="0" borderId="7" xfId="3" applyNumberFormat="1" applyFont="1" applyBorder="1" applyAlignment="1">
      <alignment horizontal="right"/>
    </xf>
    <xf numFmtId="0" fontId="23" fillId="0" borderId="0" xfId="3" applyFont="1" applyAlignment="1">
      <alignment horizontal="centerContinuous"/>
    </xf>
    <xf numFmtId="0" fontId="24" fillId="0" borderId="8" xfId="3" applyFont="1" applyBorder="1" applyAlignment="1">
      <alignment horizontal="centerContinuous"/>
    </xf>
    <xf numFmtId="0" fontId="18" fillId="0" borderId="0" xfId="3" applyFont="1"/>
    <xf numFmtId="14" fontId="4" fillId="0" borderId="0" xfId="3" applyNumberFormat="1" applyAlignment="1">
      <alignment horizontal="center"/>
    </xf>
    <xf numFmtId="180" fontId="7" fillId="0" borderId="0" xfId="3" applyNumberFormat="1" applyFont="1"/>
    <xf numFmtId="180" fontId="21" fillId="0" borderId="0" xfId="3" applyNumberFormat="1" applyFont="1"/>
    <xf numFmtId="0" fontId="4" fillId="0" borderId="0" xfId="3" applyAlignment="1">
      <alignment horizontal="left" indent="1"/>
    </xf>
    <xf numFmtId="0" fontId="6" fillId="0" borderId="0" xfId="3" applyFont="1"/>
    <xf numFmtId="180" fontId="25" fillId="0" borderId="0" xfId="3" applyNumberFormat="1" applyFont="1"/>
    <xf numFmtId="180" fontId="4" fillId="0" borderId="0" xfId="3" applyNumberFormat="1"/>
    <xf numFmtId="37" fontId="7" fillId="0" borderId="0" xfId="3" applyNumberFormat="1" applyFont="1"/>
    <xf numFmtId="180" fontId="21" fillId="0" borderId="7" xfId="3" applyNumberFormat="1" applyFont="1" applyBorder="1"/>
    <xf numFmtId="180" fontId="24" fillId="0" borderId="7" xfId="3" applyNumberFormat="1" applyFont="1" applyBorder="1" applyAlignment="1">
      <alignment horizontal="center"/>
    </xf>
    <xf numFmtId="180" fontId="24" fillId="0" borderId="0" xfId="3" applyNumberFormat="1" applyFont="1"/>
    <xf numFmtId="14" fontId="4" fillId="0" borderId="0" xfId="3" applyNumberFormat="1"/>
    <xf numFmtId="177" fontId="4" fillId="0" borderId="0" xfId="3" applyNumberFormat="1" applyAlignment="1">
      <alignment horizontal="center"/>
    </xf>
    <xf numFmtId="180" fontId="7" fillId="0" borderId="7" xfId="3" applyNumberFormat="1" applyFont="1" applyBorder="1"/>
    <xf numFmtId="0" fontId="25" fillId="0" borderId="0" xfId="3" applyFont="1"/>
    <xf numFmtId="177" fontId="8" fillId="0" borderId="0" xfId="3" applyNumberFormat="1" applyFont="1"/>
    <xf numFmtId="179" fontId="4" fillId="0" borderId="0" xfId="3" applyNumberFormat="1"/>
    <xf numFmtId="181" fontId="8" fillId="0" borderId="0" xfId="3" applyNumberFormat="1" applyFont="1"/>
    <xf numFmtId="180" fontId="6" fillId="0" borderId="0" xfId="3" applyNumberFormat="1" applyFont="1"/>
    <xf numFmtId="0" fontId="18" fillId="0" borderId="0" xfId="3" applyFont="1" applyAlignment="1">
      <alignment horizontal="left"/>
    </xf>
    <xf numFmtId="177" fontId="18" fillId="0" borderId="0" xfId="3" applyNumberFormat="1" applyFont="1"/>
    <xf numFmtId="182" fontId="18" fillId="0" borderId="0" xfId="3" applyNumberFormat="1" applyFont="1"/>
    <xf numFmtId="177" fontId="4" fillId="0" borderId="0" xfId="3" applyNumberFormat="1"/>
    <xf numFmtId="181" fontId="18" fillId="0" borderId="0" xfId="3" applyNumberFormat="1" applyFont="1"/>
    <xf numFmtId="176" fontId="4" fillId="0" borderId="0" xfId="3" quotePrefix="1" applyNumberFormat="1"/>
    <xf numFmtId="0" fontId="4" fillId="0" borderId="0" xfId="3" applyAlignment="1">
      <alignment horizontal="left"/>
    </xf>
    <xf numFmtId="0" fontId="26" fillId="0" borderId="0" xfId="3" applyFont="1"/>
    <xf numFmtId="0" fontId="26" fillId="0" borderId="0" xfId="3" applyFont="1" applyAlignment="1">
      <alignment horizontal="right"/>
    </xf>
    <xf numFmtId="0" fontId="26" fillId="0" borderId="0" xfId="3" applyFont="1" applyAlignment="1">
      <alignment horizontal="left" vertical="center"/>
    </xf>
    <xf numFmtId="14" fontId="7" fillId="0" borderId="0" xfId="3" applyNumberFormat="1" applyFont="1"/>
    <xf numFmtId="183" fontId="8" fillId="0" borderId="0" xfId="3" applyNumberFormat="1" applyFont="1"/>
    <xf numFmtId="172" fontId="8" fillId="0" borderId="0" xfId="3" applyNumberFormat="1" applyFont="1"/>
    <xf numFmtId="37" fontId="21" fillId="0" borderId="0" xfId="3" applyNumberFormat="1" applyFont="1"/>
    <xf numFmtId="172" fontId="21" fillId="0" borderId="0" xfId="3" applyNumberFormat="1" applyFont="1" applyAlignment="1">
      <alignment horizontal="right"/>
    </xf>
    <xf numFmtId="0" fontId="7" fillId="0" borderId="0" xfId="3" applyFont="1" applyAlignment="1">
      <alignment horizontal="left" indent="1"/>
    </xf>
    <xf numFmtId="0" fontId="6" fillId="0" borderId="0" xfId="3" applyFont="1" applyAlignment="1">
      <alignment horizontal="left"/>
    </xf>
    <xf numFmtId="184" fontId="8" fillId="0" borderId="0" xfId="3" applyNumberFormat="1" applyFont="1"/>
    <xf numFmtId="0" fontId="4" fillId="0" borderId="0" xfId="3" applyAlignment="1">
      <alignment horizontal="left" vertical="center" indent="1"/>
    </xf>
    <xf numFmtId="172" fontId="4" fillId="0" borderId="0" xfId="3" applyNumberFormat="1"/>
    <xf numFmtId="183" fontId="27" fillId="0" borderId="0" xfId="3" applyNumberFormat="1" applyFont="1"/>
    <xf numFmtId="0" fontId="6" fillId="0" borderId="0" xfId="3" applyFont="1" applyAlignment="1">
      <alignment vertical="center"/>
    </xf>
    <xf numFmtId="0" fontId="23" fillId="0" borderId="0" xfId="3" applyFont="1" applyAlignment="1">
      <alignment horizontal="right"/>
    </xf>
    <xf numFmtId="180" fontId="4" fillId="0" borderId="0" xfId="3" applyNumberFormat="1" applyAlignment="1">
      <alignment horizontal="right"/>
    </xf>
    <xf numFmtId="37" fontId="18" fillId="0" borderId="7" xfId="3" applyNumberFormat="1" applyFont="1" applyBorder="1" applyAlignment="1">
      <alignment horizontal="right"/>
    </xf>
    <xf numFmtId="37" fontId="4" fillId="0" borderId="0" xfId="3" applyNumberFormat="1" applyAlignment="1">
      <alignment horizontal="right"/>
    </xf>
    <xf numFmtId="187" fontId="4" fillId="0" borderId="0" xfId="3" applyNumberFormat="1" applyAlignment="1">
      <alignment horizontal="right"/>
    </xf>
    <xf numFmtId="0" fontId="7" fillId="2" borderId="0" xfId="3" applyFont="1" applyFill="1"/>
    <xf numFmtId="0" fontId="28" fillId="0" borderId="0" xfId="3" applyFont="1" applyAlignment="1">
      <alignment horizontal="centerContinuous"/>
    </xf>
    <xf numFmtId="0" fontId="23" fillId="0" borderId="9" xfId="3" applyFont="1" applyBorder="1" applyAlignment="1">
      <alignment horizontal="centerContinuous"/>
    </xf>
    <xf numFmtId="0" fontId="4" fillId="0" borderId="0" xfId="3" applyAlignment="1">
      <alignment horizontal="centerContinuous"/>
    </xf>
    <xf numFmtId="0" fontId="4" fillId="0" borderId="9" xfId="3" applyBorder="1" applyAlignment="1">
      <alignment horizontal="centerContinuous"/>
    </xf>
    <xf numFmtId="0" fontId="4" fillId="0" borderId="0" xfId="3" applyAlignment="1">
      <alignment horizontal="right"/>
    </xf>
    <xf numFmtId="167" fontId="8" fillId="3" borderId="11" xfId="3" applyNumberFormat="1" applyFont="1" applyFill="1" applyBorder="1"/>
    <xf numFmtId="181" fontId="4" fillId="0" borderId="12" xfId="3" applyNumberFormat="1" applyBorder="1" applyAlignment="1">
      <alignment horizontal="right"/>
    </xf>
    <xf numFmtId="188" fontId="4" fillId="0" borderId="0" xfId="3" applyNumberFormat="1"/>
    <xf numFmtId="188" fontId="4" fillId="0" borderId="9" xfId="3" applyNumberFormat="1" applyBorder="1"/>
    <xf numFmtId="181" fontId="4" fillId="0" borderId="0" xfId="3" applyNumberFormat="1" applyAlignment="1">
      <alignment horizontal="right"/>
    </xf>
    <xf numFmtId="167" fontId="8" fillId="3" borderId="14" xfId="3" applyNumberFormat="1" applyFont="1" applyFill="1" applyBorder="1" applyAlignment="1">
      <alignment horizontal="right"/>
    </xf>
    <xf numFmtId="0" fontId="25" fillId="2" borderId="0" xfId="3" applyFont="1" applyFill="1" applyAlignment="1">
      <alignment horizontal="center"/>
    </xf>
    <xf numFmtId="189" fontId="4" fillId="0" borderId="0" xfId="3" applyNumberFormat="1"/>
    <xf numFmtId="181" fontId="8" fillId="3" borderId="11" xfId="3" applyNumberFormat="1" applyFont="1" applyFill="1" applyBorder="1"/>
    <xf numFmtId="0" fontId="4" fillId="0" borderId="9" xfId="3" applyBorder="1"/>
    <xf numFmtId="0" fontId="6" fillId="4" borderId="0" xfId="3" applyFont="1" applyFill="1"/>
    <xf numFmtId="0" fontId="6" fillId="4" borderId="9" xfId="3" applyFont="1" applyFill="1" applyBorder="1"/>
    <xf numFmtId="190" fontId="4" fillId="0" borderId="0" xfId="3" applyNumberFormat="1"/>
    <xf numFmtId="0" fontId="4" fillId="0" borderId="10" xfId="3" applyBorder="1"/>
    <xf numFmtId="0" fontId="4" fillId="0" borderId="11" xfId="3" applyBorder="1" applyAlignment="1">
      <alignment horizontal="right"/>
    </xf>
    <xf numFmtId="0" fontId="4" fillId="0" borderId="13" xfId="3" applyBorder="1" applyAlignment="1">
      <alignment horizontal="right"/>
    </xf>
    <xf numFmtId="0" fontId="4" fillId="0" borderId="11" xfId="3" applyBorder="1"/>
    <xf numFmtId="0" fontId="4" fillId="0" borderId="15" xfId="3" applyBorder="1"/>
    <xf numFmtId="177" fontId="7" fillId="0" borderId="0" xfId="0" applyNumberFormat="1" applyFont="1"/>
    <xf numFmtId="0" fontId="25" fillId="0" borderId="7" xfId="3" applyFont="1" applyBorder="1"/>
    <xf numFmtId="0" fontId="7" fillId="0" borderId="7" xfId="3" applyFont="1" applyBorder="1"/>
    <xf numFmtId="0" fontId="25" fillId="0" borderId="7" xfId="3" applyFont="1" applyBorder="1" applyAlignment="1">
      <alignment horizontal="right"/>
    </xf>
    <xf numFmtId="0" fontId="26" fillId="0" borderId="0" xfId="3" applyFont="1" applyAlignment="1">
      <alignment horizontal="left"/>
    </xf>
    <xf numFmtId="0" fontId="6" fillId="0" borderId="6" xfId="3" applyFont="1" applyBorder="1"/>
    <xf numFmtId="0" fontId="6" fillId="0" borderId="10" xfId="3" applyFont="1" applyBorder="1"/>
    <xf numFmtId="10" fontId="8" fillId="0" borderId="0" xfId="3" applyNumberFormat="1" applyFont="1"/>
    <xf numFmtId="190" fontId="21" fillId="0" borderId="7" xfId="3" applyNumberFormat="1" applyFont="1" applyBorder="1"/>
    <xf numFmtId="190" fontId="7" fillId="0" borderId="0" xfId="3" applyNumberFormat="1" applyFont="1"/>
    <xf numFmtId="10" fontId="8" fillId="0" borderId="7" xfId="3" applyNumberFormat="1" applyFont="1" applyBorder="1"/>
    <xf numFmtId="10" fontId="7" fillId="0" borderId="0" xfId="3" applyNumberFormat="1" applyFont="1"/>
    <xf numFmtId="167" fontId="7" fillId="0" borderId="0" xfId="3" applyNumberFormat="1" applyFont="1"/>
    <xf numFmtId="0" fontId="4" fillId="0" borderId="6" xfId="3" applyBorder="1"/>
    <xf numFmtId="167" fontId="24" fillId="0" borderId="0" xfId="3" applyNumberFormat="1" applyFont="1" applyAlignment="1">
      <alignment horizontal="right"/>
    </xf>
    <xf numFmtId="9" fontId="8" fillId="0" borderId="0" xfId="3" applyNumberFormat="1" applyFont="1"/>
    <xf numFmtId="176" fontId="4" fillId="0" borderId="0" xfId="3" applyNumberFormat="1"/>
    <xf numFmtId="9" fontId="7" fillId="0" borderId="0" xfId="3" applyNumberFormat="1" applyFont="1"/>
    <xf numFmtId="0" fontId="6" fillId="0" borderId="11" xfId="3" applyFont="1" applyBorder="1"/>
    <xf numFmtId="176" fontId="6" fillId="0" borderId="13" xfId="3" applyNumberFormat="1" applyFont="1" applyBorder="1"/>
    <xf numFmtId="180" fontId="7" fillId="0" borderId="0" xfId="0" applyNumberFormat="1" applyFont="1"/>
    <xf numFmtId="14" fontId="0" fillId="0" borderId="0" xfId="0" applyNumberFormat="1"/>
    <xf numFmtId="39" fontId="8" fillId="0" borderId="0" xfId="3" applyNumberFormat="1" applyFont="1"/>
    <xf numFmtId="170" fontId="15" fillId="0" borderId="0" xfId="1" applyNumberFormat="1" applyFont="1"/>
    <xf numFmtId="170" fontId="14" fillId="0" borderId="0" xfId="0" applyNumberFormat="1" applyFont="1"/>
    <xf numFmtId="185" fontId="0" fillId="0" borderId="6" xfId="0" applyNumberFormat="1" applyBorder="1" applyAlignment="1">
      <alignment horizontal="right"/>
    </xf>
    <xf numFmtId="185" fontId="0" fillId="0" borderId="12" xfId="0" applyNumberFormat="1" applyBorder="1"/>
    <xf numFmtId="181" fontId="29" fillId="3" borderId="11" xfId="3" applyNumberFormat="1" applyFont="1" applyFill="1" applyBorder="1"/>
    <xf numFmtId="0" fontId="0" fillId="0" borderId="16" xfId="0" quotePrefix="1" applyBorder="1"/>
    <xf numFmtId="39" fontId="0" fillId="0" borderId="0" xfId="0" applyNumberFormat="1"/>
    <xf numFmtId="39" fontId="0" fillId="0" borderId="17" xfId="0" applyNumberFormat="1" applyBorder="1"/>
    <xf numFmtId="0" fontId="0" fillId="0" borderId="16" xfId="0" applyBorder="1"/>
    <xf numFmtId="0" fontId="0" fillId="0" borderId="18" xfId="0" applyBorder="1"/>
    <xf numFmtId="39" fontId="0" fillId="0" borderId="6" xfId="0" applyNumberFormat="1" applyBorder="1"/>
    <xf numFmtId="39" fontId="7" fillId="0" borderId="6" xfId="0" applyNumberFormat="1" applyFont="1" applyBorder="1"/>
    <xf numFmtId="39" fontId="0" fillId="0" borderId="12" xfId="0" applyNumberFormat="1" applyBorder="1"/>
    <xf numFmtId="0" fontId="0" fillId="0" borderId="9" xfId="0" applyBorder="1"/>
    <xf numFmtId="39" fontId="7" fillId="0" borderId="0" xfId="0" applyNumberFormat="1" applyFont="1"/>
    <xf numFmtId="39" fontId="7" fillId="0" borderId="17" xfId="0" applyNumberFormat="1" applyFont="1" applyBorder="1"/>
    <xf numFmtId="0" fontId="0" fillId="0" borderId="19" xfId="0" applyBorder="1"/>
    <xf numFmtId="39" fontId="7" fillId="0" borderId="12" xfId="0" applyNumberFormat="1" applyFont="1" applyBorder="1"/>
    <xf numFmtId="178" fontId="6" fillId="0" borderId="20" xfId="3" applyNumberFormat="1" applyFont="1" applyBorder="1"/>
    <xf numFmtId="180" fontId="21" fillId="0" borderId="21" xfId="3" applyNumberFormat="1" applyFont="1" applyBorder="1"/>
    <xf numFmtId="9" fontId="5" fillId="0" borderId="21" xfId="2" applyBorder="1"/>
    <xf numFmtId="180" fontId="7" fillId="0" borderId="21" xfId="3" applyNumberFormat="1" applyFont="1" applyBorder="1"/>
    <xf numFmtId="176" fontId="21" fillId="0" borderId="21" xfId="3" applyNumberFormat="1" applyFont="1" applyBorder="1"/>
    <xf numFmtId="180" fontId="25" fillId="0" borderId="22" xfId="3" applyNumberFormat="1" applyFont="1" applyBorder="1"/>
    <xf numFmtId="179" fontId="6" fillId="0" borderId="23" xfId="3" applyNumberFormat="1" applyFont="1" applyBorder="1"/>
    <xf numFmtId="179" fontId="6" fillId="0" borderId="20" xfId="3" applyNumberFormat="1" applyFont="1" applyBorder="1"/>
    <xf numFmtId="14" fontId="19" fillId="0" borderId="5" xfId="3" applyNumberFormat="1" applyFont="1" applyBorder="1"/>
    <xf numFmtId="169" fontId="5" fillId="0" borderId="0" xfId="1" applyNumberFormat="1"/>
    <xf numFmtId="170" fontId="9" fillId="0" borderId="0" xfId="0" applyNumberFormat="1" applyFont="1" applyAlignment="1">
      <alignment horizontal="center" vertical="center"/>
    </xf>
    <xf numFmtId="170" fontId="0" fillId="0" borderId="0" xfId="0" applyNumberFormat="1"/>
    <xf numFmtId="169" fontId="31" fillId="0" borderId="0" xfId="1" applyNumberFormat="1" applyFont="1"/>
    <xf numFmtId="180" fontId="8" fillId="0" borderId="0" xfId="3" applyNumberFormat="1" applyFont="1"/>
    <xf numFmtId="3" fontId="6" fillId="0" borderId="0" xfId="3" applyNumberFormat="1" applyFont="1"/>
    <xf numFmtId="14" fontId="8" fillId="0" borderId="0" xfId="3" applyNumberFormat="1" applyFont="1" applyAlignment="1">
      <alignment horizontal="left" vertical="center"/>
    </xf>
    <xf numFmtId="0" fontId="8" fillId="0" borderId="0" xfId="3" applyFont="1" applyAlignment="1">
      <alignment horizontal="left" vertical="center"/>
    </xf>
    <xf numFmtId="167" fontId="7" fillId="3" borderId="14" xfId="0" applyNumberFormat="1" applyFont="1" applyFill="1" applyBorder="1" applyAlignment="1">
      <alignment horizontal="right"/>
    </xf>
    <xf numFmtId="167" fontId="7" fillId="3" borderId="24" xfId="0" applyNumberFormat="1" applyFont="1" applyFill="1" applyBorder="1" applyAlignment="1">
      <alignment horizontal="right"/>
    </xf>
    <xf numFmtId="167" fontId="7" fillId="3" borderId="10" xfId="0" applyNumberFormat="1" applyFont="1" applyFill="1" applyBorder="1"/>
    <xf numFmtId="167" fontId="7" fillId="3" borderId="11" xfId="0" applyNumberFormat="1" applyFont="1" applyFill="1" applyBorder="1"/>
    <xf numFmtId="191" fontId="5" fillId="0" borderId="0" xfId="1" applyNumberFormat="1"/>
    <xf numFmtId="0" fontId="14" fillId="0" borderId="0" xfId="0" applyFont="1" applyAlignment="1">
      <alignment horizontal="left"/>
    </xf>
    <xf numFmtId="171" fontId="13" fillId="0" borderId="0" xfId="0" applyNumberFormat="1" applyFont="1"/>
    <xf numFmtId="165" fontId="14" fillId="0" borderId="0" xfId="0" applyNumberFormat="1" applyFont="1" applyAlignment="1">
      <alignment horizontal="center" vertical="center"/>
    </xf>
    <xf numFmtId="165" fontId="12" fillId="0" borderId="0" xfId="1" applyNumberFormat="1" applyFont="1"/>
    <xf numFmtId="165" fontId="9" fillId="0" borderId="0" xfId="0" applyNumberFormat="1" applyFont="1" applyAlignment="1">
      <alignment horizontal="center" vertical="center"/>
    </xf>
    <xf numFmtId="165" fontId="9" fillId="0" borderId="0" xfId="0" applyNumberFormat="1" applyFont="1"/>
    <xf numFmtId="165" fontId="15" fillId="0" borderId="0" xfId="1" applyNumberFormat="1" applyFont="1"/>
    <xf numFmtId="165" fontId="14" fillId="0" borderId="0" xfId="1" applyNumberFormat="1" applyFont="1"/>
    <xf numFmtId="165" fontId="12" fillId="0" borderId="0" xfId="0" applyNumberFormat="1" applyFont="1"/>
    <xf numFmtId="165" fontId="15" fillId="0" borderId="0" xfId="0" applyNumberFormat="1" applyFont="1" applyAlignment="1">
      <alignment horizontal="center" vertical="center"/>
    </xf>
    <xf numFmtId="9" fontId="5" fillId="0" borderId="0" xfId="2"/>
    <xf numFmtId="9" fontId="31" fillId="0" borderId="0" xfId="2" applyFont="1"/>
    <xf numFmtId="167" fontId="12" fillId="0" borderId="3" xfId="2" applyNumberFormat="1" applyFont="1" applyBorder="1"/>
    <xf numFmtId="167" fontId="7" fillId="0" borderId="0" xfId="0" applyNumberFormat="1" applyFont="1"/>
    <xf numFmtId="167" fontId="31" fillId="0" borderId="0" xfId="2" applyNumberFormat="1" applyFont="1"/>
    <xf numFmtId="170" fontId="14" fillId="0" borderId="0" xfId="0" applyNumberFormat="1" applyFont="1" applyAlignment="1">
      <alignment horizontal="center" vertical="center"/>
    </xf>
    <xf numFmtId="0" fontId="3" fillId="0" borderId="0" xfId="3" applyFont="1"/>
    <xf numFmtId="37" fontId="3" fillId="0" borderId="0" xfId="3" applyNumberFormat="1" applyFont="1" applyAlignment="1">
      <alignment horizontal="right"/>
    </xf>
    <xf numFmtId="169" fontId="14" fillId="0" borderId="0" xfId="0" applyNumberFormat="1" applyFont="1" applyAlignment="1">
      <alignment horizontal="center" vertical="center"/>
    </xf>
    <xf numFmtId="169" fontId="15" fillId="0" borderId="0" xfId="0" applyNumberFormat="1" applyFont="1" applyAlignment="1">
      <alignment horizontal="center" vertical="center"/>
    </xf>
    <xf numFmtId="169" fontId="15" fillId="0" borderId="0" xfId="1" applyNumberFormat="1" applyFont="1"/>
    <xf numFmtId="176" fontId="0" fillId="0" borderId="0" xfId="0" quotePrefix="1" applyNumberFormat="1"/>
    <xf numFmtId="167" fontId="7" fillId="3" borderId="25" xfId="0" applyNumberFormat="1" applyFont="1" applyFill="1" applyBorder="1"/>
    <xf numFmtId="181" fontId="7" fillId="0" borderId="0" xfId="3" applyNumberFormat="1" applyFont="1"/>
    <xf numFmtId="181" fontId="29" fillId="3" borderId="25" xfId="3" applyNumberFormat="1" applyFont="1" applyFill="1" applyBorder="1"/>
    <xf numFmtId="0" fontId="6" fillId="0" borderId="0" xfId="0" applyFont="1"/>
    <xf numFmtId="165" fontId="18" fillId="0" borderId="0" xfId="0" applyNumberFormat="1" applyFont="1"/>
    <xf numFmtId="169" fontId="12" fillId="0" borderId="0" xfId="1" applyNumberFormat="1" applyFont="1"/>
    <xf numFmtId="171" fontId="9" fillId="0" borderId="0" xfId="0" applyNumberFormat="1" applyFont="1"/>
    <xf numFmtId="167" fontId="9" fillId="0" borderId="0" xfId="2" applyNumberFormat="1" applyFont="1" applyAlignment="1">
      <alignment horizontal="left"/>
    </xf>
    <xf numFmtId="0" fontId="9" fillId="0" borderId="0" xfId="0" applyFont="1" applyAlignment="1">
      <alignment horizontal="left"/>
    </xf>
    <xf numFmtId="171" fontId="14" fillId="0" borderId="0" xfId="1" applyNumberFormat="1" applyFont="1"/>
    <xf numFmtId="0" fontId="16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192" fontId="18" fillId="0" borderId="2" xfId="0" applyNumberFormat="1" applyFont="1" applyBorder="1"/>
    <xf numFmtId="192" fontId="2" fillId="0" borderId="2" xfId="0" applyNumberFormat="1" applyFont="1" applyBorder="1" applyAlignment="1">
      <alignment horizontal="center"/>
    </xf>
    <xf numFmtId="170" fontId="14" fillId="0" borderId="3" xfId="0" applyNumberFormat="1" applyFont="1" applyBorder="1" applyAlignment="1">
      <alignment horizontal="center" vertical="center"/>
    </xf>
    <xf numFmtId="14" fontId="19" fillId="0" borderId="0" xfId="0" applyNumberFormat="1" applyFont="1" applyAlignment="1">
      <alignment horizontal="left"/>
    </xf>
    <xf numFmtId="170" fontId="12" fillId="0" borderId="0" xfId="1" applyNumberFormat="1" applyFont="1"/>
    <xf numFmtId="170" fontId="13" fillId="0" borderId="0" xfId="0" applyNumberFormat="1" applyFont="1"/>
    <xf numFmtId="186" fontId="0" fillId="0" borderId="0" xfId="0" applyNumberFormat="1" applyAlignment="1">
      <alignment horizontal="right"/>
    </xf>
    <xf numFmtId="187" fontId="0" fillId="0" borderId="0" xfId="0" applyNumberFormat="1" applyAlignment="1">
      <alignment horizontal="right"/>
    </xf>
    <xf numFmtId="0" fontId="8" fillId="0" borderId="0" xfId="0" applyFont="1" applyAlignment="1">
      <alignment horizontal="center" vertical="center"/>
    </xf>
    <xf numFmtId="169" fontId="13" fillId="0" borderId="0" xfId="1" applyNumberFormat="1" applyFont="1"/>
    <xf numFmtId="1" fontId="9" fillId="0" borderId="0" xfId="0" applyNumberFormat="1" applyFont="1"/>
    <xf numFmtId="1" fontId="9" fillId="0" borderId="0" xfId="0" applyNumberFormat="1" applyFont="1" applyAlignment="1">
      <alignment horizontal="center" vertical="center"/>
    </xf>
    <xf numFmtId="0" fontId="18" fillId="0" borderId="0" xfId="0" applyFont="1"/>
    <xf numFmtId="173" fontId="18" fillId="0" borderId="0" xfId="0" applyNumberFormat="1" applyFont="1"/>
    <xf numFmtId="194" fontId="8" fillId="0" borderId="0" xfId="0" applyNumberFormat="1" applyFont="1" applyAlignment="1">
      <alignment horizontal="center"/>
    </xf>
    <xf numFmtId="10" fontId="5" fillId="0" borderId="0" xfId="2" applyNumberFormat="1"/>
    <xf numFmtId="10" fontId="13" fillId="0" borderId="0" xfId="2" applyNumberFormat="1" applyFont="1"/>
    <xf numFmtId="10" fontId="31" fillId="0" borderId="0" xfId="2" applyNumberFormat="1" applyFont="1"/>
    <xf numFmtId="1" fontId="9" fillId="0" borderId="0" xfId="0" applyNumberFormat="1" applyFont="1" applyAlignment="1">
      <alignment horizontal="right" vertical="center"/>
    </xf>
    <xf numFmtId="194" fontId="8" fillId="0" borderId="0" xfId="0" applyNumberFormat="1" applyFont="1" applyAlignment="1">
      <alignment horizontal="right" vertical="center"/>
    </xf>
    <xf numFmtId="0" fontId="35" fillId="0" borderId="0" xfId="0" applyFont="1" applyAlignment="1">
      <alignment horizontal="center"/>
    </xf>
    <xf numFmtId="194" fontId="29" fillId="0" borderId="0" xfId="0" applyNumberFormat="1" applyFont="1" applyAlignment="1">
      <alignment horizontal="right" vertical="center"/>
    </xf>
    <xf numFmtId="167" fontId="13" fillId="0" borderId="0" xfId="2" applyNumberFormat="1" applyFont="1"/>
    <xf numFmtId="169" fontId="36" fillId="0" borderId="0" xfId="1" applyNumberFormat="1" applyFont="1" applyAlignment="1">
      <alignment horizontal="center" vertical="center"/>
    </xf>
    <xf numFmtId="0" fontId="9" fillId="0" borderId="6" xfId="0" applyFont="1" applyBorder="1"/>
    <xf numFmtId="192" fontId="1" fillId="0" borderId="2" xfId="0" applyNumberFormat="1" applyFont="1" applyBorder="1"/>
    <xf numFmtId="173" fontId="1" fillId="0" borderId="6" xfId="0" applyNumberFormat="1" applyFont="1" applyBorder="1"/>
    <xf numFmtId="0" fontId="12" fillId="0" borderId="0" xfId="0" applyFont="1" applyAlignment="1">
      <alignment horizontal="center" vertical="center"/>
    </xf>
    <xf numFmtId="173" fontId="1" fillId="0" borderId="2" xfId="0" applyNumberFormat="1" applyFont="1" applyBorder="1"/>
    <xf numFmtId="165" fontId="1" fillId="0" borderId="0" xfId="0" applyNumberFormat="1" applyFont="1"/>
    <xf numFmtId="165" fontId="12" fillId="0" borderId="0" xfId="0" applyNumberFormat="1" applyFont="1" applyAlignment="1">
      <alignment horizontal="center" vertical="center"/>
    </xf>
    <xf numFmtId="9" fontId="9" fillId="0" borderId="0" xfId="2" applyFont="1"/>
    <xf numFmtId="173" fontId="1" fillId="0" borderId="0" xfId="0" applyNumberFormat="1" applyFont="1"/>
    <xf numFmtId="195" fontId="9" fillId="0" borderId="0" xfId="0" applyNumberFormat="1" applyFont="1"/>
    <xf numFmtId="196" fontId="29" fillId="0" borderId="0" xfId="3" applyNumberFormat="1" applyFont="1"/>
  </cellXfs>
  <cellStyles count="7">
    <cellStyle name="Comma" xfId="1" builtinId="3"/>
    <cellStyle name="Hyperlink" xfId="5" builtinId="8"/>
    <cellStyle name="Normal" xfId="0" builtinId="0"/>
    <cellStyle name="Normal 15" xfId="6" xr:uid="{6DDD7A4B-57F6-404C-BA97-B891B271587B}"/>
    <cellStyle name="Normal 2" xfId="3" xr:uid="{937EC6E3-AE83-4BBC-ACEF-6FAAD38BC45D}"/>
    <cellStyle name="Normal_DCF_Model" xfId="4" xr:uid="{EB47B55B-6DFA-4D8F-B164-61C0BEC4F72F}"/>
    <cellStyle name="Percent" xfId="2" builtinId="5"/>
  </cellStyles>
  <dxfs count="3"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  <border>
        <left/>
        <right/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F4F"/>
      <rgbColor rgb="FF222A35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DCF Equity Valuation Range 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13.1x-15.1x Exit EBITDA Range at 6.5% WACC</c:v>
                </c:pt>
                <c:pt idx="1">
                  <c:v>DCF Value at 2.0%-4.0% Perpetuity Range at 6.5%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DCF!$C$128:$C$130</c:f>
              <c:numCache>
                <c:formatCode>#,##0.00_);\(#,##0.00\)</c:formatCode>
                <c:ptCount val="3"/>
                <c:pt idx="0">
                  <c:v>65.831160943495348</c:v>
                </c:pt>
                <c:pt idx="1">
                  <c:v>42.249276602499194</c:v>
                </c:pt>
                <c:pt idx="2">
                  <c:v>40.5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83-4E91-8D66-944AAAC33F38}"/>
            </c:ext>
          </c:extLst>
        </c:ser>
        <c:ser>
          <c:idx val="1"/>
          <c:order val="1"/>
          <c:invertIfNegative val="0"/>
          <c:cat>
            <c:strRef>
              <c:f>DCF!$B$128:$B$130</c:f>
              <c:strCache>
                <c:ptCount val="3"/>
                <c:pt idx="0">
                  <c:v>DCF Value at 13.1x-15.1x Exit EBITDA Range at 6.5% WACC</c:v>
                </c:pt>
                <c:pt idx="1">
                  <c:v>DCF Value at 2.0%-4.0% Perpetuity Range at 6.5%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DCF!$D$128:$D$130</c:f>
              <c:numCache>
                <c:formatCode>#,##0.00_);\(#,##0.00\)</c:formatCode>
                <c:ptCount val="3"/>
                <c:pt idx="0">
                  <c:v>4.4101115715242116</c:v>
                </c:pt>
                <c:pt idx="1">
                  <c:v>9.636982981244941</c:v>
                </c:pt>
                <c:pt idx="2">
                  <c:v>11.200000000000003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83-4E91-8D66-944AAAC33F38}"/>
            </c:ext>
          </c:extLst>
        </c:ser>
        <c:ser>
          <c:idx val="2"/>
          <c:order val="2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13.1x-15.1x Exit EBITDA Range at 6.5% WACC</c:v>
                </c:pt>
                <c:pt idx="1">
                  <c:v>DCF Value at 2.0%-4.0% Perpetuity Range at 6.5%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DCF!$E$128:$E$130</c:f>
              <c:numCache>
                <c:formatCode>#,##0.00_);\(#,##0.00\)</c:formatCode>
                <c:ptCount val="3"/>
                <c:pt idx="0">
                  <c:v>70.24127251501956</c:v>
                </c:pt>
                <c:pt idx="1">
                  <c:v>51.886259583744135</c:v>
                </c:pt>
                <c:pt idx="2">
                  <c:v>51.7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83-4E91-8D66-944AAAC33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400"/>
          <c:min val="100"/>
        </c:scaling>
        <c:delete val="0"/>
        <c:axPos val="l"/>
        <c:numFmt formatCode="#,##0.00_);\(#,##0.00\)" sourceLinked="1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LTM EBITDA Multiple Range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2.0%-4.0% Perpetuity Growth at 6.5% WACC</c:v>
                </c:pt>
                <c:pt idx="1">
                  <c:v>LTM EBITDA Purchase Multiple at 16.1x-17.3x Exit EBITDA Multiple at 6.5% WACC</c:v>
                </c:pt>
                <c:pt idx="2">
                  <c:v>LTM EBITDA Purchase Multiple at 4.5%-8.5% WACC at 14.1x Exit EBITDA</c:v>
                </c:pt>
              </c:strCache>
            </c:strRef>
          </c:cat>
          <c:val>
            <c:numRef>
              <c:f>DCF!$O$128:$O$130</c:f>
              <c:numCache>
                <c:formatCode>#,##0.00_);\(#,##0.00\)</c:formatCode>
                <c:ptCount val="3"/>
                <c:pt idx="0">
                  <c:v>10.031551024575064</c:v>
                </c:pt>
                <c:pt idx="1">
                  <c:v>16.115343379858857</c:v>
                </c:pt>
                <c:pt idx="2">
                  <c:v>14.445435866107783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5-4FE9-8BD7-0E0161403D7A}"/>
            </c:ext>
          </c:extLst>
        </c:ser>
        <c:ser>
          <c:idx val="1"/>
          <c:order val="1"/>
          <c:spPr>
            <a:solidFill>
              <a:schemeClr val="tx2"/>
            </a:solidFill>
          </c:spPr>
          <c:invertIfNegative val="0"/>
          <c:cat>
            <c:strRef>
              <c:f>DCF!$G$128:$G$130</c:f>
              <c:strCache>
                <c:ptCount val="3"/>
                <c:pt idx="0">
                  <c:v>LTM EBITDA Purchase Multiple at 2.0%-4.0% Perpetuity Growth at 6.5% WACC</c:v>
                </c:pt>
                <c:pt idx="1">
                  <c:v>LTM EBITDA Purchase Multiple at 16.1x-17.3x Exit EBITDA Multiple at 6.5% WACC</c:v>
                </c:pt>
                <c:pt idx="2">
                  <c:v>LTM EBITDA Purchase Multiple at 4.5%-8.5% WACC at 14.1x Exit EBITDA</c:v>
                </c:pt>
              </c:strCache>
            </c:strRef>
          </c:cat>
          <c:val>
            <c:numRef>
              <c:f>DCF!$P$128:$P$130</c:f>
              <c:numCache>
                <c:formatCode>#,##0.00_);\(#,##0.00\)</c:formatCode>
                <c:ptCount val="3"/>
                <c:pt idx="0">
                  <c:v>2.4862051963919232</c:v>
                </c:pt>
                <c:pt idx="1">
                  <c:v>1.1377463597404045</c:v>
                </c:pt>
                <c:pt idx="2">
                  <c:v>2.3106724285193643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5-4FE9-8BD7-0E0161403D7A}"/>
            </c:ext>
          </c:extLst>
        </c:ser>
        <c:ser>
          <c:idx val="2"/>
          <c:order val="2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2.0%-4.0% Perpetuity Growth at 6.5% WACC</c:v>
                </c:pt>
                <c:pt idx="1">
                  <c:v>LTM EBITDA Purchase Multiple at 16.1x-17.3x Exit EBITDA Multiple at 6.5% WACC</c:v>
                </c:pt>
                <c:pt idx="2">
                  <c:v>LTM EBITDA Purchase Multiple at 4.5%-8.5% WACC at 14.1x Exit EBITDA</c:v>
                </c:pt>
              </c:strCache>
            </c:strRef>
          </c:cat>
          <c:val>
            <c:numRef>
              <c:f>DCF!$Q$128:$Q$130</c:f>
              <c:numCache>
                <c:formatCode>#,##0.00_);\(#,##0.00\)</c:formatCode>
                <c:ptCount val="3"/>
                <c:pt idx="0">
                  <c:v>12.517756220966987</c:v>
                </c:pt>
                <c:pt idx="1">
                  <c:v>17.253089739599261</c:v>
                </c:pt>
                <c:pt idx="2">
                  <c:v>16.756108294627147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5-4FE9-8BD7-0E016140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20"/>
          <c:min val="10"/>
        </c:scaling>
        <c:delete val="0"/>
        <c:axPos val="l"/>
        <c:numFmt formatCode="#,##0.0\x;\-#,##0.0\x" sourceLinked="0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53578</xdr:colOff>
      <xdr:row>106</xdr:row>
      <xdr:rowOff>149424</xdr:rowOff>
    </xdr:from>
    <xdr:to>
      <xdr:col>4</xdr:col>
      <xdr:colOff>654844</xdr:colOff>
      <xdr:row>125</xdr:row>
      <xdr:rowOff>53578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29BCA-2888-434E-AC7E-5B03FCA5B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47228</xdr:colOff>
      <xdr:row>106</xdr:row>
      <xdr:rowOff>149424</xdr:rowOff>
    </xdr:from>
    <xdr:to>
      <xdr:col>15</xdr:col>
      <xdr:colOff>657225</xdr:colOff>
      <xdr:row>125</xdr:row>
      <xdr:rowOff>47228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38233F-A324-4062-8E99-2AF6A530E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0973C-64E9-46C3-8015-F083BA56F634}">
  <dimension ref="A1:L317"/>
  <sheetViews>
    <sheetView showGridLines="0" tabSelected="1" zoomScaleNormal="100" workbookViewId="0">
      <selection activeCell="D6" sqref="D6"/>
    </sheetView>
  </sheetViews>
  <sheetFormatPr defaultColWidth="9.140625" defaultRowHeight="15" x14ac:dyDescent="0.25"/>
  <cols>
    <col min="1" max="2" width="1.7109375" style="6" customWidth="1"/>
    <col min="3" max="3" width="66.42578125" style="6" bestFit="1" customWidth="1"/>
    <col min="4" max="4" width="17.140625" style="28" customWidth="1"/>
    <col min="5" max="11" width="17.140625" style="6" customWidth="1"/>
    <col min="12" max="12" width="2.7109375" style="6" customWidth="1"/>
    <col min="13" max="16384" width="9.140625" style="6"/>
  </cols>
  <sheetData>
    <row r="1" spans="3:11" ht="15" customHeight="1" thickBot="1" x14ac:dyDescent="0.3"/>
    <row r="2" spans="3:11" ht="15.75" thickBot="1" x14ac:dyDescent="0.3">
      <c r="C2" s="2" t="str">
        <f>Company_Name&amp;" - Financial Statement Model"</f>
        <v>Qassim Cement - Financial Statement Model</v>
      </c>
      <c r="D2" s="8"/>
      <c r="E2" s="8"/>
      <c r="F2" s="8"/>
      <c r="G2" s="8"/>
      <c r="H2" s="8"/>
      <c r="I2" s="8"/>
      <c r="J2" s="8"/>
      <c r="K2" s="8"/>
    </row>
    <row r="3" spans="3:11" x14ac:dyDescent="0.25">
      <c r="C3" s="238" t="s">
        <v>205</v>
      </c>
      <c r="D3" s="9"/>
      <c r="E3" s="9"/>
      <c r="F3" s="9"/>
      <c r="G3" s="9"/>
      <c r="H3" s="9"/>
    </row>
    <row r="4" spans="3:11" ht="15" customHeight="1" x14ac:dyDescent="0.25"/>
    <row r="5" spans="3:11" x14ac:dyDescent="0.25">
      <c r="C5" s="3" t="s">
        <v>0</v>
      </c>
      <c r="D5" s="243" t="s">
        <v>216</v>
      </c>
    </row>
    <row r="6" spans="3:11" x14ac:dyDescent="0.25">
      <c r="C6" s="3" t="s">
        <v>1</v>
      </c>
      <c r="D6" s="4" t="s">
        <v>217</v>
      </c>
    </row>
    <row r="7" spans="3:11" x14ac:dyDescent="0.25">
      <c r="C7" s="6" t="s">
        <v>28</v>
      </c>
      <c r="D7" s="249">
        <v>44.04</v>
      </c>
    </row>
    <row r="8" spans="3:11" x14ac:dyDescent="0.25">
      <c r="C8" s="6" t="s">
        <v>29</v>
      </c>
      <c r="D8" s="5">
        <v>46184</v>
      </c>
    </row>
    <row r="9" spans="3:11" x14ac:dyDescent="0.25">
      <c r="C9" s="3" t="s">
        <v>2</v>
      </c>
      <c r="D9" s="5">
        <v>46022</v>
      </c>
    </row>
    <row r="10" spans="3:11" ht="15" customHeight="1" x14ac:dyDescent="0.25">
      <c r="C10" s="6" t="s">
        <v>30</v>
      </c>
      <c r="D10" s="258">
        <v>109760647</v>
      </c>
    </row>
    <row r="11" spans="3:11" ht="15" customHeight="1" x14ac:dyDescent="0.25"/>
    <row r="12" spans="3:11" customFormat="1" x14ac:dyDescent="0.25">
      <c r="C12" s="39" t="s">
        <v>41</v>
      </c>
      <c r="D12" s="259"/>
      <c r="E12" s="40"/>
      <c r="F12" s="40"/>
      <c r="G12" s="40"/>
      <c r="H12" s="40"/>
      <c r="I12" s="40"/>
      <c r="J12" s="40"/>
      <c r="K12" s="40"/>
    </row>
    <row r="13" spans="3:11" customFormat="1" x14ac:dyDescent="0.25">
      <c r="C13" t="s">
        <v>42</v>
      </c>
      <c r="D13" s="41">
        <f>E13-1</f>
        <v>2023</v>
      </c>
      <c r="E13" s="41">
        <f>F13-1</f>
        <v>2024</v>
      </c>
      <c r="F13" s="41">
        <f>YEAR(D9)</f>
        <v>2025</v>
      </c>
      <c r="G13" s="42">
        <f>F13+1</f>
        <v>2026</v>
      </c>
      <c r="H13" s="42">
        <f>G13+1</f>
        <v>2027</v>
      </c>
      <c r="I13" s="42">
        <f>H13+1</f>
        <v>2028</v>
      </c>
      <c r="J13" s="42">
        <f>I13+1</f>
        <v>2029</v>
      </c>
      <c r="K13" s="42">
        <f>J13+1</f>
        <v>2030</v>
      </c>
    </row>
    <row r="14" spans="3:11" customFormat="1" x14ac:dyDescent="0.25">
      <c r="C14" s="43" t="s">
        <v>43</v>
      </c>
      <c r="D14" s="260">
        <f>EOMONTH(E14,-12)</f>
        <v>45291</v>
      </c>
      <c r="E14" s="235">
        <f>EOMONTH(F14,-12)</f>
        <v>45657</v>
      </c>
      <c r="F14" s="235">
        <f>D9</f>
        <v>46022</v>
      </c>
      <c r="G14" s="235">
        <f>EOMONTH(F14,12)</f>
        <v>46387</v>
      </c>
      <c r="H14" s="235">
        <f>EOMONTH(G14,12)</f>
        <v>46752</v>
      </c>
      <c r="I14" s="235">
        <f>EOMONTH(H14,12)</f>
        <v>47118</v>
      </c>
      <c r="J14" s="235">
        <f>EOMONTH(I14,12)</f>
        <v>47483</v>
      </c>
      <c r="K14" s="235">
        <f>EOMONTH(J14,12)</f>
        <v>47848</v>
      </c>
    </row>
    <row r="15" spans="3:11" ht="15" customHeight="1" x14ac:dyDescent="0.25"/>
    <row r="16" spans="3:11" ht="15" customHeight="1" x14ac:dyDescent="0.25">
      <c r="C16" s="6" t="s">
        <v>61</v>
      </c>
      <c r="D16" s="10">
        <v>583559912</v>
      </c>
      <c r="E16" s="10">
        <v>967578131</v>
      </c>
      <c r="F16" s="10">
        <v>1133302818</v>
      </c>
      <c r="G16" s="239">
        <f>F16*(1+G38)</f>
        <v>1303298240.6999998</v>
      </c>
      <c r="H16" s="239">
        <f t="shared" ref="H16:K16" si="0">G16*(1+H38)</f>
        <v>1459694029.5839999</v>
      </c>
      <c r="I16" s="239">
        <f t="shared" si="0"/>
        <v>1605663432.5423999</v>
      </c>
      <c r="J16" s="239">
        <f t="shared" si="0"/>
        <v>1734116507.145792</v>
      </c>
      <c r="K16" s="239">
        <f t="shared" si="0"/>
        <v>1838163497.5745397</v>
      </c>
    </row>
    <row r="17" spans="3:11" ht="15" customHeight="1" x14ac:dyDescent="0.25">
      <c r="C17" s="6" t="s">
        <v>218</v>
      </c>
      <c r="D17" s="10">
        <v>-431165909</v>
      </c>
      <c r="E17" s="10">
        <v>-642218476</v>
      </c>
      <c r="F17" s="10">
        <v>-872676095</v>
      </c>
      <c r="G17" s="239">
        <f>G18-G16</f>
        <v>-1003577509.2499999</v>
      </c>
      <c r="H17" s="239">
        <f t="shared" ref="H17:K17" si="1">H18-H16</f>
        <v>-1124006810.3599999</v>
      </c>
      <c r="I17" s="239">
        <f t="shared" si="1"/>
        <v>-1236407491.3959999</v>
      </c>
      <c r="J17" s="239">
        <f t="shared" si="1"/>
        <v>-1335320090.70768</v>
      </c>
      <c r="K17" s="239">
        <f t="shared" si="1"/>
        <v>-1415439296.150141</v>
      </c>
    </row>
    <row r="18" spans="3:11" s="13" customFormat="1" ht="15" customHeight="1" x14ac:dyDescent="0.25">
      <c r="C18" s="13" t="s">
        <v>219</v>
      </c>
      <c r="D18" s="14">
        <f t="shared" ref="D18:E18" si="2">SUM(D16:D17)</f>
        <v>152394003</v>
      </c>
      <c r="E18" s="14">
        <f t="shared" si="2"/>
        <v>325359655</v>
      </c>
      <c r="F18" s="14">
        <f>SUM(F16:F17)</f>
        <v>260626723</v>
      </c>
      <c r="G18" s="14">
        <f>G16*G39</f>
        <v>299720731.44999993</v>
      </c>
      <c r="H18" s="14">
        <f t="shared" ref="H18:K18" si="3">H16*H39</f>
        <v>335687219.22399998</v>
      </c>
      <c r="I18" s="14">
        <f t="shared" si="3"/>
        <v>369255941.14639997</v>
      </c>
      <c r="J18" s="14">
        <f t="shared" si="3"/>
        <v>398796416.43811196</v>
      </c>
      <c r="K18" s="14">
        <f t="shared" si="3"/>
        <v>422724201.42439872</v>
      </c>
    </row>
    <row r="19" spans="3:11" s="15" customFormat="1" ht="15" customHeight="1" x14ac:dyDescent="0.25">
      <c r="C19" s="230" t="s">
        <v>220</v>
      </c>
      <c r="D19" s="244">
        <v>-10598734</v>
      </c>
      <c r="E19" s="191">
        <v>-19269827</v>
      </c>
      <c r="F19" s="191">
        <v>-25705802</v>
      </c>
      <c r="G19" s="228">
        <f>G16*G40</f>
        <v>-29561672.299999997</v>
      </c>
      <c r="H19" s="228">
        <f t="shared" ref="H19:K19" si="4">H16*H40</f>
        <v>-33109072.975999996</v>
      </c>
      <c r="I19" s="228">
        <f t="shared" si="4"/>
        <v>-36419980.273599997</v>
      </c>
      <c r="J19" s="228">
        <f t="shared" si="4"/>
        <v>-39333578.695487998</v>
      </c>
      <c r="K19" s="228">
        <f t="shared" si="4"/>
        <v>-41693593.417217284</v>
      </c>
    </row>
    <row r="20" spans="3:11" s="15" customFormat="1" ht="15" customHeight="1" x14ac:dyDescent="0.25">
      <c r="C20" s="230" t="s">
        <v>221</v>
      </c>
      <c r="D20" s="244">
        <v>-28039061</v>
      </c>
      <c r="E20" s="191">
        <v>-75394840</v>
      </c>
      <c r="F20" s="191">
        <v>-44623436</v>
      </c>
      <c r="G20" s="228">
        <f>G16*G41</f>
        <v>-51316951.399999991</v>
      </c>
      <c r="H20" s="228">
        <f t="shared" ref="H20:K20" si="5">H16*H41</f>
        <v>-57474985.567999996</v>
      </c>
      <c r="I20" s="228">
        <f t="shared" si="5"/>
        <v>-63222484.124799997</v>
      </c>
      <c r="J20" s="228">
        <f t="shared" si="5"/>
        <v>-68280282.854783997</v>
      </c>
      <c r="K20" s="228">
        <f t="shared" si="5"/>
        <v>-72377099.826071039</v>
      </c>
    </row>
    <row r="21" spans="3:11" s="15" customFormat="1" ht="15" customHeight="1" x14ac:dyDescent="0.25">
      <c r="C21" s="230" t="s">
        <v>222</v>
      </c>
      <c r="D21" s="244">
        <v>5164</v>
      </c>
      <c r="E21" s="191">
        <v>-3651540</v>
      </c>
      <c r="F21" s="191">
        <v>1251729</v>
      </c>
      <c r="G21" s="228">
        <v>0</v>
      </c>
      <c r="H21" s="228">
        <f t="shared" ref="H21:K21" si="6">G21</f>
        <v>0</v>
      </c>
      <c r="I21" s="228">
        <f t="shared" si="6"/>
        <v>0</v>
      </c>
      <c r="J21" s="228">
        <f t="shared" si="6"/>
        <v>0</v>
      </c>
      <c r="K21" s="228">
        <f t="shared" si="6"/>
        <v>0</v>
      </c>
    </row>
    <row r="22" spans="3:11" s="15" customFormat="1" ht="15" customHeight="1" x14ac:dyDescent="0.25">
      <c r="C22" s="230" t="s">
        <v>223</v>
      </c>
      <c r="D22" s="244">
        <v>8241658</v>
      </c>
      <c r="E22" s="191">
        <v>51390925</v>
      </c>
      <c r="F22" s="191">
        <v>75411531</v>
      </c>
      <c r="G22" s="228">
        <f>G16*G42</f>
        <v>84714385.645499989</v>
      </c>
      <c r="H22" s="228">
        <f t="shared" ref="H22:K22" si="7">H16*H42</f>
        <v>87581641.775039986</v>
      </c>
      <c r="I22" s="228">
        <f t="shared" si="7"/>
        <v>88311488.789831996</v>
      </c>
      <c r="J22" s="228">
        <f t="shared" si="7"/>
        <v>95376407.893018559</v>
      </c>
      <c r="K22" s="228">
        <f t="shared" si="7"/>
        <v>101098992.36659968</v>
      </c>
    </row>
    <row r="23" spans="3:11" ht="15" customHeight="1" x14ac:dyDescent="0.25">
      <c r="C23" s="201" t="s">
        <v>224</v>
      </c>
      <c r="D23" s="221">
        <f t="shared" ref="D23:E23" si="8">SUM(D18:D22)</f>
        <v>122003030</v>
      </c>
      <c r="E23" s="221">
        <f t="shared" si="8"/>
        <v>278434373</v>
      </c>
      <c r="F23" s="221">
        <f>SUM(F18:F22)</f>
        <v>266960745</v>
      </c>
      <c r="G23" s="221">
        <f>SUM(G18:G22)</f>
        <v>303556493.39549994</v>
      </c>
      <c r="H23" s="221">
        <f t="shared" ref="H23:K23" si="9">SUM(H18:H22)</f>
        <v>332684802.45503998</v>
      </c>
      <c r="I23" s="221">
        <f t="shared" si="9"/>
        <v>357924965.53783202</v>
      </c>
      <c r="J23" s="221">
        <f t="shared" si="9"/>
        <v>386558962.78085852</v>
      </c>
      <c r="K23" s="221">
        <f t="shared" si="9"/>
        <v>409752500.54771006</v>
      </c>
    </row>
    <row r="24" spans="3:11" ht="15" customHeight="1" x14ac:dyDescent="0.25">
      <c r="C24" s="231" t="s">
        <v>225</v>
      </c>
      <c r="D24" s="244">
        <v>14944274</v>
      </c>
      <c r="E24" s="191">
        <v>21295976</v>
      </c>
      <c r="F24" s="191">
        <v>2003172</v>
      </c>
      <c r="G24" s="228">
        <v>0</v>
      </c>
      <c r="H24" s="228">
        <v>0</v>
      </c>
      <c r="I24" s="228">
        <v>0</v>
      </c>
      <c r="J24" s="228">
        <v>0</v>
      </c>
      <c r="K24" s="228">
        <v>0</v>
      </c>
    </row>
    <row r="25" spans="3:11" ht="15" customHeight="1" x14ac:dyDescent="0.25">
      <c r="C25" s="231" t="s">
        <v>226</v>
      </c>
      <c r="D25" s="244">
        <v>3371750</v>
      </c>
      <c r="E25" s="191">
        <v>1768591</v>
      </c>
      <c r="F25" s="191">
        <v>3522047</v>
      </c>
      <c r="G25" s="228">
        <v>0</v>
      </c>
      <c r="H25" s="228">
        <v>0</v>
      </c>
      <c r="I25" s="228">
        <v>0</v>
      </c>
      <c r="J25" s="228">
        <v>0</v>
      </c>
      <c r="K25" s="228">
        <v>0</v>
      </c>
    </row>
    <row r="26" spans="3:11" ht="15" customHeight="1" x14ac:dyDescent="0.25">
      <c r="C26" s="231" t="s">
        <v>228</v>
      </c>
      <c r="D26" s="244">
        <v>2442053</v>
      </c>
      <c r="E26" s="191">
        <v>3676753</v>
      </c>
      <c r="F26" s="191">
        <v>2433016</v>
      </c>
      <c r="G26" s="228">
        <v>0</v>
      </c>
      <c r="H26" s="228">
        <v>0</v>
      </c>
      <c r="I26" s="228">
        <v>0</v>
      </c>
      <c r="J26" s="228">
        <v>0</v>
      </c>
      <c r="K26" s="228">
        <v>0</v>
      </c>
    </row>
    <row r="27" spans="3:11" ht="15" customHeight="1" x14ac:dyDescent="0.25">
      <c r="C27" s="231" t="s">
        <v>227</v>
      </c>
      <c r="D27" s="244">
        <v>18609795</v>
      </c>
      <c r="E27" s="191">
        <v>14328538</v>
      </c>
      <c r="F27" s="191">
        <v>12216905</v>
      </c>
      <c r="G27" s="228">
        <v>0</v>
      </c>
      <c r="H27" s="228">
        <v>0</v>
      </c>
      <c r="I27" s="228">
        <v>0</v>
      </c>
      <c r="J27" s="228">
        <v>0</v>
      </c>
      <c r="K27" s="228">
        <v>0</v>
      </c>
    </row>
    <row r="28" spans="3:11" s="13" customFormat="1" ht="15" customHeight="1" x14ac:dyDescent="0.25">
      <c r="C28" s="231" t="s">
        <v>152</v>
      </c>
      <c r="D28" s="244">
        <v>-2795268</v>
      </c>
      <c r="E28" s="191">
        <v>-4031650</v>
      </c>
      <c r="F28" s="191">
        <v>-4440898</v>
      </c>
      <c r="G28" s="228">
        <f>G201</f>
        <v>-4527922.1849999996</v>
      </c>
      <c r="H28" s="228">
        <f>H201</f>
        <v>-4628542.6780000003</v>
      </c>
      <c r="I28" s="228">
        <f>I201</f>
        <v>-4729163.1710000001</v>
      </c>
      <c r="J28" s="228">
        <f>J201</f>
        <v>-4829783.6639999999</v>
      </c>
      <c r="K28" s="228">
        <f>K201</f>
        <v>-4930404.1570000006</v>
      </c>
    </row>
    <row r="29" spans="3:11" s="13" customFormat="1" ht="15" customHeight="1" x14ac:dyDescent="0.25">
      <c r="C29" s="13" t="s">
        <v>231</v>
      </c>
      <c r="D29" s="221">
        <f t="shared" ref="D29:E29" si="10">SUM(D23:D28)</f>
        <v>158575634</v>
      </c>
      <c r="E29" s="221">
        <f t="shared" si="10"/>
        <v>315472581</v>
      </c>
      <c r="F29" s="221">
        <f>SUM(F23:F28)</f>
        <v>282694987</v>
      </c>
      <c r="G29" s="221">
        <f t="shared" ref="G29:K29" si="11">SUM(G23:G28)</f>
        <v>299028571.21049994</v>
      </c>
      <c r="H29" s="221">
        <f t="shared" si="11"/>
        <v>328056259.77704</v>
      </c>
      <c r="I29" s="221">
        <f t="shared" si="11"/>
        <v>353195802.36683202</v>
      </c>
      <c r="J29" s="221">
        <f t="shared" si="11"/>
        <v>381729179.11685854</v>
      </c>
      <c r="K29" s="221">
        <f t="shared" si="11"/>
        <v>404822096.39071006</v>
      </c>
    </row>
    <row r="30" spans="3:11" ht="15" customHeight="1" x14ac:dyDescent="0.25">
      <c r="C30" s="6" t="s">
        <v>229</v>
      </c>
      <c r="D30" s="244">
        <v>-16604912</v>
      </c>
      <c r="E30" s="244">
        <v>-27981385</v>
      </c>
      <c r="F30" s="244">
        <v>-22762128</v>
      </c>
      <c r="G30" s="191">
        <f>G29*G43</f>
        <v>-24077280.908948395</v>
      </c>
      <c r="H30" s="191">
        <f t="shared" ref="H30:K30" si="12">H29*H43</f>
        <v>-26414541.890147619</v>
      </c>
      <c r="I30" s="191">
        <f t="shared" si="12"/>
        <v>-28438735.853977252</v>
      </c>
      <c r="J30" s="191">
        <f t="shared" si="12"/>
        <v>-30736195.673653249</v>
      </c>
      <c r="K30" s="191">
        <f t="shared" si="12"/>
        <v>-32595598.786736466</v>
      </c>
    </row>
    <row r="31" spans="3:11" ht="15" customHeight="1" x14ac:dyDescent="0.25">
      <c r="C31" s="13" t="s">
        <v>230</v>
      </c>
      <c r="D31" s="221">
        <f t="shared" ref="D31:E31" si="13">SUM(D29:D30)</f>
        <v>141970722</v>
      </c>
      <c r="E31" s="221">
        <f t="shared" si="13"/>
        <v>287491196</v>
      </c>
      <c r="F31" s="221">
        <f>SUM(F29:F30)</f>
        <v>259932859</v>
      </c>
      <c r="G31" s="221">
        <f t="shared" ref="G31:K31" si="14">SUM(G29:G30)</f>
        <v>274951290.30155152</v>
      </c>
      <c r="H31" s="221">
        <f t="shared" si="14"/>
        <v>301641717.88689238</v>
      </c>
      <c r="I31" s="221">
        <f t="shared" si="14"/>
        <v>324757066.51285475</v>
      </c>
      <c r="J31" s="221">
        <f t="shared" si="14"/>
        <v>350992983.4432053</v>
      </c>
      <c r="K31" s="221">
        <f t="shared" si="14"/>
        <v>372226497.60397357</v>
      </c>
    </row>
    <row r="32" spans="3:11" ht="15" customHeight="1" x14ac:dyDescent="0.25">
      <c r="C32" s="6" t="s">
        <v>202</v>
      </c>
      <c r="D32" s="228"/>
      <c r="E32" s="228"/>
      <c r="F32" s="228"/>
      <c r="G32" s="228"/>
      <c r="H32" s="228"/>
      <c r="I32" s="228"/>
      <c r="J32" s="228"/>
      <c r="K32" s="228"/>
    </row>
    <row r="33" spans="3:11" ht="15" customHeight="1" x14ac:dyDescent="0.25">
      <c r="D33" s="14"/>
      <c r="E33" s="14"/>
      <c r="F33" s="14"/>
      <c r="G33" s="229"/>
      <c r="H33" s="232"/>
      <c r="I33" s="232"/>
      <c r="J33" s="232"/>
      <c r="K33" s="232"/>
    </row>
    <row r="34" spans="3:11" s="13" customFormat="1" ht="15" customHeight="1" x14ac:dyDescent="0.25">
      <c r="C34" s="233" t="s">
        <v>24</v>
      </c>
      <c r="D34" s="14">
        <f t="shared" ref="D34:K34" si="15">D23+D163</f>
        <v>182109204</v>
      </c>
      <c r="E34" s="14">
        <f t="shared" si="15"/>
        <v>380748739</v>
      </c>
      <c r="F34" s="14">
        <f t="shared" si="15"/>
        <v>399761183</v>
      </c>
      <c r="G34" s="14">
        <f t="shared" si="15"/>
        <v>456852346.80949271</v>
      </c>
      <c r="H34" s="14">
        <f t="shared" si="15"/>
        <v>504376158.27871192</v>
      </c>
      <c r="I34" s="14">
        <f t="shared" si="15"/>
        <v>546785456.94387114</v>
      </c>
      <c r="J34" s="14">
        <f t="shared" si="15"/>
        <v>590528293.49938071</v>
      </c>
      <c r="K34" s="14">
        <f t="shared" si="15"/>
        <v>625959991.10934365</v>
      </c>
    </row>
    <row r="35" spans="3:11" ht="15" customHeight="1" x14ac:dyDescent="0.25">
      <c r="C35" s="234" t="s">
        <v>149</v>
      </c>
      <c r="D35" s="15">
        <f>D34/D16</f>
        <v>0.31206599400542784</v>
      </c>
      <c r="E35" s="15">
        <f t="shared" ref="E35:K35" si="16">E34/E16</f>
        <v>0.39350697044640004</v>
      </c>
      <c r="F35" s="15">
        <f t="shared" si="16"/>
        <v>0.35273995321522267</v>
      </c>
      <c r="G35" s="15">
        <f t="shared" si="16"/>
        <v>0.35053553556867989</v>
      </c>
      <c r="H35" s="15">
        <f t="shared" si="16"/>
        <v>0.34553553556867994</v>
      </c>
      <c r="I35" s="15">
        <f t="shared" si="16"/>
        <v>0.34053553556867994</v>
      </c>
      <c r="J35" s="15">
        <f t="shared" si="16"/>
        <v>0.34053553556867983</v>
      </c>
      <c r="K35" s="15">
        <f t="shared" si="16"/>
        <v>0.34053553556867988</v>
      </c>
    </row>
    <row r="36" spans="3:11" ht="15" customHeight="1" x14ac:dyDescent="0.25">
      <c r="C36" s="17"/>
      <c r="D36" s="14"/>
      <c r="E36" s="14"/>
      <c r="F36" s="14"/>
      <c r="G36" s="200"/>
      <c r="H36" s="14"/>
      <c r="I36" s="14"/>
      <c r="J36" s="14"/>
      <c r="K36" s="14"/>
    </row>
    <row r="37" spans="3:11" ht="15" customHeight="1" x14ac:dyDescent="0.25">
      <c r="C37" s="20" t="s">
        <v>27</v>
      </c>
      <c r="D37" s="21"/>
      <c r="E37" s="21"/>
      <c r="F37" s="14"/>
      <c r="H37" s="21"/>
      <c r="I37" s="21"/>
      <c r="J37" s="21"/>
      <c r="K37" s="21"/>
    </row>
    <row r="38" spans="3:11" ht="15" customHeight="1" x14ac:dyDescent="0.25">
      <c r="C38" s="17" t="s">
        <v>25</v>
      </c>
      <c r="D38" s="22"/>
      <c r="E38" s="213">
        <f>E16/D16-1</f>
        <v>0.65806134229453384</v>
      </c>
      <c r="F38" s="213">
        <f t="shared" ref="F38" si="17">F16/E16-1</f>
        <v>0.17127783451319023</v>
      </c>
      <c r="G38" s="213">
        <v>0.15</v>
      </c>
      <c r="H38" s="213">
        <v>0.12</v>
      </c>
      <c r="I38" s="213">
        <v>0.1</v>
      </c>
      <c r="J38" s="213">
        <v>0.08</v>
      </c>
      <c r="K38" s="213">
        <v>0.06</v>
      </c>
    </row>
    <row r="39" spans="3:11" ht="15" customHeight="1" x14ac:dyDescent="0.25">
      <c r="C39" s="17" t="s">
        <v>181</v>
      </c>
      <c r="D39" s="22">
        <f>D18/D16</f>
        <v>0.26114542802933316</v>
      </c>
      <c r="E39" s="22">
        <f t="shared" ref="E39:F39" si="18">E18/E16</f>
        <v>0.33626189407953866</v>
      </c>
      <c r="F39" s="22">
        <f t="shared" si="18"/>
        <v>0.22997094762363857</v>
      </c>
      <c r="G39" s="257">
        <f>F39</f>
        <v>0.22997094762363857</v>
      </c>
      <c r="H39" s="257">
        <f t="shared" ref="H39:K39" si="19">G39</f>
        <v>0.22997094762363857</v>
      </c>
      <c r="I39" s="257">
        <f t="shared" si="19"/>
        <v>0.22997094762363857</v>
      </c>
      <c r="J39" s="257">
        <f t="shared" si="19"/>
        <v>0.22997094762363857</v>
      </c>
      <c r="K39" s="257">
        <f t="shared" si="19"/>
        <v>0.22997094762363857</v>
      </c>
    </row>
    <row r="40" spans="3:11" ht="15" customHeight="1" x14ac:dyDescent="0.25">
      <c r="C40" s="17" t="s">
        <v>203</v>
      </c>
      <c r="D40" s="22">
        <f>D19/D16</f>
        <v>-1.8162203712170002E-2</v>
      </c>
      <c r="E40" s="22">
        <f t="shared" ref="E40:F40" si="20">E19/E16</f>
        <v>-1.9915525560798356E-2</v>
      </c>
      <c r="F40" s="22">
        <f t="shared" si="20"/>
        <v>-2.2682200724925754E-2</v>
      </c>
      <c r="G40" s="257">
        <f t="shared" ref="G40:K40" si="21">F40</f>
        <v>-2.2682200724925754E-2</v>
      </c>
      <c r="H40" s="257">
        <f t="shared" si="21"/>
        <v>-2.2682200724925754E-2</v>
      </c>
      <c r="I40" s="257">
        <f t="shared" si="21"/>
        <v>-2.2682200724925754E-2</v>
      </c>
      <c r="J40" s="257">
        <f t="shared" si="21"/>
        <v>-2.2682200724925754E-2</v>
      </c>
      <c r="K40" s="257">
        <f t="shared" si="21"/>
        <v>-2.2682200724925754E-2</v>
      </c>
    </row>
    <row r="41" spans="3:11" ht="15" customHeight="1" x14ac:dyDescent="0.25">
      <c r="C41" s="17" t="s">
        <v>204</v>
      </c>
      <c r="D41" s="22">
        <f>D20/D16</f>
        <v>-4.8048298766622609E-2</v>
      </c>
      <c r="E41" s="22">
        <f t="shared" ref="E41:F41" si="22">E20/E16</f>
        <v>-7.7921190635095075E-2</v>
      </c>
      <c r="F41" s="22">
        <f t="shared" si="22"/>
        <v>-3.9374680174844495E-2</v>
      </c>
      <c r="G41" s="257">
        <f t="shared" ref="G41:K41" si="23">F41</f>
        <v>-3.9374680174844495E-2</v>
      </c>
      <c r="H41" s="257">
        <f t="shared" si="23"/>
        <v>-3.9374680174844495E-2</v>
      </c>
      <c r="I41" s="257">
        <f t="shared" si="23"/>
        <v>-3.9374680174844495E-2</v>
      </c>
      <c r="J41" s="257">
        <f t="shared" si="23"/>
        <v>-3.9374680174844495E-2</v>
      </c>
      <c r="K41" s="257">
        <f t="shared" si="23"/>
        <v>-3.9374680174844495E-2</v>
      </c>
    </row>
    <row r="42" spans="3:11" ht="15" customHeight="1" x14ac:dyDescent="0.25">
      <c r="C42" s="17" t="s">
        <v>223</v>
      </c>
      <c r="D42" s="22">
        <f>D22/D16</f>
        <v>1.412307088016697E-2</v>
      </c>
      <c r="E42" s="22">
        <f t="shared" ref="E42:F42" si="24">E22/E16</f>
        <v>5.3112945976659325E-2</v>
      </c>
      <c r="F42" s="22">
        <f t="shared" si="24"/>
        <v>6.6541377822639455E-2</v>
      </c>
      <c r="G42" s="257">
        <v>6.5000000000000002E-2</v>
      </c>
      <c r="H42" s="257">
        <v>0.06</v>
      </c>
      <c r="I42" s="257">
        <v>5.5E-2</v>
      </c>
      <c r="J42" s="257">
        <f>I42</f>
        <v>5.5E-2</v>
      </c>
      <c r="K42" s="257">
        <f>J42</f>
        <v>5.5E-2</v>
      </c>
    </row>
    <row r="43" spans="3:11" ht="15" customHeight="1" x14ac:dyDescent="0.25">
      <c r="C43" s="17" t="s">
        <v>26</v>
      </c>
      <c r="D43" s="214">
        <f>D30/D29</f>
        <v>-0.10471288420010352</v>
      </c>
      <c r="E43" s="214">
        <f t="shared" ref="E43:F43" si="25">E30/E29</f>
        <v>-8.869672575443252E-2</v>
      </c>
      <c r="F43" s="214">
        <f t="shared" si="25"/>
        <v>-8.0518329106416028E-2</v>
      </c>
      <c r="G43" s="257">
        <f t="shared" ref="G43:K43" si="26">F43</f>
        <v>-8.0518329106416028E-2</v>
      </c>
      <c r="H43" s="257">
        <f t="shared" si="26"/>
        <v>-8.0518329106416028E-2</v>
      </c>
      <c r="I43" s="257">
        <f t="shared" si="26"/>
        <v>-8.0518329106416028E-2</v>
      </c>
      <c r="J43" s="257">
        <f t="shared" si="26"/>
        <v>-8.0518329106416028E-2</v>
      </c>
      <c r="K43" s="257">
        <f t="shared" si="26"/>
        <v>-8.0518329106416028E-2</v>
      </c>
    </row>
    <row r="44" spans="3:11" ht="15" customHeight="1" x14ac:dyDescent="0.25">
      <c r="C44" s="17"/>
      <c r="D44" s="23"/>
      <c r="E44" s="23"/>
      <c r="F44" s="23"/>
      <c r="G44" s="23"/>
      <c r="H44" s="23"/>
      <c r="I44" s="23"/>
      <c r="J44" s="23"/>
      <c r="K44" s="23"/>
    </row>
    <row r="45" spans="3:11" customFormat="1" x14ac:dyDescent="0.25">
      <c r="C45" s="39" t="s">
        <v>44</v>
      </c>
      <c r="D45" s="261"/>
      <c r="E45" s="46"/>
      <c r="F45" s="46"/>
      <c r="G45" s="40"/>
      <c r="H45" s="40"/>
      <c r="I45" s="40"/>
      <c r="J45" s="40"/>
      <c r="K45" s="40"/>
    </row>
    <row r="46" spans="3:11" customFormat="1" x14ac:dyDescent="0.25">
      <c r="C46" t="s">
        <v>42</v>
      </c>
      <c r="D46" s="41">
        <f>D$13</f>
        <v>2023</v>
      </c>
      <c r="E46" s="41">
        <f t="shared" ref="E46:K46" si="27">E$13</f>
        <v>2024</v>
      </c>
      <c r="F46" s="41">
        <f t="shared" si="27"/>
        <v>2025</v>
      </c>
      <c r="G46" s="42">
        <f t="shared" si="27"/>
        <v>2026</v>
      </c>
      <c r="H46" s="42">
        <f t="shared" si="27"/>
        <v>2027</v>
      </c>
      <c r="I46" s="42">
        <f t="shared" si="27"/>
        <v>2028</v>
      </c>
      <c r="J46" s="42">
        <f t="shared" si="27"/>
        <v>2029</v>
      </c>
      <c r="K46" s="42">
        <f t="shared" si="27"/>
        <v>2030</v>
      </c>
    </row>
    <row r="47" spans="3:11" customFormat="1" x14ac:dyDescent="0.25">
      <c r="C47" s="43" t="s">
        <v>43</v>
      </c>
      <c r="D47" s="260">
        <f>D$14</f>
        <v>45291</v>
      </c>
      <c r="E47" s="235">
        <f t="shared" ref="E47:K47" si="28">E$14</f>
        <v>45657</v>
      </c>
      <c r="F47" s="235">
        <f t="shared" si="28"/>
        <v>46022</v>
      </c>
      <c r="G47" s="235">
        <f t="shared" si="28"/>
        <v>46387</v>
      </c>
      <c r="H47" s="235">
        <f t="shared" si="28"/>
        <v>46752</v>
      </c>
      <c r="I47" s="235">
        <f t="shared" si="28"/>
        <v>47118</v>
      </c>
      <c r="J47" s="235">
        <f t="shared" si="28"/>
        <v>47483</v>
      </c>
      <c r="K47" s="235">
        <f t="shared" si="28"/>
        <v>47848</v>
      </c>
    </row>
    <row r="48" spans="3:11" s="35" customFormat="1" ht="15" customHeight="1" x14ac:dyDescent="0.25">
      <c r="C48" s="45" t="s">
        <v>3</v>
      </c>
    </row>
    <row r="49" spans="3:11" ht="15" customHeight="1" x14ac:dyDescent="0.25"/>
    <row r="50" spans="3:11" ht="15" customHeight="1" x14ac:dyDescent="0.25">
      <c r="C50" s="13" t="s">
        <v>4</v>
      </c>
    </row>
    <row r="51" spans="3:11" ht="15" customHeight="1" x14ac:dyDescent="0.25">
      <c r="C51" s="17" t="s">
        <v>206</v>
      </c>
      <c r="D51" s="10">
        <v>379246290</v>
      </c>
      <c r="E51" s="10">
        <v>760273191</v>
      </c>
      <c r="F51" s="10">
        <v>765688769</v>
      </c>
      <c r="G51" s="188">
        <f>G170</f>
        <v>880542084.3499999</v>
      </c>
      <c r="H51" s="188">
        <f t="shared" ref="H51:K51" si="29">H170</f>
        <v>986207134.47199988</v>
      </c>
      <c r="I51" s="188">
        <f t="shared" si="29"/>
        <v>1084827847.9191999</v>
      </c>
      <c r="J51" s="188">
        <f t="shared" si="29"/>
        <v>1171614075.7527361</v>
      </c>
      <c r="K51" s="188">
        <f t="shared" si="29"/>
        <v>1241910920.2979004</v>
      </c>
    </row>
    <row r="52" spans="3:11" ht="15" customHeight="1" x14ac:dyDescent="0.25">
      <c r="C52" s="17" t="s">
        <v>239</v>
      </c>
      <c r="D52" s="10">
        <v>67863577</v>
      </c>
      <c r="E52" s="10">
        <v>140600834</v>
      </c>
      <c r="F52" s="10">
        <v>169629137</v>
      </c>
      <c r="G52" s="188">
        <f>G171</f>
        <v>195073507.54999995</v>
      </c>
      <c r="H52" s="188">
        <f t="shared" ref="H52:K52" si="30">H171</f>
        <v>218482328.45599997</v>
      </c>
      <c r="I52" s="188">
        <f t="shared" si="30"/>
        <v>240330561.30159998</v>
      </c>
      <c r="J52" s="188">
        <f t="shared" si="30"/>
        <v>259557006.20572799</v>
      </c>
      <c r="K52" s="188">
        <f t="shared" si="30"/>
        <v>275130426.57807165</v>
      </c>
    </row>
    <row r="53" spans="3:11" ht="15" customHeight="1" x14ac:dyDescent="0.25">
      <c r="C53" s="17" t="s">
        <v>240</v>
      </c>
      <c r="D53" s="10">
        <v>14219116</v>
      </c>
      <c r="E53" s="10">
        <v>24919324</v>
      </c>
      <c r="F53" s="10">
        <v>128740640</v>
      </c>
      <c r="G53" s="188">
        <f>G172</f>
        <v>148051736</v>
      </c>
      <c r="H53" s="188">
        <f t="shared" ref="H53:K53" si="31">H172</f>
        <v>165817944.31999999</v>
      </c>
      <c r="I53" s="188">
        <f t="shared" si="31"/>
        <v>182399738.752</v>
      </c>
      <c r="J53" s="188">
        <f t="shared" si="31"/>
        <v>196991717.85216001</v>
      </c>
      <c r="K53" s="188">
        <f t="shared" si="31"/>
        <v>208811220.92328963</v>
      </c>
    </row>
    <row r="54" spans="3:11" ht="15" customHeight="1" x14ac:dyDescent="0.25">
      <c r="C54" s="17" t="s">
        <v>237</v>
      </c>
      <c r="D54" s="10">
        <v>301173956</v>
      </c>
      <c r="E54" s="10">
        <v>277585181</v>
      </c>
      <c r="F54" s="10">
        <v>82651698</v>
      </c>
      <c r="G54" s="19">
        <f>F54</f>
        <v>82651698</v>
      </c>
      <c r="H54" s="19">
        <f t="shared" ref="H54:K54" si="32">G54</f>
        <v>82651698</v>
      </c>
      <c r="I54" s="19">
        <f t="shared" si="32"/>
        <v>82651698</v>
      </c>
      <c r="J54" s="19">
        <f t="shared" si="32"/>
        <v>82651698</v>
      </c>
      <c r="K54" s="19">
        <f t="shared" si="32"/>
        <v>82651698</v>
      </c>
    </row>
    <row r="55" spans="3:11" ht="15" customHeight="1" x14ac:dyDescent="0.25">
      <c r="C55" s="17" t="s">
        <v>256</v>
      </c>
      <c r="D55" s="10">
        <v>160830667</v>
      </c>
      <c r="E55" s="10">
        <v>0</v>
      </c>
      <c r="F55" s="10">
        <v>0</v>
      </c>
      <c r="G55" s="19">
        <f>F55</f>
        <v>0</v>
      </c>
      <c r="H55" s="19">
        <f t="shared" ref="H55:K55" si="33">G55</f>
        <v>0</v>
      </c>
      <c r="I55" s="19">
        <f t="shared" si="33"/>
        <v>0</v>
      </c>
      <c r="J55" s="19">
        <f t="shared" si="33"/>
        <v>0</v>
      </c>
      <c r="K55" s="19">
        <f t="shared" si="33"/>
        <v>0</v>
      </c>
    </row>
    <row r="56" spans="3:11" ht="15" customHeight="1" x14ac:dyDescent="0.25">
      <c r="C56" s="17" t="s">
        <v>241</v>
      </c>
      <c r="D56" s="10">
        <v>39989094</v>
      </c>
      <c r="E56" s="10">
        <v>286802357</v>
      </c>
      <c r="F56" s="10">
        <v>104750290</v>
      </c>
      <c r="G56" s="19">
        <f>G143</f>
        <v>117296841.66299996</v>
      </c>
      <c r="H56" s="19">
        <f t="shared" ref="H56:K56" si="34">H143</f>
        <v>131372462.66255996</v>
      </c>
      <c r="I56" s="19">
        <f t="shared" si="34"/>
        <v>151171713.19570589</v>
      </c>
      <c r="J56" s="19">
        <f t="shared" si="34"/>
        <v>241652928.23200494</v>
      </c>
      <c r="K56" s="19">
        <f t="shared" si="34"/>
        <v>380127683.06239074</v>
      </c>
    </row>
    <row r="57" spans="3:11" ht="15" customHeight="1" x14ac:dyDescent="0.25">
      <c r="C57" s="11" t="s">
        <v>5</v>
      </c>
      <c r="D57" s="12">
        <f>SUM(D51:D56)</f>
        <v>963322700</v>
      </c>
      <c r="E57" s="12">
        <f t="shared" ref="E57:G57" si="35">SUM(E51:E56)</f>
        <v>1490180887</v>
      </c>
      <c r="F57" s="12">
        <f t="shared" si="35"/>
        <v>1251460534</v>
      </c>
      <c r="G57" s="12">
        <f t="shared" si="35"/>
        <v>1423615867.5629997</v>
      </c>
      <c r="H57" s="12">
        <f t="shared" ref="H57" si="36">SUM(H51:H56)</f>
        <v>1584531567.9105599</v>
      </c>
      <c r="I57" s="12">
        <f t="shared" ref="I57" si="37">SUM(I51:I56)</f>
        <v>1741381559.1685059</v>
      </c>
      <c r="J57" s="12">
        <f t="shared" ref="J57" si="38">SUM(J51:J56)</f>
        <v>1952467426.042629</v>
      </c>
      <c r="K57" s="12">
        <f t="shared" ref="K57" si="39">SUM(K51:K56)</f>
        <v>2188631948.8616524</v>
      </c>
    </row>
    <row r="58" spans="3:11" ht="15" customHeight="1" x14ac:dyDescent="0.25">
      <c r="E58" s="18"/>
      <c r="F58" s="18"/>
      <c r="G58" s="18"/>
      <c r="H58" s="18"/>
      <c r="I58" s="18"/>
      <c r="J58" s="18"/>
      <c r="K58" s="18"/>
    </row>
    <row r="59" spans="3:11" ht="15" customHeight="1" x14ac:dyDescent="0.25">
      <c r="C59" s="13" t="s">
        <v>6</v>
      </c>
      <c r="E59" s="18"/>
      <c r="F59" s="18"/>
      <c r="G59" s="18"/>
      <c r="H59" s="18"/>
      <c r="I59" s="18"/>
      <c r="J59" s="18"/>
      <c r="K59" s="18"/>
    </row>
    <row r="60" spans="3:11" ht="15" customHeight="1" x14ac:dyDescent="0.25">
      <c r="C60" s="24" t="s">
        <v>232</v>
      </c>
      <c r="D60" s="10">
        <v>695116855</v>
      </c>
      <c r="E60" s="10">
        <v>1317014007</v>
      </c>
      <c r="F60" s="10">
        <v>1458246306</v>
      </c>
      <c r="G60" s="19">
        <f>G154</f>
        <v>1580340706.1399999</v>
      </c>
      <c r="H60" s="19">
        <f t="shared" ref="H60:K60" si="40">H154</f>
        <v>1702489494.0009599</v>
      </c>
      <c r="I60" s="19">
        <f t="shared" si="40"/>
        <v>1820796526.3225918</v>
      </c>
      <c r="J60" s="19">
        <f t="shared" si="40"/>
        <v>1931226956.1584964</v>
      </c>
      <c r="K60" s="19">
        <f t="shared" si="40"/>
        <v>2029901576.8088102</v>
      </c>
    </row>
    <row r="61" spans="3:11" ht="15" customHeight="1" x14ac:dyDescent="0.25">
      <c r="C61" s="17" t="s">
        <v>233</v>
      </c>
      <c r="D61" s="10">
        <v>3276491</v>
      </c>
      <c r="E61" s="10">
        <v>96510331</v>
      </c>
      <c r="F61" s="10">
        <v>88515320</v>
      </c>
      <c r="G61" s="19">
        <f>G223</f>
        <v>79321057.350000009</v>
      </c>
      <c r="H61" s="19">
        <f t="shared" ref="H61:K61" si="41">H223</f>
        <v>69023483.182000011</v>
      </c>
      <c r="I61" s="19">
        <f t="shared" si="41"/>
        <v>57696151.597200021</v>
      </c>
      <c r="J61" s="19">
        <f t="shared" si="41"/>
        <v>45462633.485616021</v>
      </c>
      <c r="K61" s="19">
        <f t="shared" si="41"/>
        <v>32495104.287336979</v>
      </c>
    </row>
    <row r="62" spans="3:11" ht="15" customHeight="1" x14ac:dyDescent="0.25">
      <c r="C62" s="17" t="s">
        <v>234</v>
      </c>
      <c r="D62" s="10">
        <v>0</v>
      </c>
      <c r="E62" s="10">
        <v>25378018</v>
      </c>
      <c r="F62" s="10">
        <v>25378018</v>
      </c>
      <c r="G62" s="19">
        <f>F62</f>
        <v>25378018</v>
      </c>
      <c r="H62" s="19">
        <f t="shared" ref="H62:K62" si="42">G62</f>
        <v>25378018</v>
      </c>
      <c r="I62" s="19">
        <f t="shared" si="42"/>
        <v>25378018</v>
      </c>
      <c r="J62" s="19">
        <f t="shared" si="42"/>
        <v>25378018</v>
      </c>
      <c r="K62" s="19">
        <f t="shared" si="42"/>
        <v>25378018</v>
      </c>
    </row>
    <row r="63" spans="3:11" ht="15" customHeight="1" x14ac:dyDescent="0.25">
      <c r="C63" s="17" t="s">
        <v>235</v>
      </c>
      <c r="D63" s="10">
        <v>673110</v>
      </c>
      <c r="E63" s="10">
        <v>2321654</v>
      </c>
      <c r="F63" s="10">
        <v>1999215</v>
      </c>
      <c r="G63" s="19">
        <f>G234</f>
        <v>2114693.5891093514</v>
      </c>
      <c r="H63" s="19">
        <f t="shared" ref="H63:K63" si="43">H234</f>
        <v>2244029.6089118253</v>
      </c>
      <c r="I63" s="19">
        <f t="shared" si="43"/>
        <v>2386299.2306945464</v>
      </c>
      <c r="J63" s="19">
        <f t="shared" si="43"/>
        <v>2539950.4222198846</v>
      </c>
      <c r="K63" s="19">
        <f t="shared" si="43"/>
        <v>2702820.6852367432</v>
      </c>
    </row>
    <row r="64" spans="3:11" ht="15" customHeight="1" x14ac:dyDescent="0.25">
      <c r="C64" s="17" t="s">
        <v>236</v>
      </c>
      <c r="D64" s="10">
        <v>9516450</v>
      </c>
      <c r="E64" s="10">
        <v>9516450</v>
      </c>
      <c r="F64" s="10">
        <v>9516450</v>
      </c>
      <c r="G64" s="19">
        <f>F64</f>
        <v>9516450</v>
      </c>
      <c r="H64" s="19">
        <f t="shared" ref="H64:K64" si="44">G64</f>
        <v>9516450</v>
      </c>
      <c r="I64" s="19">
        <f t="shared" si="44"/>
        <v>9516450</v>
      </c>
      <c r="J64" s="19">
        <f t="shared" si="44"/>
        <v>9516450</v>
      </c>
      <c r="K64" s="19">
        <f t="shared" si="44"/>
        <v>9516450</v>
      </c>
    </row>
    <row r="65" spans="3:11" ht="15" customHeight="1" x14ac:dyDescent="0.25">
      <c r="C65" s="17" t="s">
        <v>237</v>
      </c>
      <c r="D65" s="10">
        <v>32900590</v>
      </c>
      <c r="E65" s="10">
        <v>76164241</v>
      </c>
      <c r="F65" s="10">
        <v>184873756</v>
      </c>
      <c r="G65" s="19">
        <f>F65</f>
        <v>184873756</v>
      </c>
      <c r="H65" s="19">
        <f t="shared" ref="H65:K65" si="45">G65</f>
        <v>184873756</v>
      </c>
      <c r="I65" s="19">
        <f t="shared" si="45"/>
        <v>184873756</v>
      </c>
      <c r="J65" s="19">
        <f t="shared" si="45"/>
        <v>184873756</v>
      </c>
      <c r="K65" s="19">
        <f t="shared" si="45"/>
        <v>184873756</v>
      </c>
    </row>
    <row r="66" spans="3:11" ht="15" customHeight="1" x14ac:dyDescent="0.25">
      <c r="C66" s="17" t="s">
        <v>238</v>
      </c>
      <c r="D66" s="10">
        <v>100000000</v>
      </c>
      <c r="E66" s="10">
        <v>100000000</v>
      </c>
      <c r="F66" s="10">
        <v>100000000</v>
      </c>
      <c r="G66" s="19">
        <f>F66</f>
        <v>100000000</v>
      </c>
      <c r="H66" s="19">
        <f t="shared" ref="H66:K66" si="46">G66</f>
        <v>100000000</v>
      </c>
      <c r="I66" s="19">
        <f t="shared" si="46"/>
        <v>100000000</v>
      </c>
      <c r="J66" s="19">
        <f t="shared" si="46"/>
        <v>100000000</v>
      </c>
      <c r="K66" s="19">
        <f t="shared" si="46"/>
        <v>100000000</v>
      </c>
    </row>
    <row r="67" spans="3:11" ht="15" customHeight="1" x14ac:dyDescent="0.25">
      <c r="C67" s="11" t="s">
        <v>7</v>
      </c>
      <c r="D67" s="12">
        <f>SUM(D60:D66)</f>
        <v>841483496</v>
      </c>
      <c r="E67" s="12">
        <f t="shared" ref="E67:G67" si="47">SUM(E60:E66)</f>
        <v>1626904701</v>
      </c>
      <c r="F67" s="12">
        <f t="shared" si="47"/>
        <v>1868529065</v>
      </c>
      <c r="G67" s="12">
        <f t="shared" si="47"/>
        <v>1981544681.0791092</v>
      </c>
      <c r="H67" s="12">
        <f t="shared" ref="H67" si="48">SUM(H60:H66)</f>
        <v>2093525230.7918715</v>
      </c>
      <c r="I67" s="12">
        <f t="shared" ref="I67" si="49">SUM(I60:I66)</f>
        <v>2200647201.150486</v>
      </c>
      <c r="J67" s="12">
        <f t="shared" ref="J67" si="50">SUM(J60:J66)</f>
        <v>2298997764.0663323</v>
      </c>
      <c r="K67" s="12">
        <f t="shared" ref="K67" si="51">SUM(K60:K66)</f>
        <v>2384867725.781384</v>
      </c>
    </row>
    <row r="68" spans="3:11" ht="15" customHeight="1" x14ac:dyDescent="0.25">
      <c r="E68" s="19"/>
      <c r="F68" s="19"/>
      <c r="G68" s="19"/>
      <c r="H68" s="19"/>
      <c r="I68" s="19"/>
      <c r="J68" s="19"/>
      <c r="K68" s="19"/>
    </row>
    <row r="69" spans="3:11" ht="15" customHeight="1" x14ac:dyDescent="0.25">
      <c r="C69" s="13" t="s">
        <v>8</v>
      </c>
      <c r="D69" s="14">
        <f>D57+D67</f>
        <v>1804806196</v>
      </c>
      <c r="E69" s="14">
        <f t="shared" ref="E69:G69" si="52">E57+E67</f>
        <v>3117085588</v>
      </c>
      <c r="F69" s="14">
        <f t="shared" si="52"/>
        <v>3119989599</v>
      </c>
      <c r="G69" s="14">
        <f t="shared" si="52"/>
        <v>3405160548.6421089</v>
      </c>
      <c r="H69" s="14">
        <f t="shared" ref="H69:K69" si="53">H57+H67</f>
        <v>3678056798.7024317</v>
      </c>
      <c r="I69" s="14">
        <f t="shared" si="53"/>
        <v>3942028760.3189917</v>
      </c>
      <c r="J69" s="14">
        <f t="shared" si="53"/>
        <v>4251465190.1089611</v>
      </c>
      <c r="K69" s="14">
        <f t="shared" si="53"/>
        <v>4573499674.6430359</v>
      </c>
    </row>
    <row r="70" spans="3:11" ht="15" customHeight="1" x14ac:dyDescent="0.25">
      <c r="E70" s="18"/>
      <c r="F70" s="18"/>
      <c r="G70" s="18"/>
      <c r="H70" s="18"/>
      <c r="I70" s="18"/>
      <c r="J70" s="18"/>
      <c r="K70" s="18"/>
    </row>
    <row r="71" spans="3:11" s="35" customFormat="1" ht="15" customHeight="1" x14ac:dyDescent="0.25">
      <c r="C71" s="45" t="s">
        <v>9</v>
      </c>
      <c r="D71" s="262"/>
      <c r="E71" s="47"/>
      <c r="F71" s="47"/>
      <c r="G71" s="220"/>
      <c r="H71" s="220"/>
      <c r="I71" s="220"/>
      <c r="J71" s="220"/>
      <c r="K71" s="220"/>
    </row>
    <row r="72" spans="3:11" ht="15" customHeight="1" x14ac:dyDescent="0.25">
      <c r="E72" s="18"/>
      <c r="F72" s="18"/>
      <c r="G72" s="18"/>
      <c r="H72" s="18"/>
      <c r="I72" s="18"/>
      <c r="J72" s="18"/>
      <c r="K72" s="18"/>
    </row>
    <row r="73" spans="3:11" ht="15" customHeight="1" x14ac:dyDescent="0.25">
      <c r="C73" s="13" t="s">
        <v>10</v>
      </c>
      <c r="E73" s="18"/>
      <c r="F73" s="18"/>
      <c r="G73" s="18"/>
      <c r="H73" s="18"/>
      <c r="I73" s="18"/>
      <c r="J73" s="18"/>
      <c r="K73" s="18"/>
    </row>
    <row r="74" spans="3:11" ht="15" customHeight="1" x14ac:dyDescent="0.25">
      <c r="C74" s="17" t="s">
        <v>242</v>
      </c>
      <c r="D74" s="10">
        <v>89117897</v>
      </c>
      <c r="E74" s="10">
        <v>190946167</v>
      </c>
      <c r="F74" s="10">
        <v>186972997</v>
      </c>
      <c r="G74" s="19">
        <f>G176</f>
        <v>215018946.54999998</v>
      </c>
      <c r="H74" s="19">
        <f t="shared" ref="H74:K74" si="54">H176</f>
        <v>240821220.13599998</v>
      </c>
      <c r="I74" s="19">
        <f t="shared" si="54"/>
        <v>264903342.14959997</v>
      </c>
      <c r="J74" s="19">
        <f t="shared" si="54"/>
        <v>286095609.521568</v>
      </c>
      <c r="K74" s="19">
        <f t="shared" si="54"/>
        <v>303261346.09286213</v>
      </c>
    </row>
    <row r="75" spans="3:11" ht="15" customHeight="1" x14ac:dyDescent="0.25">
      <c r="C75" s="17" t="s">
        <v>243</v>
      </c>
      <c r="D75" s="10">
        <v>0</v>
      </c>
      <c r="E75" s="10">
        <v>0</v>
      </c>
      <c r="F75" s="10">
        <v>100620493</v>
      </c>
      <c r="G75" s="19">
        <f>F75</f>
        <v>100620493</v>
      </c>
      <c r="H75" s="19">
        <f t="shared" ref="H75:K75" si="55">G75</f>
        <v>100620493</v>
      </c>
      <c r="I75" s="19">
        <f t="shared" si="55"/>
        <v>100620493</v>
      </c>
      <c r="J75" s="19">
        <f t="shared" si="55"/>
        <v>100620493</v>
      </c>
      <c r="K75" s="19">
        <f t="shared" si="55"/>
        <v>100620493</v>
      </c>
    </row>
    <row r="76" spans="3:11" ht="15" customHeight="1" x14ac:dyDescent="0.25">
      <c r="C76" s="17" t="s">
        <v>244</v>
      </c>
      <c r="D76" s="10">
        <v>56497883</v>
      </c>
      <c r="E76" s="10">
        <v>53947760</v>
      </c>
      <c r="F76" s="10">
        <v>55353806</v>
      </c>
      <c r="G76" s="19">
        <f>G270</f>
        <v>55353806</v>
      </c>
      <c r="H76" s="19">
        <f t="shared" ref="H76:K76" si="56">H270</f>
        <v>55353806</v>
      </c>
      <c r="I76" s="19">
        <f t="shared" si="56"/>
        <v>55353806</v>
      </c>
      <c r="J76" s="19">
        <f t="shared" si="56"/>
        <v>55353806</v>
      </c>
      <c r="K76" s="19">
        <f t="shared" si="56"/>
        <v>55353806</v>
      </c>
    </row>
    <row r="77" spans="3:11" ht="15" customHeight="1" x14ac:dyDescent="0.25">
      <c r="C77" s="17" t="s">
        <v>245</v>
      </c>
      <c r="D77" s="10">
        <v>20441682</v>
      </c>
      <c r="E77" s="10">
        <v>33847827</v>
      </c>
      <c r="F77" s="10">
        <v>24959088</v>
      </c>
      <c r="G77" s="19">
        <f>G177</f>
        <v>28702951.199999996</v>
      </c>
      <c r="H77" s="19">
        <f t="shared" ref="H77:K77" si="57">H177</f>
        <v>32147305.343999997</v>
      </c>
      <c r="I77" s="19">
        <f t="shared" si="57"/>
        <v>35362035.878399998</v>
      </c>
      <c r="J77" s="19">
        <f t="shared" si="57"/>
        <v>38190998.748672001</v>
      </c>
      <c r="K77" s="19">
        <f t="shared" si="57"/>
        <v>40482458.673592322</v>
      </c>
    </row>
    <row r="78" spans="3:11" ht="15" customHeight="1" x14ac:dyDescent="0.25">
      <c r="C78" s="17" t="s">
        <v>246</v>
      </c>
      <c r="D78" s="10">
        <v>110691</v>
      </c>
      <c r="E78" s="10">
        <v>817314</v>
      </c>
      <c r="F78" s="10">
        <v>817314</v>
      </c>
      <c r="G78" s="19">
        <f>G178</f>
        <v>939911.09999999986</v>
      </c>
      <c r="H78" s="19">
        <f t="shared" ref="H78:K78" si="58">H178</f>
        <v>1052700.432</v>
      </c>
      <c r="I78" s="19">
        <f t="shared" si="58"/>
        <v>1157970.4752</v>
      </c>
      <c r="J78" s="19">
        <f t="shared" si="58"/>
        <v>1250608.1132160001</v>
      </c>
      <c r="K78" s="19">
        <f t="shared" si="58"/>
        <v>1325644.6000089601</v>
      </c>
    </row>
    <row r="79" spans="3:11" ht="15" customHeight="1" x14ac:dyDescent="0.25">
      <c r="C79" s="17" t="s">
        <v>247</v>
      </c>
      <c r="D79" s="10">
        <v>666527</v>
      </c>
      <c r="E79" s="10">
        <v>412625</v>
      </c>
      <c r="F79" s="10">
        <v>289533</v>
      </c>
      <c r="G79" s="19">
        <f>G236*G237</f>
        <v>281619.9855882391</v>
      </c>
      <c r="H79" s="19">
        <f t="shared" ref="H79:K79" si="59">H236*H237</f>
        <v>299702.05918719748</v>
      </c>
      <c r="I79" s="19">
        <f t="shared" si="59"/>
        <v>319300.69379768142</v>
      </c>
      <c r="J79" s="19">
        <f t="shared" si="59"/>
        <v>340140.57526682923</v>
      </c>
      <c r="K79" s="19">
        <f t="shared" si="59"/>
        <v>361871.5413229338</v>
      </c>
    </row>
    <row r="80" spans="3:11" ht="15" customHeight="1" x14ac:dyDescent="0.25">
      <c r="C80" s="17" t="s">
        <v>212</v>
      </c>
      <c r="D80" s="10"/>
      <c r="E80" s="10"/>
      <c r="F80" s="10"/>
      <c r="G80" s="19">
        <f>G259</f>
        <v>29509852.901532277</v>
      </c>
      <c r="H80" s="19">
        <f t="shared" ref="H80:K80" si="60">H259</f>
        <v>27575987.727222592</v>
      </c>
      <c r="I80" s="19">
        <f t="shared" si="60"/>
        <v>0</v>
      </c>
      <c r="J80" s="19">
        <f t="shared" si="60"/>
        <v>0</v>
      </c>
      <c r="K80" s="19">
        <f t="shared" si="60"/>
        <v>0</v>
      </c>
    </row>
    <row r="81" spans="3:11" ht="15" customHeight="1" x14ac:dyDescent="0.25">
      <c r="C81" s="11" t="s">
        <v>11</v>
      </c>
      <c r="D81" s="12">
        <f>SUM(D74:D80)</f>
        <v>166834680</v>
      </c>
      <c r="E81" s="12">
        <f t="shared" ref="E81:K81" si="61">SUM(E74:E80)</f>
        <v>279971693</v>
      </c>
      <c r="F81" s="12">
        <f t="shared" si="61"/>
        <v>369013231</v>
      </c>
      <c r="G81" s="12">
        <f t="shared" si="61"/>
        <v>430427580.73712051</v>
      </c>
      <c r="H81" s="12">
        <f t="shared" si="61"/>
        <v>457871214.69840968</v>
      </c>
      <c r="I81" s="12">
        <f t="shared" si="61"/>
        <v>457716948.1969977</v>
      </c>
      <c r="J81" s="12">
        <f t="shared" si="61"/>
        <v>481851655.95872283</v>
      </c>
      <c r="K81" s="12">
        <f t="shared" si="61"/>
        <v>501405619.90778637</v>
      </c>
    </row>
    <row r="82" spans="3:11" ht="15" customHeight="1" x14ac:dyDescent="0.25">
      <c r="E82" s="18"/>
      <c r="F82" s="18"/>
      <c r="G82" s="18"/>
      <c r="H82" s="18"/>
      <c r="I82" s="18"/>
      <c r="J82" s="18"/>
      <c r="K82" s="18"/>
    </row>
    <row r="83" spans="3:11" ht="15" customHeight="1" x14ac:dyDescent="0.25">
      <c r="C83" s="13" t="s">
        <v>12</v>
      </c>
      <c r="E83" s="18"/>
      <c r="F83" s="18"/>
      <c r="G83" s="18"/>
      <c r="H83" s="18"/>
      <c r="I83" s="18"/>
      <c r="J83" s="18"/>
      <c r="K83" s="18"/>
    </row>
    <row r="84" spans="3:11" ht="15" customHeight="1" x14ac:dyDescent="0.25">
      <c r="C84" s="17" t="s">
        <v>257</v>
      </c>
      <c r="D84" s="10">
        <v>14799151</v>
      </c>
      <c r="E84" s="10">
        <v>21622722</v>
      </c>
      <c r="F84" s="10">
        <v>22671509</v>
      </c>
      <c r="G84" s="19">
        <f>G282</f>
        <v>23775540.960951336</v>
      </c>
      <c r="H84" s="19">
        <f t="shared" ref="H84:K84" si="62">H282</f>
        <v>24933335.843938522</v>
      </c>
      <c r="I84" s="19">
        <f t="shared" si="62"/>
        <v>26147511.73601706</v>
      </c>
      <c r="J84" s="19">
        <f t="shared" si="62"/>
        <v>27420814.216937624</v>
      </c>
      <c r="K84" s="19">
        <f t="shared" si="62"/>
        <v>28756122.567643695</v>
      </c>
    </row>
    <row r="85" spans="3:11" ht="15" customHeight="1" x14ac:dyDescent="0.25">
      <c r="C85" s="17" t="s">
        <v>248</v>
      </c>
      <c r="D85" s="10">
        <v>43871182</v>
      </c>
      <c r="E85" s="10">
        <v>63112762</v>
      </c>
      <c r="F85" s="10">
        <v>68533910</v>
      </c>
      <c r="G85" s="19">
        <f>G248</f>
        <v>71280196.510165736</v>
      </c>
      <c r="H85" s="19">
        <f t="shared" ref="H85:K85" si="63">H248</f>
        <v>74136532.039801091</v>
      </c>
      <c r="I85" s="19">
        <f t="shared" si="63"/>
        <v>77107326.466259122</v>
      </c>
      <c r="J85" s="19">
        <f t="shared" si="63"/>
        <v>80197166.379219487</v>
      </c>
      <c r="K85" s="19">
        <f t="shared" si="63"/>
        <v>83410822.161893621</v>
      </c>
    </row>
    <row r="86" spans="3:11" ht="15" customHeight="1" x14ac:dyDescent="0.25">
      <c r="C86" s="17" t="s">
        <v>249</v>
      </c>
      <c r="D86" s="10">
        <v>0</v>
      </c>
      <c r="E86" s="10">
        <v>2232462</v>
      </c>
      <c r="F86" s="10">
        <v>2003303</v>
      </c>
      <c r="G86" s="19">
        <f>(1-G237)*G236</f>
        <v>1948552.1926304637</v>
      </c>
      <c r="H86" s="19">
        <f t="shared" ref="H86:K86" si="64">(1-H237)*H236</f>
        <v>2073663.5695271015</v>
      </c>
      <c r="I86" s="19">
        <f t="shared" si="64"/>
        <v>2209268.1586795859</v>
      </c>
      <c r="J86" s="19">
        <f t="shared" si="64"/>
        <v>2353461.0384783936</v>
      </c>
      <c r="K86" s="19">
        <f t="shared" si="64"/>
        <v>2503819.4069306687</v>
      </c>
    </row>
    <row r="87" spans="3:11" ht="15" customHeight="1" x14ac:dyDescent="0.25">
      <c r="C87" s="11" t="s">
        <v>13</v>
      </c>
      <c r="D87" s="12">
        <f>SUM(D84:D86)</f>
        <v>58670333</v>
      </c>
      <c r="E87" s="12">
        <f t="shared" ref="E87:F87" si="65">SUM(E84:E86)</f>
        <v>86967946</v>
      </c>
      <c r="F87" s="12">
        <f t="shared" si="65"/>
        <v>93208722</v>
      </c>
      <c r="G87" s="12">
        <f>SUM(G84:G86)</f>
        <v>97004289.663747549</v>
      </c>
      <c r="H87" s="12">
        <f t="shared" ref="H87:K87" si="66">SUM(H84:H86)</f>
        <v>101143531.45326672</v>
      </c>
      <c r="I87" s="12">
        <f t="shared" si="66"/>
        <v>105464106.36095577</v>
      </c>
      <c r="J87" s="12">
        <f t="shared" si="66"/>
        <v>109971441.63463549</v>
      </c>
      <c r="K87" s="12">
        <f t="shared" si="66"/>
        <v>114670764.13646798</v>
      </c>
    </row>
    <row r="88" spans="3:11" ht="15" customHeight="1" x14ac:dyDescent="0.25">
      <c r="E88" s="18"/>
      <c r="F88" s="18"/>
      <c r="G88" s="18"/>
      <c r="H88" s="18"/>
      <c r="I88" s="18"/>
      <c r="J88" s="18"/>
      <c r="K88" s="18"/>
    </row>
    <row r="89" spans="3:11" ht="15" customHeight="1" x14ac:dyDescent="0.25">
      <c r="C89" s="13" t="s">
        <v>14</v>
      </c>
      <c r="D89" s="25">
        <f>D81+D87</f>
        <v>225505013</v>
      </c>
      <c r="E89" s="25">
        <f t="shared" ref="E89:G89" si="67">E81+E87</f>
        <v>366939639</v>
      </c>
      <c r="F89" s="25">
        <f t="shared" si="67"/>
        <v>462221953</v>
      </c>
      <c r="G89" s="25">
        <f t="shared" si="67"/>
        <v>527431870.40086806</v>
      </c>
      <c r="H89" s="25">
        <f t="shared" ref="H89:K89" si="68">H81+H87</f>
        <v>559014746.15167642</v>
      </c>
      <c r="I89" s="25">
        <f t="shared" si="68"/>
        <v>563181054.55795348</v>
      </c>
      <c r="J89" s="25">
        <f t="shared" si="68"/>
        <v>591823097.59335828</v>
      </c>
      <c r="K89" s="25">
        <f t="shared" si="68"/>
        <v>616076384.0442543</v>
      </c>
    </row>
    <row r="90" spans="3:11" ht="15" customHeight="1" x14ac:dyDescent="0.25">
      <c r="E90" s="18"/>
      <c r="F90" s="18"/>
      <c r="G90" s="18"/>
      <c r="H90" s="18"/>
      <c r="I90" s="18"/>
      <c r="J90" s="18"/>
      <c r="K90" s="18"/>
    </row>
    <row r="91" spans="3:11" ht="15" customHeight="1" x14ac:dyDescent="0.25">
      <c r="C91" s="13" t="s">
        <v>15</v>
      </c>
      <c r="E91" s="18"/>
      <c r="F91" s="18"/>
      <c r="G91" s="18"/>
      <c r="H91" s="18"/>
      <c r="I91" s="18"/>
      <c r="J91" s="18"/>
      <c r="K91" s="18"/>
    </row>
    <row r="92" spans="3:11" ht="15" customHeight="1" x14ac:dyDescent="0.25">
      <c r="C92" s="17" t="s">
        <v>250</v>
      </c>
      <c r="D92" s="10">
        <v>900000000</v>
      </c>
      <c r="E92" s="10">
        <v>1105590000</v>
      </c>
      <c r="F92" s="10">
        <v>1105590000</v>
      </c>
      <c r="G92" s="19">
        <f>F92</f>
        <v>1105590000</v>
      </c>
      <c r="H92" s="19">
        <f t="shared" ref="H92:K92" si="69">G92</f>
        <v>1105590000</v>
      </c>
      <c r="I92" s="19">
        <f t="shared" si="69"/>
        <v>1105590000</v>
      </c>
      <c r="J92" s="19">
        <f t="shared" si="69"/>
        <v>1105590000</v>
      </c>
      <c r="K92" s="19">
        <f t="shared" si="69"/>
        <v>1105590000</v>
      </c>
    </row>
    <row r="93" spans="3:11" ht="15" customHeight="1" x14ac:dyDescent="0.25">
      <c r="C93" s="17" t="s">
        <v>251</v>
      </c>
      <c r="D93" s="10">
        <v>0</v>
      </c>
      <c r="E93" s="10">
        <v>997111500</v>
      </c>
      <c r="F93" s="10">
        <v>997111500</v>
      </c>
      <c r="G93" s="19">
        <f t="shared" ref="G93:K96" si="70">F93</f>
        <v>997111500</v>
      </c>
      <c r="H93" s="19">
        <f t="shared" si="70"/>
        <v>997111500</v>
      </c>
      <c r="I93" s="19">
        <f t="shared" si="70"/>
        <v>997111500</v>
      </c>
      <c r="J93" s="19">
        <f t="shared" si="70"/>
        <v>997111500</v>
      </c>
      <c r="K93" s="19">
        <f t="shared" si="70"/>
        <v>997111500</v>
      </c>
    </row>
    <row r="94" spans="3:11" ht="15" customHeight="1" x14ac:dyDescent="0.25">
      <c r="C94" s="17" t="s">
        <v>252</v>
      </c>
      <c r="D94" s="10">
        <v>270000000</v>
      </c>
      <c r="E94" s="10">
        <v>270000000</v>
      </c>
      <c r="F94" s="10">
        <v>270000000</v>
      </c>
      <c r="G94" s="19">
        <f t="shared" si="70"/>
        <v>270000000</v>
      </c>
      <c r="H94" s="19">
        <f t="shared" si="70"/>
        <v>270000000</v>
      </c>
      <c r="I94" s="19">
        <f t="shared" si="70"/>
        <v>270000000</v>
      </c>
      <c r="J94" s="19">
        <f t="shared" si="70"/>
        <v>270000000</v>
      </c>
      <c r="K94" s="19">
        <f t="shared" si="70"/>
        <v>270000000</v>
      </c>
    </row>
    <row r="95" spans="3:11" ht="15" customHeight="1" x14ac:dyDescent="0.25">
      <c r="C95" s="17" t="s">
        <v>253</v>
      </c>
      <c r="D95" s="10">
        <v>0</v>
      </c>
      <c r="E95" s="10">
        <v>-47617914</v>
      </c>
      <c r="F95" s="10">
        <v>-47617914</v>
      </c>
      <c r="G95" s="19">
        <f t="shared" si="70"/>
        <v>-47617914</v>
      </c>
      <c r="H95" s="19">
        <f t="shared" si="70"/>
        <v>-47617914</v>
      </c>
      <c r="I95" s="19">
        <f t="shared" si="70"/>
        <v>-47617914</v>
      </c>
      <c r="J95" s="19">
        <f t="shared" si="70"/>
        <v>-47617914</v>
      </c>
      <c r="K95" s="19">
        <f t="shared" si="70"/>
        <v>-47617914</v>
      </c>
    </row>
    <row r="96" spans="3:11" ht="15" customHeight="1" x14ac:dyDescent="0.25">
      <c r="C96" s="17" t="s">
        <v>254</v>
      </c>
      <c r="D96" s="10">
        <v>-1724396</v>
      </c>
      <c r="E96" s="10">
        <v>116709</v>
      </c>
      <c r="F96" s="10">
        <v>-960381</v>
      </c>
      <c r="G96" s="19">
        <f t="shared" si="70"/>
        <v>-960381</v>
      </c>
      <c r="H96" s="19">
        <f t="shared" si="70"/>
        <v>-960381</v>
      </c>
      <c r="I96" s="19">
        <f t="shared" si="70"/>
        <v>-960381</v>
      </c>
      <c r="J96" s="19">
        <f t="shared" si="70"/>
        <v>-960381</v>
      </c>
      <c r="K96" s="19">
        <f t="shared" si="70"/>
        <v>-960381</v>
      </c>
    </row>
    <row r="97" spans="3:11" ht="15" customHeight="1" x14ac:dyDescent="0.25">
      <c r="C97" s="17" t="s">
        <v>255</v>
      </c>
      <c r="D97" s="10">
        <v>411025579</v>
      </c>
      <c r="E97" s="10">
        <v>424945654</v>
      </c>
      <c r="F97" s="10">
        <v>333644441</v>
      </c>
      <c r="G97" s="19">
        <f>G212</f>
        <v>553605473.24124122</v>
      </c>
      <c r="H97" s="19">
        <f t="shared" ref="H97:K97" si="71">H212</f>
        <v>794918847.55075502</v>
      </c>
      <c r="I97" s="19">
        <f t="shared" si="71"/>
        <v>1054724500.7610389</v>
      </c>
      <c r="J97" s="19">
        <f t="shared" si="71"/>
        <v>1335518887.5156031</v>
      </c>
      <c r="K97" s="19">
        <f t="shared" si="71"/>
        <v>1633300085.5987821</v>
      </c>
    </row>
    <row r="98" spans="3:11" ht="15" customHeight="1" x14ac:dyDescent="0.25">
      <c r="C98" s="26" t="s">
        <v>16</v>
      </c>
      <c r="D98" s="12">
        <f>SUM(D92:D97)</f>
        <v>1579301183</v>
      </c>
      <c r="E98" s="12">
        <f t="shared" ref="E98:G98" si="72">SUM(E92:E97)</f>
        <v>2750145949</v>
      </c>
      <c r="F98" s="12">
        <f t="shared" si="72"/>
        <v>2657767646</v>
      </c>
      <c r="G98" s="12">
        <f t="shared" si="72"/>
        <v>2877728678.2412415</v>
      </c>
      <c r="H98" s="12">
        <f t="shared" ref="H98" si="73">SUM(H92:H97)</f>
        <v>3119042052.550755</v>
      </c>
      <c r="I98" s="12">
        <f t="shared" ref="I98" si="74">SUM(I92:I97)</f>
        <v>3378847705.7610388</v>
      </c>
      <c r="J98" s="12">
        <f t="shared" ref="J98" si="75">SUM(J92:J97)</f>
        <v>3659642092.5156031</v>
      </c>
      <c r="K98" s="12">
        <f t="shared" ref="K98" si="76">SUM(K92:K97)</f>
        <v>3957423290.5987821</v>
      </c>
    </row>
    <row r="99" spans="3:11" ht="15" customHeight="1" x14ac:dyDescent="0.25">
      <c r="E99" s="19"/>
      <c r="F99" s="19"/>
      <c r="G99" s="19"/>
      <c r="H99" s="19"/>
      <c r="I99" s="19"/>
      <c r="J99" s="19"/>
      <c r="K99" s="19"/>
    </row>
    <row r="100" spans="3:11" ht="15" customHeight="1" x14ac:dyDescent="0.25">
      <c r="C100" s="13" t="s">
        <v>17</v>
      </c>
      <c r="D100" s="14">
        <f>D89+D98</f>
        <v>1804806196</v>
      </c>
      <c r="E100" s="14">
        <f t="shared" ref="E100:G100" si="77">E89+E98</f>
        <v>3117085588</v>
      </c>
      <c r="F100" s="14">
        <f t="shared" si="77"/>
        <v>3119989599</v>
      </c>
      <c r="G100" s="14">
        <f t="shared" si="77"/>
        <v>3405160548.6421094</v>
      </c>
      <c r="H100" s="14">
        <f t="shared" ref="H100:K100" si="78">H89+H98</f>
        <v>3678056798.7024317</v>
      </c>
      <c r="I100" s="14">
        <f t="shared" si="78"/>
        <v>3942028760.3189921</v>
      </c>
      <c r="J100" s="14">
        <f t="shared" si="78"/>
        <v>4251465190.1089611</v>
      </c>
      <c r="K100" s="14">
        <f t="shared" si="78"/>
        <v>4573499674.6430359</v>
      </c>
    </row>
    <row r="101" spans="3:11" ht="15" customHeight="1" x14ac:dyDescent="0.25">
      <c r="E101" s="18"/>
      <c r="F101" s="18"/>
      <c r="G101" s="18"/>
      <c r="H101" s="18"/>
      <c r="I101" s="18"/>
      <c r="J101" s="18"/>
      <c r="K101" s="18"/>
    </row>
    <row r="102" spans="3:11" ht="15" customHeight="1" x14ac:dyDescent="0.25">
      <c r="C102" s="6" t="s">
        <v>18</v>
      </c>
      <c r="D102" s="18">
        <f>D69-D100</f>
        <v>0</v>
      </c>
      <c r="E102" s="18">
        <f t="shared" ref="E102:K102" si="79">E69-E100</f>
        <v>0</v>
      </c>
      <c r="F102" s="18">
        <f t="shared" si="79"/>
        <v>0</v>
      </c>
      <c r="G102" s="18">
        <f t="shared" si="79"/>
        <v>0</v>
      </c>
      <c r="H102" s="18">
        <f t="shared" si="79"/>
        <v>0</v>
      </c>
      <c r="I102" s="18">
        <f t="shared" si="79"/>
        <v>0</v>
      </c>
      <c r="J102" s="18">
        <f t="shared" si="79"/>
        <v>0</v>
      </c>
      <c r="K102" s="18">
        <f t="shared" si="79"/>
        <v>0</v>
      </c>
    </row>
    <row r="103" spans="3:11" ht="15" customHeight="1" x14ac:dyDescent="0.25"/>
    <row r="104" spans="3:11" customFormat="1" x14ac:dyDescent="0.25">
      <c r="C104" s="39" t="s">
        <v>45</v>
      </c>
      <c r="D104" s="261"/>
      <c r="E104" s="46"/>
      <c r="F104" s="46"/>
      <c r="G104" s="46"/>
      <c r="H104" s="46"/>
      <c r="I104" s="46"/>
      <c r="J104" s="46"/>
      <c r="K104" s="46"/>
    </row>
    <row r="105" spans="3:11" customFormat="1" x14ac:dyDescent="0.25">
      <c r="C105" t="s">
        <v>42</v>
      </c>
      <c r="D105" s="41"/>
      <c r="E105" s="41"/>
      <c r="F105" s="42"/>
      <c r="G105" s="42">
        <f t="shared" ref="G105:K105" si="80">G$13</f>
        <v>2026</v>
      </c>
      <c r="H105" s="42">
        <f t="shared" si="80"/>
        <v>2027</v>
      </c>
      <c r="I105" s="42">
        <f t="shared" si="80"/>
        <v>2028</v>
      </c>
      <c r="J105" s="42">
        <f t="shared" si="80"/>
        <v>2029</v>
      </c>
      <c r="K105" s="42">
        <f t="shared" si="80"/>
        <v>2030</v>
      </c>
    </row>
    <row r="106" spans="3:11" customFormat="1" x14ac:dyDescent="0.25">
      <c r="C106" s="43" t="s">
        <v>43</v>
      </c>
      <c r="D106" s="263"/>
      <c r="E106" s="44"/>
      <c r="F106" s="235"/>
      <c r="G106" s="235">
        <f t="shared" ref="G106:K106" si="81">G$14</f>
        <v>46387</v>
      </c>
      <c r="H106" s="235">
        <f t="shared" si="81"/>
        <v>46752</v>
      </c>
      <c r="I106" s="235">
        <f t="shared" si="81"/>
        <v>47118</v>
      </c>
      <c r="J106" s="235">
        <f t="shared" si="81"/>
        <v>47483</v>
      </c>
      <c r="K106" s="235">
        <f t="shared" si="81"/>
        <v>47848</v>
      </c>
    </row>
    <row r="107" spans="3:11" ht="15" customHeight="1" x14ac:dyDescent="0.25"/>
    <row r="108" spans="3:11" s="13" customFormat="1" ht="15" customHeight="1" x14ac:dyDescent="0.25">
      <c r="C108" s="17" t="s">
        <v>285</v>
      </c>
      <c r="D108" s="203"/>
      <c r="E108" s="203"/>
      <c r="F108" s="205"/>
      <c r="G108" s="203">
        <f>G31</f>
        <v>274951290.30155152</v>
      </c>
      <c r="H108" s="203">
        <f t="shared" ref="H108:K108" si="82">H31</f>
        <v>301641717.88689238</v>
      </c>
      <c r="I108" s="203">
        <f t="shared" si="82"/>
        <v>324757066.51285475</v>
      </c>
      <c r="J108" s="203">
        <f t="shared" si="82"/>
        <v>350992983.4432053</v>
      </c>
      <c r="K108" s="203">
        <f t="shared" si="82"/>
        <v>372226497.60397357</v>
      </c>
    </row>
    <row r="109" spans="3:11" ht="15" customHeight="1" x14ac:dyDescent="0.25">
      <c r="C109" s="17" t="s">
        <v>258</v>
      </c>
      <c r="D109" s="205"/>
      <c r="E109" s="204"/>
      <c r="F109" s="204"/>
      <c r="G109" s="204">
        <f>G153</f>
        <v>138565247.99999997</v>
      </c>
      <c r="H109" s="204">
        <f t="shared" ref="H109:K109" si="83">H153</f>
        <v>155193077.75999999</v>
      </c>
      <c r="I109" s="204">
        <f t="shared" si="83"/>
        <v>170712385.53599998</v>
      </c>
      <c r="J109" s="204">
        <f t="shared" si="83"/>
        <v>184369376.37887999</v>
      </c>
      <c r="K109" s="204">
        <f t="shared" si="83"/>
        <v>195431538.96161282</v>
      </c>
    </row>
    <row r="110" spans="3:11" ht="15" customHeight="1" x14ac:dyDescent="0.25">
      <c r="C110" s="17" t="s">
        <v>263</v>
      </c>
      <c r="D110" s="205"/>
      <c r="E110" s="204"/>
      <c r="F110" s="204"/>
      <c r="G110" s="204">
        <f>G222</f>
        <v>14010049.799999997</v>
      </c>
      <c r="H110" s="204">
        <f t="shared" ref="H110:K110" si="84">H222</f>
        <v>15691255.775999999</v>
      </c>
      <c r="I110" s="204">
        <f t="shared" si="84"/>
        <v>17260381.353599999</v>
      </c>
      <c r="J110" s="204">
        <f t="shared" si="84"/>
        <v>18641211.861887999</v>
      </c>
      <c r="K110" s="204">
        <f t="shared" si="84"/>
        <v>19759684.573601279</v>
      </c>
    </row>
    <row r="111" spans="3:11" ht="15" customHeight="1" x14ac:dyDescent="0.25">
      <c r="C111" s="17" t="s">
        <v>259</v>
      </c>
      <c r="D111" s="205"/>
      <c r="E111" s="204"/>
      <c r="F111" s="204"/>
      <c r="G111" s="204">
        <f>G233</f>
        <v>720555.61399277917</v>
      </c>
      <c r="H111" s="204">
        <f t="shared" ref="H111:K111" si="85">H233</f>
        <v>807022.28767191269</v>
      </c>
      <c r="I111" s="204">
        <f t="shared" si="85"/>
        <v>887724.51643910399</v>
      </c>
      <c r="J111" s="204">
        <f t="shared" si="85"/>
        <v>958742.47775423236</v>
      </c>
      <c r="K111" s="204">
        <f t="shared" si="85"/>
        <v>1016267.0264194864</v>
      </c>
    </row>
    <row r="112" spans="3:11" ht="15" customHeight="1" x14ac:dyDescent="0.25">
      <c r="C112" s="17" t="s">
        <v>282</v>
      </c>
      <c r="D112" s="205"/>
      <c r="E112" s="204"/>
      <c r="F112" s="204"/>
      <c r="G112" s="204">
        <f>G78-F78</f>
        <v>122597.09999999986</v>
      </c>
      <c r="H112" s="204">
        <f>H78-G78</f>
        <v>112789.33200000017</v>
      </c>
      <c r="I112" s="204">
        <f>I78-H78</f>
        <v>105270.04319999996</v>
      </c>
      <c r="J112" s="204">
        <f>J78-I78</f>
        <v>92637.638016000157</v>
      </c>
      <c r="K112" s="204">
        <f>K78-J78</f>
        <v>75036.486792959971</v>
      </c>
    </row>
    <row r="113" spans="3:11" ht="15" customHeight="1" x14ac:dyDescent="0.25">
      <c r="C113" s="17" t="s">
        <v>283</v>
      </c>
      <c r="D113" s="205"/>
      <c r="E113" s="204"/>
      <c r="F113" s="204"/>
      <c r="G113" s="204">
        <f>G84-F84</f>
        <v>1104031.9609513357</v>
      </c>
      <c r="H113" s="204">
        <f>H84-G84</f>
        <v>1157794.8829871863</v>
      </c>
      <c r="I113" s="204">
        <f>I84-H84</f>
        <v>1214175.8920785375</v>
      </c>
      <c r="J113" s="204">
        <f>J84-I84</f>
        <v>1273302.4809205644</v>
      </c>
      <c r="K113" s="204">
        <f>K84-J84</f>
        <v>1335308.3507060707</v>
      </c>
    </row>
    <row r="114" spans="3:11" ht="15" customHeight="1" x14ac:dyDescent="0.25">
      <c r="C114" s="17" t="s">
        <v>260</v>
      </c>
      <c r="D114" s="205"/>
      <c r="E114" s="204"/>
      <c r="F114" s="204"/>
      <c r="G114" s="204">
        <f>G246</f>
        <v>8205625.4373602169</v>
      </c>
      <c r="H114" s="204">
        <f t="shared" ref="H114:K114" si="86">H246</f>
        <v>8534440.7412892524</v>
      </c>
      <c r="I114" s="204">
        <f t="shared" si="86"/>
        <v>8876432.3112961538</v>
      </c>
      <c r="J114" s="204">
        <f t="shared" si="86"/>
        <v>9232128.1458824482</v>
      </c>
      <c r="K114" s="204">
        <f t="shared" si="86"/>
        <v>9602077.4014722481</v>
      </c>
    </row>
    <row r="115" spans="3:11" s="13" customFormat="1" ht="15" customHeight="1" x14ac:dyDescent="0.25">
      <c r="C115" s="13" t="s">
        <v>174</v>
      </c>
      <c r="D115" s="203"/>
      <c r="E115" s="203"/>
      <c r="F115" s="203"/>
      <c r="G115" s="203">
        <f>SUM(G108:G114)</f>
        <v>437679398.2138558</v>
      </c>
      <c r="H115" s="203">
        <f>SUM(H108:H114)</f>
        <v>483138098.66684079</v>
      </c>
      <c r="I115" s="203">
        <f>SUM(I108:I114)</f>
        <v>523813436.16546851</v>
      </c>
      <c r="J115" s="203">
        <f>SUM(J108:J114)</f>
        <v>565560382.42654657</v>
      </c>
      <c r="K115" s="203">
        <f>SUM(K108:K114)</f>
        <v>599446410.40457833</v>
      </c>
    </row>
    <row r="116" spans="3:11" s="13" customFormat="1" ht="15" customHeight="1" x14ac:dyDescent="0.25">
      <c r="D116" s="203"/>
      <c r="E116" s="207"/>
      <c r="F116" s="207"/>
      <c r="G116" s="208"/>
      <c r="H116" s="208"/>
      <c r="I116" s="208"/>
      <c r="J116" s="208"/>
      <c r="K116" s="208"/>
    </row>
    <row r="117" spans="3:11" ht="15" customHeight="1" x14ac:dyDescent="0.25">
      <c r="C117" s="201" t="s">
        <v>153</v>
      </c>
      <c r="D117" s="204"/>
      <c r="E117" s="204"/>
      <c r="F117" s="204"/>
      <c r="G117" s="204"/>
      <c r="H117" s="204"/>
      <c r="I117" s="204"/>
      <c r="J117" s="204"/>
      <c r="K117" s="204"/>
    </row>
    <row r="118" spans="3:11" ht="15" customHeight="1" x14ac:dyDescent="0.25">
      <c r="C118" s="17" t="s">
        <v>261</v>
      </c>
      <c r="D118" s="204"/>
      <c r="E118" s="204"/>
      <c r="F118" s="204"/>
      <c r="G118" s="204">
        <f t="shared" ref="G118:K120" si="87">-(G51-F51)</f>
        <v>-114853315.3499999</v>
      </c>
      <c r="H118" s="204">
        <f t="shared" si="87"/>
        <v>-105665050.12199998</v>
      </c>
      <c r="I118" s="204">
        <f t="shared" si="87"/>
        <v>-98620713.44720006</v>
      </c>
      <c r="J118" s="204">
        <f t="shared" si="87"/>
        <v>-86786227.833536148</v>
      </c>
      <c r="K118" s="204">
        <f t="shared" si="87"/>
        <v>-70296844.545164347</v>
      </c>
    </row>
    <row r="119" spans="3:11" ht="15" customHeight="1" x14ac:dyDescent="0.25">
      <c r="C119" s="17" t="s">
        <v>239</v>
      </c>
      <c r="D119" s="204"/>
      <c r="E119" s="204"/>
      <c r="F119" s="204"/>
      <c r="G119" s="204">
        <f t="shared" si="87"/>
        <v>-25444370.549999952</v>
      </c>
      <c r="H119" s="204">
        <f t="shared" si="87"/>
        <v>-23408820.906000018</v>
      </c>
      <c r="I119" s="204">
        <f t="shared" si="87"/>
        <v>-21848232.845600009</v>
      </c>
      <c r="J119" s="204">
        <f t="shared" si="87"/>
        <v>-19226444.904128015</v>
      </c>
      <c r="K119" s="204">
        <f t="shared" si="87"/>
        <v>-15573420.372343659</v>
      </c>
    </row>
    <row r="120" spans="3:11" ht="15" customHeight="1" x14ac:dyDescent="0.25">
      <c r="C120" s="17" t="s">
        <v>240</v>
      </c>
      <c r="D120" s="204"/>
      <c r="E120" s="204"/>
      <c r="F120" s="204"/>
      <c r="G120" s="204">
        <f t="shared" si="87"/>
        <v>-19311096</v>
      </c>
      <c r="H120" s="204">
        <f t="shared" si="87"/>
        <v>-17766208.319999993</v>
      </c>
      <c r="I120" s="204">
        <f t="shared" si="87"/>
        <v>-16581794.432000011</v>
      </c>
      <c r="J120" s="204">
        <f t="shared" si="87"/>
        <v>-14591979.100160003</v>
      </c>
      <c r="K120" s="204">
        <f t="shared" si="87"/>
        <v>-11819503.07112962</v>
      </c>
    </row>
    <row r="121" spans="3:11" ht="15" customHeight="1" x14ac:dyDescent="0.25">
      <c r="C121" s="17" t="s">
        <v>242</v>
      </c>
      <c r="D121" s="204"/>
      <c r="E121" s="204"/>
      <c r="F121" s="204"/>
      <c r="G121" s="204">
        <f>G74-F74</f>
        <v>28045949.549999982</v>
      </c>
      <c r="H121" s="204">
        <f>H74-G74</f>
        <v>25802273.585999995</v>
      </c>
      <c r="I121" s="204">
        <f>I74-H74</f>
        <v>24082122.013599992</v>
      </c>
      <c r="J121" s="204">
        <f>J74-I74</f>
        <v>21192267.371968031</v>
      </c>
      <c r="K121" s="204">
        <f>K74-J74</f>
        <v>17165736.571294129</v>
      </c>
    </row>
    <row r="122" spans="3:11" ht="15" customHeight="1" x14ac:dyDescent="0.25">
      <c r="C122" s="17" t="s">
        <v>262</v>
      </c>
      <c r="D122" s="204"/>
      <c r="E122" s="204"/>
      <c r="F122" s="204"/>
      <c r="G122" s="204">
        <f>-G247</f>
        <v>-5459338.9271944715</v>
      </c>
      <c r="H122" s="204">
        <f t="shared" ref="H122:K122" si="88">-H247</f>
        <v>-5678105.2116539003</v>
      </c>
      <c r="I122" s="204">
        <f t="shared" si="88"/>
        <v>-5905637.8848381229</v>
      </c>
      <c r="J122" s="204">
        <f t="shared" si="88"/>
        <v>-6142288.2329220818</v>
      </c>
      <c r="K122" s="204">
        <f t="shared" si="88"/>
        <v>-6388421.6187981199</v>
      </c>
    </row>
    <row r="123" spans="3:11" ht="15" customHeight="1" x14ac:dyDescent="0.25">
      <c r="C123" s="17" t="s">
        <v>284</v>
      </c>
      <c r="D123" s="204"/>
      <c r="E123" s="204"/>
      <c r="F123" s="204"/>
      <c r="G123" s="204">
        <f>G77-F77</f>
        <v>3743863.1999999955</v>
      </c>
      <c r="H123" s="204">
        <f>H77-G77</f>
        <v>3444354.1440000013</v>
      </c>
      <c r="I123" s="204">
        <f>I77-H77</f>
        <v>3214730.5344000012</v>
      </c>
      <c r="J123" s="204">
        <f>J77-I77</f>
        <v>2828962.8702720031</v>
      </c>
      <c r="K123" s="204">
        <f>K77-J77</f>
        <v>2291459.9249203205</v>
      </c>
    </row>
    <row r="124" spans="3:11" s="13" customFormat="1" ht="15" customHeight="1" x14ac:dyDescent="0.25">
      <c r="C124" s="13" t="s">
        <v>19</v>
      </c>
      <c r="D124" s="207"/>
      <c r="E124" s="207"/>
      <c r="F124" s="207"/>
      <c r="G124" s="207">
        <f>SUM(G118:G123)</f>
        <v>-133278308.07719436</v>
      </c>
      <c r="H124" s="207">
        <f t="shared" ref="H124:K124" si="89">SUM(H118:H123)</f>
        <v>-123271556.82965389</v>
      </c>
      <c r="I124" s="207">
        <f t="shared" si="89"/>
        <v>-115659526.06163821</v>
      </c>
      <c r="J124" s="207">
        <f t="shared" si="89"/>
        <v>-102725709.8285062</v>
      </c>
      <c r="K124" s="207">
        <f t="shared" si="89"/>
        <v>-84620993.111221299</v>
      </c>
    </row>
    <row r="125" spans="3:11" s="13" customFormat="1" ht="15" customHeight="1" x14ac:dyDescent="0.25">
      <c r="C125" s="13" t="s">
        <v>177</v>
      </c>
      <c r="D125" s="203"/>
      <c r="E125" s="203"/>
      <c r="F125" s="203"/>
      <c r="G125" s="203">
        <f>G115+G124</f>
        <v>304401090.13666141</v>
      </c>
      <c r="H125" s="203">
        <f t="shared" ref="H125:K125" si="90">H115+H124</f>
        <v>359866541.83718693</v>
      </c>
      <c r="I125" s="203">
        <f t="shared" si="90"/>
        <v>408153910.10383034</v>
      </c>
      <c r="J125" s="203">
        <f t="shared" si="90"/>
        <v>462834672.59804034</v>
      </c>
      <c r="K125" s="203">
        <f t="shared" si="90"/>
        <v>514825417.29335701</v>
      </c>
    </row>
    <row r="126" spans="3:11" ht="15" customHeight="1" x14ac:dyDescent="0.25">
      <c r="D126" s="205"/>
      <c r="E126" s="206"/>
      <c r="F126" s="206"/>
      <c r="G126" s="206"/>
      <c r="H126" s="206"/>
      <c r="I126" s="206"/>
      <c r="J126" s="206"/>
      <c r="K126" s="206"/>
    </row>
    <row r="127" spans="3:11" customFormat="1" x14ac:dyDescent="0.25">
      <c r="C127" s="226" t="s">
        <v>20</v>
      </c>
      <c r="D127" s="264"/>
      <c r="E127" s="227"/>
      <c r="F127" s="227"/>
      <c r="G127" s="227"/>
      <c r="H127" s="227"/>
      <c r="I127" s="227"/>
      <c r="J127" s="227"/>
      <c r="K127" s="227"/>
    </row>
    <row r="128" spans="3:11" ht="15" customHeight="1" x14ac:dyDescent="0.25">
      <c r="D128" s="205"/>
      <c r="E128" s="206"/>
      <c r="F128" s="206"/>
      <c r="G128" s="206"/>
      <c r="H128" s="206"/>
      <c r="I128" s="206"/>
      <c r="J128" s="206"/>
      <c r="K128" s="206"/>
    </row>
    <row r="129" spans="3:11" ht="15" customHeight="1" x14ac:dyDescent="0.25">
      <c r="C129" s="17" t="s">
        <v>264</v>
      </c>
      <c r="D129" s="205"/>
      <c r="E129" s="204"/>
      <c r="F129" s="204"/>
      <c r="G129" s="204">
        <f>-G152</f>
        <v>-260659648.13999999</v>
      </c>
      <c r="H129" s="204">
        <f t="shared" ref="H129:K129" si="91">-H152</f>
        <v>-277341865.62096</v>
      </c>
      <c r="I129" s="204">
        <f t="shared" si="91"/>
        <v>-289019417.85763198</v>
      </c>
      <c r="J129" s="204">
        <f t="shared" si="91"/>
        <v>-294799806.21478462</v>
      </c>
      <c r="K129" s="204">
        <f t="shared" si="91"/>
        <v>-294106159.61192632</v>
      </c>
    </row>
    <row r="130" spans="3:11" ht="15" customHeight="1" x14ac:dyDescent="0.25">
      <c r="C130" s="17" t="s">
        <v>265</v>
      </c>
      <c r="D130" s="205"/>
      <c r="E130" s="204"/>
      <c r="F130" s="204"/>
      <c r="G130" s="204">
        <f>-G221</f>
        <v>-4815787.1499999994</v>
      </c>
      <c r="H130" s="204">
        <f t="shared" ref="H130:K130" si="92">-H221</f>
        <v>-5393681.6079999991</v>
      </c>
      <c r="I130" s="204">
        <f t="shared" si="92"/>
        <v>-5933049.7687999997</v>
      </c>
      <c r="J130" s="204">
        <f t="shared" si="92"/>
        <v>-6407693.7503039995</v>
      </c>
      <c r="K130" s="204">
        <f t="shared" si="92"/>
        <v>-6792155.3753222404</v>
      </c>
    </row>
    <row r="131" spans="3:11" ht="15" customHeight="1" x14ac:dyDescent="0.25">
      <c r="C131" s="13" t="s">
        <v>176</v>
      </c>
      <c r="D131" s="205"/>
      <c r="E131" s="207"/>
      <c r="F131" s="207"/>
      <c r="G131" s="207">
        <f>SUM(G129:G130)</f>
        <v>-265475435.28999999</v>
      </c>
      <c r="H131" s="207">
        <f>SUM(H129:H130)</f>
        <v>-282735547.22895998</v>
      </c>
      <c r="I131" s="207">
        <f>SUM(I129:I130)</f>
        <v>-294952467.626432</v>
      </c>
      <c r="J131" s="207">
        <f>SUM(J129:J130)</f>
        <v>-301207499.96508861</v>
      </c>
      <c r="K131" s="207">
        <f>SUM(K129:K130)</f>
        <v>-300898314.98724854</v>
      </c>
    </row>
    <row r="132" spans="3:11" ht="15" customHeight="1" x14ac:dyDescent="0.25">
      <c r="D132" s="205"/>
      <c r="E132" s="209"/>
      <c r="F132" s="209"/>
      <c r="G132" s="206"/>
      <c r="H132" s="206"/>
      <c r="I132" s="206"/>
      <c r="J132" s="206"/>
      <c r="K132" s="206"/>
    </row>
    <row r="133" spans="3:11" s="35" customFormat="1" ht="15" customHeight="1" x14ac:dyDescent="0.25">
      <c r="C133" s="45" t="s">
        <v>21</v>
      </c>
      <c r="D133" s="265"/>
      <c r="E133" s="210"/>
      <c r="F133" s="210"/>
      <c r="G133" s="210"/>
      <c r="H133" s="210"/>
      <c r="I133" s="210"/>
      <c r="J133" s="210"/>
      <c r="K133" s="210"/>
    </row>
    <row r="134" spans="3:11" ht="15" customHeight="1" x14ac:dyDescent="0.25">
      <c r="D134" s="205"/>
      <c r="E134" s="209"/>
      <c r="F134" s="209"/>
      <c r="G134" s="206"/>
      <c r="H134" s="206"/>
      <c r="I134" s="206"/>
      <c r="J134" s="206"/>
      <c r="K134" s="206"/>
    </row>
    <row r="135" spans="3:11" ht="15" customHeight="1" x14ac:dyDescent="0.25">
      <c r="C135" s="17" t="s">
        <v>266</v>
      </c>
      <c r="D135" s="205"/>
      <c r="E135" s="204"/>
      <c r="F135" s="204"/>
      <c r="G135" s="204">
        <f>G75-F75</f>
        <v>0</v>
      </c>
      <c r="H135" s="204">
        <f>H75-G75</f>
        <v>0</v>
      </c>
      <c r="I135" s="204">
        <f>I75-H75</f>
        <v>0</v>
      </c>
      <c r="J135" s="204">
        <f>J75-I75</f>
        <v>0</v>
      </c>
      <c r="K135" s="204">
        <f>K75-J75</f>
        <v>0</v>
      </c>
    </row>
    <row r="136" spans="3:11" ht="15" customHeight="1" x14ac:dyDescent="0.25">
      <c r="C136" s="17" t="s">
        <v>267</v>
      </c>
      <c r="D136" s="205"/>
      <c r="E136" s="204"/>
      <c r="F136" s="204"/>
      <c r="G136" s="204">
        <f>(G79+G86)-(F79+F86)-G232</f>
        <v>-898698.02488342777</v>
      </c>
      <c r="H136" s="204">
        <f>(H79+H86)-(G79+G86)-H232</f>
        <v>-793164.85697879014</v>
      </c>
      <c r="I136" s="204">
        <f>(I79+I86)-(H79+H86)-I232</f>
        <v>-874790.91445885634</v>
      </c>
      <c r="J136" s="204">
        <f>(J79+J86)-(I79+I86)-J232</f>
        <v>-947360.90801161551</v>
      </c>
      <c r="K136" s="204">
        <f>(K79+K86)-(J79+J86)-K232</f>
        <v>-1007047.9549279653</v>
      </c>
    </row>
    <row r="137" spans="3:11" ht="15" customHeight="1" x14ac:dyDescent="0.25">
      <c r="C137" s="17" t="s">
        <v>268</v>
      </c>
      <c r="D137" s="205"/>
      <c r="E137" s="204"/>
      <c r="F137" s="204"/>
      <c r="G137" s="204">
        <f>-G269</f>
        <v>-54990258.060310304</v>
      </c>
      <c r="H137" s="204">
        <f t="shared" ref="H137:K137" si="93">-H269</f>
        <v>-60328343.577378482</v>
      </c>
      <c r="I137" s="204">
        <f t="shared" si="93"/>
        <v>-64951413.302570954</v>
      </c>
      <c r="J137" s="204">
        <f t="shared" si="93"/>
        <v>-70198596.688641056</v>
      </c>
      <c r="K137" s="204">
        <f t="shared" si="93"/>
        <v>-74445299.520794719</v>
      </c>
    </row>
    <row r="138" spans="3:11" ht="15" customHeight="1" x14ac:dyDescent="0.25">
      <c r="C138" s="17" t="s">
        <v>212</v>
      </c>
      <c r="D138" s="205"/>
      <c r="E138" s="204"/>
      <c r="F138" s="204"/>
      <c r="G138" s="204">
        <f>G260</f>
        <v>29509852.901532277</v>
      </c>
      <c r="H138" s="204">
        <f t="shared" ref="H138:K138" si="94">H260</f>
        <v>-1933865.1743096858</v>
      </c>
      <c r="I138" s="204">
        <f t="shared" si="94"/>
        <v>-27575987.727222592</v>
      </c>
      <c r="J138" s="204">
        <f t="shared" si="94"/>
        <v>0</v>
      </c>
      <c r="K138" s="204">
        <f t="shared" si="94"/>
        <v>0</v>
      </c>
    </row>
    <row r="139" spans="3:11" ht="15" customHeight="1" x14ac:dyDescent="0.25">
      <c r="C139" s="13" t="s">
        <v>175</v>
      </c>
      <c r="D139" s="203"/>
      <c r="E139" s="207"/>
      <c r="F139" s="207"/>
      <c r="G139" s="207">
        <f>SUM(G135:G138)</f>
        <v>-26379103.183661453</v>
      </c>
      <c r="H139" s="207">
        <f t="shared" ref="H139:K139" si="95">SUM(H135:H138)</f>
        <v>-63055373.608666956</v>
      </c>
      <c r="I139" s="207">
        <f t="shared" si="95"/>
        <v>-93402191.944252402</v>
      </c>
      <c r="J139" s="207">
        <f t="shared" si="95"/>
        <v>-71145957.596652672</v>
      </c>
      <c r="K139" s="207">
        <f t="shared" si="95"/>
        <v>-75452347.475722685</v>
      </c>
    </row>
    <row r="140" spans="3:11" ht="15" customHeight="1" x14ac:dyDescent="0.25">
      <c r="C140" s="13"/>
      <c r="D140" s="203"/>
      <c r="E140" s="207"/>
      <c r="F140" s="207"/>
      <c r="G140" s="207"/>
      <c r="H140" s="207"/>
      <c r="I140" s="207"/>
      <c r="J140" s="207"/>
      <c r="K140" s="207"/>
    </row>
    <row r="141" spans="3:11" ht="15" customHeight="1" x14ac:dyDescent="0.25">
      <c r="C141" s="13" t="s">
        <v>154</v>
      </c>
      <c r="D141" s="203"/>
      <c r="E141" s="207"/>
      <c r="F141" s="207"/>
      <c r="G141" s="207">
        <f>G125+G131+G139</f>
        <v>12546551.662999965</v>
      </c>
      <c r="H141" s="207">
        <f>H125+H131+H139</f>
        <v>14075620.999559999</v>
      </c>
      <c r="I141" s="207">
        <f>I125+I131+I139</f>
        <v>19799250.533145934</v>
      </c>
      <c r="J141" s="207">
        <f>J125+J131+J139</f>
        <v>90481215.036299065</v>
      </c>
      <c r="K141" s="207">
        <f>K125+K131+K139</f>
        <v>138474754.8303858</v>
      </c>
    </row>
    <row r="142" spans="3:11" ht="15" customHeight="1" x14ac:dyDescent="0.25">
      <c r="C142" s="6" t="s">
        <v>155</v>
      </c>
      <c r="D142" s="203"/>
      <c r="E142" s="207"/>
      <c r="F142" s="207"/>
      <c r="G142" s="207">
        <f>F56</f>
        <v>104750290</v>
      </c>
      <c r="H142" s="207">
        <f>G56</f>
        <v>117296841.66299996</v>
      </c>
      <c r="I142" s="207">
        <f>H56</f>
        <v>131372462.66255996</v>
      </c>
      <c r="J142" s="207">
        <f>I56</f>
        <v>151171713.19570589</v>
      </c>
      <c r="K142" s="207">
        <f>J56</f>
        <v>241652928.23200494</v>
      </c>
    </row>
    <row r="143" spans="3:11" ht="15" customHeight="1" x14ac:dyDescent="0.25">
      <c r="C143" s="13" t="s">
        <v>156</v>
      </c>
      <c r="D143" s="205"/>
      <c r="E143" s="207"/>
      <c r="F143" s="207"/>
      <c r="G143" s="207">
        <f>G141+G142</f>
        <v>117296841.66299996</v>
      </c>
      <c r="H143" s="207">
        <f t="shared" ref="H143:K143" si="96">H141+H142</f>
        <v>131372462.66255996</v>
      </c>
      <c r="I143" s="207">
        <f t="shared" si="96"/>
        <v>151171713.19570589</v>
      </c>
      <c r="J143" s="207">
        <f t="shared" si="96"/>
        <v>241652928.23200494</v>
      </c>
      <c r="K143" s="207">
        <f t="shared" si="96"/>
        <v>380127683.06239074</v>
      </c>
    </row>
    <row r="144" spans="3:11" ht="15" customHeight="1" x14ac:dyDescent="0.25">
      <c r="C144" s="13"/>
      <c r="D144" s="205"/>
      <c r="E144" s="208"/>
      <c r="F144" s="207"/>
      <c r="G144" s="208"/>
      <c r="H144" s="208"/>
      <c r="I144" s="208"/>
      <c r="J144" s="208"/>
      <c r="K144" s="208"/>
    </row>
    <row r="145" spans="3:11" ht="15" customHeight="1" x14ac:dyDescent="0.25">
      <c r="C145" s="13" t="s">
        <v>22</v>
      </c>
      <c r="D145" s="240"/>
      <c r="E145" s="240"/>
      <c r="F145" s="204"/>
      <c r="G145" s="204">
        <f>G143-G56</f>
        <v>0</v>
      </c>
      <c r="H145" s="204">
        <f>H143-H56</f>
        <v>0</v>
      </c>
      <c r="I145" s="204">
        <f>I143-I56</f>
        <v>0</v>
      </c>
      <c r="J145" s="204">
        <f>J143-J56</f>
        <v>0</v>
      </c>
      <c r="K145" s="204">
        <f>K143-K56</f>
        <v>0</v>
      </c>
    </row>
    <row r="146" spans="3:11" ht="15" customHeight="1" x14ac:dyDescent="0.25"/>
    <row r="147" spans="3:11" customFormat="1" x14ac:dyDescent="0.25">
      <c r="C147" s="39" t="s">
        <v>31</v>
      </c>
      <c r="D147" s="259"/>
      <c r="E147" s="40"/>
      <c r="F147" s="40"/>
      <c r="G147" s="40"/>
      <c r="H147" s="40"/>
      <c r="I147" s="40"/>
      <c r="J147" s="40"/>
      <c r="K147" s="40"/>
    </row>
    <row r="148" spans="3:11" customFormat="1" x14ac:dyDescent="0.25">
      <c r="C148" t="s">
        <v>42</v>
      </c>
      <c r="D148" s="41">
        <f t="shared" ref="D148:K148" si="97">D$13</f>
        <v>2023</v>
      </c>
      <c r="E148" s="41">
        <f t="shared" si="97"/>
        <v>2024</v>
      </c>
      <c r="F148" s="41">
        <f t="shared" si="97"/>
        <v>2025</v>
      </c>
      <c r="G148" s="42">
        <f t="shared" si="97"/>
        <v>2026</v>
      </c>
      <c r="H148" s="42">
        <f t="shared" si="97"/>
        <v>2027</v>
      </c>
      <c r="I148" s="42">
        <f t="shared" si="97"/>
        <v>2028</v>
      </c>
      <c r="J148" s="42">
        <f t="shared" si="97"/>
        <v>2029</v>
      </c>
      <c r="K148" s="42">
        <f t="shared" si="97"/>
        <v>2030</v>
      </c>
    </row>
    <row r="149" spans="3:11" customFormat="1" x14ac:dyDescent="0.25">
      <c r="C149" s="43" t="s">
        <v>43</v>
      </c>
      <c r="D149" s="260">
        <f t="shared" ref="D149:K149" si="98">D$14</f>
        <v>45291</v>
      </c>
      <c r="E149" s="235">
        <f t="shared" si="98"/>
        <v>45657</v>
      </c>
      <c r="F149" s="235">
        <f t="shared" si="98"/>
        <v>46022</v>
      </c>
      <c r="G149" s="235">
        <f t="shared" si="98"/>
        <v>46387</v>
      </c>
      <c r="H149" s="235">
        <f t="shared" si="98"/>
        <v>46752</v>
      </c>
      <c r="I149" s="235">
        <f t="shared" si="98"/>
        <v>47118</v>
      </c>
      <c r="J149" s="235">
        <f t="shared" si="98"/>
        <v>47483</v>
      </c>
      <c r="K149" s="235">
        <f t="shared" si="98"/>
        <v>47848</v>
      </c>
    </row>
    <row r="150" spans="3:11" ht="15" customHeight="1" x14ac:dyDescent="0.25"/>
    <row r="151" spans="3:11" ht="15" customHeight="1" x14ac:dyDescent="0.25">
      <c r="C151" s="17" t="s">
        <v>32</v>
      </c>
      <c r="D151" s="189"/>
      <c r="E151" s="190">
        <f>D154</f>
        <v>695116855</v>
      </c>
      <c r="F151" s="190">
        <f t="shared" ref="F151:K151" si="99">E154</f>
        <v>1317014007</v>
      </c>
      <c r="G151" s="190">
        <f t="shared" si="99"/>
        <v>1458246306</v>
      </c>
      <c r="H151" s="190">
        <f t="shared" si="99"/>
        <v>1580340706.1399999</v>
      </c>
      <c r="I151" s="190">
        <f t="shared" si="99"/>
        <v>1702489494.0009599</v>
      </c>
      <c r="J151" s="190">
        <f t="shared" si="99"/>
        <v>1820796526.3225918</v>
      </c>
      <c r="K151" s="190">
        <f t="shared" si="99"/>
        <v>1931226956.1584964</v>
      </c>
    </row>
    <row r="152" spans="3:11" ht="15" customHeight="1" x14ac:dyDescent="0.25">
      <c r="C152" s="29" t="s">
        <v>33</v>
      </c>
      <c r="D152" s="240">
        <f>112537075+3219002</f>
        <v>115756077</v>
      </c>
      <c r="E152" s="240">
        <f>59815592+2409190</f>
        <v>62224782</v>
      </c>
      <c r="F152" s="240">
        <f>261655931+4187641</f>
        <v>265843572</v>
      </c>
      <c r="G152" s="188">
        <f>G156*G16</f>
        <v>260659648.13999999</v>
      </c>
      <c r="H152" s="188">
        <f>H156*H16</f>
        <v>277341865.62096</v>
      </c>
      <c r="I152" s="188">
        <f>I156*I16</f>
        <v>289019417.85763198</v>
      </c>
      <c r="J152" s="188">
        <f>J156*J16</f>
        <v>294799806.21478462</v>
      </c>
      <c r="K152" s="188">
        <f>K156*K16</f>
        <v>294106159.61192632</v>
      </c>
    </row>
    <row r="153" spans="3:11" ht="15" customHeight="1" x14ac:dyDescent="0.25">
      <c r="C153" s="29" t="s">
        <v>34</v>
      </c>
      <c r="D153" s="202">
        <v>59143183</v>
      </c>
      <c r="E153" s="202">
        <v>95358040</v>
      </c>
      <c r="F153" s="202">
        <v>120491520</v>
      </c>
      <c r="G153" s="188">
        <f>G157*G16</f>
        <v>138565247.99999997</v>
      </c>
      <c r="H153" s="188">
        <f>H157*H16</f>
        <v>155193077.75999999</v>
      </c>
      <c r="I153" s="188">
        <f>I157*I16</f>
        <v>170712385.53599998</v>
      </c>
      <c r="J153" s="188">
        <f>J157*J16</f>
        <v>184369376.37887999</v>
      </c>
      <c r="K153" s="188">
        <f>K157*K16</f>
        <v>195431538.96161282</v>
      </c>
    </row>
    <row r="154" spans="3:11" ht="15" customHeight="1" x14ac:dyDescent="0.25">
      <c r="C154" s="16" t="s">
        <v>35</v>
      </c>
      <c r="D154" s="237">
        <f>D60</f>
        <v>695116855</v>
      </c>
      <c r="E154" s="237">
        <f>E60</f>
        <v>1317014007</v>
      </c>
      <c r="F154" s="237">
        <f>F60</f>
        <v>1458246306</v>
      </c>
      <c r="G154" s="237">
        <f>G151+G152-G153</f>
        <v>1580340706.1399999</v>
      </c>
      <c r="H154" s="237">
        <f t="shared" ref="H154:K154" si="100">H151+H152-H153</f>
        <v>1702489494.0009599</v>
      </c>
      <c r="I154" s="237">
        <f t="shared" si="100"/>
        <v>1820796526.3225918</v>
      </c>
      <c r="J154" s="237">
        <f t="shared" si="100"/>
        <v>1931226956.1584964</v>
      </c>
      <c r="K154" s="237">
        <f t="shared" si="100"/>
        <v>2029901576.8088102</v>
      </c>
    </row>
    <row r="155" spans="3:11" ht="15" customHeight="1" x14ac:dyDescent="0.25">
      <c r="C155" s="13"/>
      <c r="D155" s="10"/>
      <c r="E155" s="161"/>
      <c r="F155" s="161"/>
      <c r="G155" s="162"/>
      <c r="H155" s="162"/>
      <c r="I155" s="162"/>
      <c r="J155" s="162"/>
      <c r="K155" s="162"/>
    </row>
    <row r="156" spans="3:11" ht="15" customHeight="1" x14ac:dyDescent="0.25">
      <c r="C156" s="6" t="s">
        <v>148</v>
      </c>
      <c r="D156" s="22">
        <f>D152/D16</f>
        <v>0.19836194128427381</v>
      </c>
      <c r="E156" s="1">
        <f>E152/E16</f>
        <v>6.4309826779249527E-2</v>
      </c>
      <c r="F156" s="1">
        <f>F152/F16</f>
        <v>0.23457417362567609</v>
      </c>
      <c r="G156" s="215">
        <v>0.2</v>
      </c>
      <c r="H156" s="215">
        <f>G156-1%</f>
        <v>0.19</v>
      </c>
      <c r="I156" s="215">
        <f t="shared" ref="I156:K156" si="101">H156-1%</f>
        <v>0.18</v>
      </c>
      <c r="J156" s="215">
        <f t="shared" si="101"/>
        <v>0.16999999999999998</v>
      </c>
      <c r="K156" s="215">
        <f t="shared" si="101"/>
        <v>0.15999999999999998</v>
      </c>
    </row>
    <row r="157" spans="3:11" ht="15" customHeight="1" x14ac:dyDescent="0.25">
      <c r="C157" s="6" t="s">
        <v>178</v>
      </c>
      <c r="D157" s="22">
        <f>D153/D16</f>
        <v>0.10134894769810714</v>
      </c>
      <c r="E157" s="1">
        <f>E153/E16</f>
        <v>9.8553322925402087E-2</v>
      </c>
      <c r="F157" s="1">
        <f>F153/F16</f>
        <v>0.10631890972673819</v>
      </c>
      <c r="G157" s="257">
        <f>F157</f>
        <v>0.10631890972673819</v>
      </c>
      <c r="H157" s="257">
        <f t="shared" ref="H157:K157" si="102">G157</f>
        <v>0.10631890972673819</v>
      </c>
      <c r="I157" s="257">
        <f t="shared" si="102"/>
        <v>0.10631890972673819</v>
      </c>
      <c r="J157" s="257">
        <f t="shared" si="102"/>
        <v>0.10631890972673819</v>
      </c>
      <c r="K157" s="257">
        <f t="shared" si="102"/>
        <v>0.10631890972673819</v>
      </c>
    </row>
    <row r="158" spans="3:11" ht="15" customHeight="1" x14ac:dyDescent="0.25">
      <c r="E158" s="1"/>
      <c r="F158" s="1"/>
      <c r="G158" s="1"/>
      <c r="H158" s="1"/>
      <c r="I158" s="1"/>
      <c r="J158" s="1"/>
      <c r="K158" s="1"/>
    </row>
    <row r="159" spans="3:11" s="35" customFormat="1" ht="15" customHeight="1" x14ac:dyDescent="0.25">
      <c r="C159" s="45" t="s">
        <v>36</v>
      </c>
      <c r="D159" s="47"/>
      <c r="E159" s="47"/>
      <c r="F159" s="47"/>
      <c r="G159" s="47"/>
      <c r="H159" s="47"/>
      <c r="I159" s="47"/>
      <c r="J159" s="47"/>
      <c r="K159" s="47"/>
    </row>
    <row r="160" spans="3:11" s="31" customFormat="1" ht="15" customHeight="1" x14ac:dyDescent="0.25">
      <c r="C160" s="32"/>
      <c r="D160" s="33"/>
      <c r="E160" s="34"/>
      <c r="F160" s="34"/>
      <c r="G160" s="34"/>
      <c r="H160" s="34"/>
      <c r="I160" s="34"/>
      <c r="J160" s="34"/>
      <c r="K160" s="34"/>
    </row>
    <row r="161" spans="1:11" s="31" customFormat="1" ht="15" customHeight="1" x14ac:dyDescent="0.25">
      <c r="C161" s="35" t="s">
        <v>37</v>
      </c>
      <c r="D161" s="10">
        <f>289880+673111</f>
        <v>962991</v>
      </c>
      <c r="E161" s="10">
        <f>6575350+380976</f>
        <v>6956326</v>
      </c>
      <c r="F161" s="10">
        <f t="shared" ref="F161" si="103">12182652+126266</f>
        <v>12308918</v>
      </c>
      <c r="G161" s="36">
        <f>G222+G233</f>
        <v>14730605.413992776</v>
      </c>
      <c r="H161" s="36">
        <f t="shared" ref="H161:K161" si="104">H222+H233</f>
        <v>16498278.063671911</v>
      </c>
      <c r="I161" s="36">
        <f t="shared" si="104"/>
        <v>18148105.870039102</v>
      </c>
      <c r="J161" s="36">
        <f t="shared" si="104"/>
        <v>19599954.33964223</v>
      </c>
      <c r="K161" s="36">
        <f t="shared" si="104"/>
        <v>20775951.600020766</v>
      </c>
    </row>
    <row r="162" spans="1:11" s="31" customFormat="1" ht="15" customHeight="1" x14ac:dyDescent="0.25">
      <c r="A162" s="32"/>
      <c r="B162" s="32"/>
      <c r="C162" s="24" t="s">
        <v>38</v>
      </c>
      <c r="D162" s="37">
        <f t="shared" ref="D162:K162" si="105">D161/D16</f>
        <v>1.650200742370391E-3</v>
      </c>
      <c r="E162" s="37">
        <f t="shared" si="105"/>
        <v>7.1894204479493349E-3</v>
      </c>
      <c r="F162" s="37">
        <f t="shared" si="105"/>
        <v>1.0861102438377596E-2</v>
      </c>
      <c r="G162" s="251">
        <f t="shared" si="105"/>
        <v>1.1302559118073378E-2</v>
      </c>
      <c r="H162" s="251">
        <f t="shared" si="105"/>
        <v>1.1302559118073379E-2</v>
      </c>
      <c r="I162" s="251">
        <f t="shared" si="105"/>
        <v>1.1302559118073379E-2</v>
      </c>
      <c r="J162" s="251">
        <f t="shared" si="105"/>
        <v>1.1302559118073378E-2</v>
      </c>
      <c r="K162" s="251">
        <f t="shared" si="105"/>
        <v>1.1302559118073379E-2</v>
      </c>
    </row>
    <row r="163" spans="1:11" ht="15" customHeight="1" x14ac:dyDescent="0.25">
      <c r="C163" s="38" t="s">
        <v>39</v>
      </c>
      <c r="D163" s="30">
        <f>D161+D153</f>
        <v>60106174</v>
      </c>
      <c r="E163" s="30">
        <f t="shared" ref="E163:K163" si="106">E161+E153</f>
        <v>102314366</v>
      </c>
      <c r="F163" s="30">
        <f t="shared" si="106"/>
        <v>132800438</v>
      </c>
      <c r="G163" s="30">
        <f t="shared" si="106"/>
        <v>153295853.41399273</v>
      </c>
      <c r="H163" s="30">
        <f t="shared" si="106"/>
        <v>171691355.82367191</v>
      </c>
      <c r="I163" s="30">
        <f t="shared" si="106"/>
        <v>188860491.40603909</v>
      </c>
      <c r="J163" s="30">
        <f t="shared" si="106"/>
        <v>203969330.71852222</v>
      </c>
      <c r="K163" s="30">
        <f t="shared" si="106"/>
        <v>216207490.56163359</v>
      </c>
    </row>
    <row r="165" spans="1:11" x14ac:dyDescent="0.25">
      <c r="C165" s="13" t="s">
        <v>157</v>
      </c>
    </row>
    <row r="166" spans="1:11" x14ac:dyDescent="0.25">
      <c r="C166" s="48" t="s">
        <v>42</v>
      </c>
      <c r="D166" s="49">
        <f t="shared" ref="D166:K166" si="107">D$13</f>
        <v>2023</v>
      </c>
      <c r="E166" s="49">
        <f t="shared" si="107"/>
        <v>2024</v>
      </c>
      <c r="F166" s="49">
        <f t="shared" si="107"/>
        <v>2025</v>
      </c>
      <c r="G166" s="50">
        <f t="shared" si="107"/>
        <v>2026</v>
      </c>
      <c r="H166" s="50">
        <f t="shared" si="107"/>
        <v>2027</v>
      </c>
      <c r="I166" s="50">
        <f t="shared" si="107"/>
        <v>2028</v>
      </c>
      <c r="J166" s="50">
        <f t="shared" si="107"/>
        <v>2029</v>
      </c>
      <c r="K166" s="50">
        <f t="shared" si="107"/>
        <v>2030</v>
      </c>
    </row>
    <row r="167" spans="1:11" x14ac:dyDescent="0.25">
      <c r="C167" s="43" t="s">
        <v>43</v>
      </c>
      <c r="D167" s="260">
        <f t="shared" ref="D167:K167" si="108">D$14</f>
        <v>45291</v>
      </c>
      <c r="E167" s="235">
        <f t="shared" si="108"/>
        <v>45657</v>
      </c>
      <c r="F167" s="235">
        <f t="shared" si="108"/>
        <v>46022</v>
      </c>
      <c r="G167" s="235">
        <f t="shared" si="108"/>
        <v>46387</v>
      </c>
      <c r="H167" s="235">
        <f t="shared" si="108"/>
        <v>46752</v>
      </c>
      <c r="I167" s="235">
        <f t="shared" si="108"/>
        <v>47118</v>
      </c>
      <c r="J167" s="235">
        <f t="shared" si="108"/>
        <v>47483</v>
      </c>
      <c r="K167" s="235">
        <f t="shared" si="108"/>
        <v>47848</v>
      </c>
    </row>
    <row r="168" spans="1:11" x14ac:dyDescent="0.25">
      <c r="D168" s="6"/>
    </row>
    <row r="169" spans="1:11" x14ac:dyDescent="0.25">
      <c r="C169" s="13" t="s">
        <v>158</v>
      </c>
      <c r="D169" s="6"/>
    </row>
    <row r="170" spans="1:11" x14ac:dyDescent="0.25">
      <c r="C170" s="17" t="s">
        <v>206</v>
      </c>
      <c r="D170" s="27">
        <f t="shared" ref="D170:F172" si="109">D51</f>
        <v>379246290</v>
      </c>
      <c r="E170" s="27">
        <f t="shared" si="109"/>
        <v>760273191</v>
      </c>
      <c r="F170" s="27">
        <f t="shared" si="109"/>
        <v>765688769</v>
      </c>
      <c r="G170" s="27">
        <f>G186/365*-G17</f>
        <v>880542084.3499999</v>
      </c>
      <c r="H170" s="27">
        <f t="shared" ref="H170:K170" si="110">H186/365*-H17</f>
        <v>986207134.47199988</v>
      </c>
      <c r="I170" s="27">
        <f t="shared" si="110"/>
        <v>1084827847.9191999</v>
      </c>
      <c r="J170" s="27">
        <f t="shared" si="110"/>
        <v>1171614075.7527361</v>
      </c>
      <c r="K170" s="27">
        <f t="shared" si="110"/>
        <v>1241910920.2979004</v>
      </c>
    </row>
    <row r="171" spans="1:11" x14ac:dyDescent="0.25">
      <c r="C171" s="17" t="s">
        <v>239</v>
      </c>
      <c r="D171" s="27">
        <f t="shared" si="109"/>
        <v>67863577</v>
      </c>
      <c r="E171" s="27">
        <f t="shared" si="109"/>
        <v>140600834</v>
      </c>
      <c r="F171" s="27">
        <f t="shared" si="109"/>
        <v>169629137</v>
      </c>
      <c r="G171" s="27">
        <f>G187/365*G16</f>
        <v>195073507.54999995</v>
      </c>
      <c r="H171" s="27">
        <f t="shared" ref="H171:K171" si="111">H187/365*H16</f>
        <v>218482328.45599997</v>
      </c>
      <c r="I171" s="27">
        <f t="shared" si="111"/>
        <v>240330561.30159998</v>
      </c>
      <c r="J171" s="27">
        <f t="shared" si="111"/>
        <v>259557006.20572799</v>
      </c>
      <c r="K171" s="27">
        <f t="shared" si="111"/>
        <v>275130426.57807165</v>
      </c>
    </row>
    <row r="172" spans="1:11" x14ac:dyDescent="0.25">
      <c r="C172" s="17" t="s">
        <v>240</v>
      </c>
      <c r="D172" s="27">
        <f t="shared" si="109"/>
        <v>14219116</v>
      </c>
      <c r="E172" s="27">
        <f t="shared" si="109"/>
        <v>24919324</v>
      </c>
      <c r="F172" s="27">
        <f t="shared" si="109"/>
        <v>128740640</v>
      </c>
      <c r="G172" s="27">
        <f>$F172/$F$16*G$16</f>
        <v>148051736</v>
      </c>
      <c r="H172" s="27">
        <f t="shared" ref="H172:K172" si="112">$F172/$F$16*H$16</f>
        <v>165817944.31999999</v>
      </c>
      <c r="I172" s="27">
        <f t="shared" si="112"/>
        <v>182399738.752</v>
      </c>
      <c r="J172" s="27">
        <f t="shared" si="112"/>
        <v>196991717.85216001</v>
      </c>
      <c r="K172" s="27">
        <f t="shared" si="112"/>
        <v>208811220.92328963</v>
      </c>
    </row>
    <row r="173" spans="1:11" x14ac:dyDescent="0.25">
      <c r="C173" s="13" t="s">
        <v>159</v>
      </c>
      <c r="D173" s="216">
        <f>SUM(D170:D172)</f>
        <v>461328983</v>
      </c>
      <c r="E173" s="216">
        <f t="shared" ref="E173:F173" si="113">SUM(E170:E172)</f>
        <v>925793349</v>
      </c>
      <c r="F173" s="216">
        <f t="shared" si="113"/>
        <v>1064058546</v>
      </c>
      <c r="G173" s="216">
        <f t="shared" ref="G173" si="114">SUM(G170:G172)</f>
        <v>1223667327.8999999</v>
      </c>
      <c r="H173" s="216">
        <f t="shared" ref="H173" si="115">SUM(H170:H172)</f>
        <v>1370507407.2479999</v>
      </c>
      <c r="I173" s="216">
        <f t="shared" ref="I173" si="116">SUM(I170:I172)</f>
        <v>1507558147.9728</v>
      </c>
      <c r="J173" s="216">
        <f t="shared" ref="J173" si="117">SUM(J170:J172)</f>
        <v>1628162799.8106241</v>
      </c>
      <c r="K173" s="216">
        <f t="shared" ref="K173" si="118">SUM(K170:K172)</f>
        <v>1725852567.7992616</v>
      </c>
    </row>
    <row r="174" spans="1:11" x14ac:dyDescent="0.25">
      <c r="C174" s="13"/>
      <c r="E174" s="7"/>
      <c r="F174" s="7"/>
      <c r="G174" s="7"/>
      <c r="H174" s="7"/>
      <c r="I174" s="7"/>
      <c r="J174" s="7"/>
      <c r="K174" s="7"/>
    </row>
    <row r="175" spans="1:11" x14ac:dyDescent="0.25">
      <c r="C175" s="13" t="s">
        <v>163</v>
      </c>
      <c r="E175" s="7"/>
      <c r="F175" s="7"/>
      <c r="G175" s="7"/>
      <c r="H175" s="7"/>
      <c r="I175" s="7"/>
      <c r="J175" s="7"/>
      <c r="K175" s="7"/>
    </row>
    <row r="176" spans="1:11" x14ac:dyDescent="0.25">
      <c r="C176" s="17" t="s">
        <v>242</v>
      </c>
      <c r="D176" s="19">
        <f>D74</f>
        <v>89117897</v>
      </c>
      <c r="E176" s="188">
        <f>E74</f>
        <v>190946167</v>
      </c>
      <c r="F176" s="188">
        <f>F74</f>
        <v>186972997</v>
      </c>
      <c r="G176" s="27">
        <f>G188/365*-G17</f>
        <v>215018946.54999998</v>
      </c>
      <c r="H176" s="27">
        <f>H188/365*-H17</f>
        <v>240821220.13599998</v>
      </c>
      <c r="I176" s="27">
        <f>I188/365*-I17</f>
        <v>264903342.14959997</v>
      </c>
      <c r="J176" s="27">
        <f>J188/365*-J17</f>
        <v>286095609.521568</v>
      </c>
      <c r="K176" s="27">
        <f>K188/365*-K17</f>
        <v>303261346.09286213</v>
      </c>
    </row>
    <row r="177" spans="3:11" x14ac:dyDescent="0.25">
      <c r="C177" s="17" t="s">
        <v>245</v>
      </c>
      <c r="D177" s="19">
        <f t="shared" ref="D177:F178" si="119">D77</f>
        <v>20441682</v>
      </c>
      <c r="E177" s="188">
        <f t="shared" si="119"/>
        <v>33847827</v>
      </c>
      <c r="F177" s="188">
        <f t="shared" si="119"/>
        <v>24959088</v>
      </c>
      <c r="G177" s="27">
        <f>$F177/$F$16*G$16</f>
        <v>28702951.199999996</v>
      </c>
      <c r="H177" s="27">
        <f t="shared" ref="H177:K177" si="120">$F177/$F$16*H$16</f>
        <v>32147305.343999997</v>
      </c>
      <c r="I177" s="27">
        <f t="shared" si="120"/>
        <v>35362035.878399998</v>
      </c>
      <c r="J177" s="27">
        <f t="shared" si="120"/>
        <v>38190998.748672001</v>
      </c>
      <c r="K177" s="27">
        <f t="shared" si="120"/>
        <v>40482458.673592322</v>
      </c>
    </row>
    <row r="178" spans="3:11" x14ac:dyDescent="0.25">
      <c r="C178" s="17" t="s">
        <v>246</v>
      </c>
      <c r="D178" s="19">
        <f t="shared" si="119"/>
        <v>110691</v>
      </c>
      <c r="E178" s="188">
        <f t="shared" si="119"/>
        <v>817314</v>
      </c>
      <c r="F178" s="188">
        <f t="shared" si="119"/>
        <v>817314</v>
      </c>
      <c r="G178" s="27">
        <f>$F178/$F$16*G$16</f>
        <v>939911.09999999986</v>
      </c>
      <c r="H178" s="27">
        <f t="shared" ref="H178:K178" si="121">$F178/$F$16*H$16</f>
        <v>1052700.432</v>
      </c>
      <c r="I178" s="27">
        <f t="shared" si="121"/>
        <v>1157970.4752</v>
      </c>
      <c r="J178" s="27">
        <f t="shared" si="121"/>
        <v>1250608.1132160001</v>
      </c>
      <c r="K178" s="27">
        <f t="shared" si="121"/>
        <v>1325644.6000089601</v>
      </c>
    </row>
    <row r="179" spans="3:11" x14ac:dyDescent="0.25">
      <c r="C179" s="13" t="s">
        <v>164</v>
      </c>
      <c r="D179" s="219">
        <f>SUM(D176:D178)</f>
        <v>109670270</v>
      </c>
      <c r="E179" s="219">
        <f t="shared" ref="E179:F179" si="122">SUM(E176:E178)</f>
        <v>225611308</v>
      </c>
      <c r="F179" s="219">
        <f t="shared" si="122"/>
        <v>212749399</v>
      </c>
      <c r="G179" s="219">
        <f t="shared" ref="G179" si="123">SUM(G176:G178)</f>
        <v>244661808.84999996</v>
      </c>
      <c r="H179" s="219">
        <f t="shared" ref="H179" si="124">SUM(H176:H178)</f>
        <v>274021225.91199994</v>
      </c>
      <c r="I179" s="219">
        <f t="shared" ref="I179" si="125">SUM(I176:I178)</f>
        <v>301423348.50319999</v>
      </c>
      <c r="J179" s="219">
        <f t="shared" ref="J179" si="126">SUM(J176:J178)</f>
        <v>325537216.38345599</v>
      </c>
      <c r="K179" s="219">
        <f t="shared" ref="K179" si="127">SUM(K176:K178)</f>
        <v>345069449.36646342</v>
      </c>
    </row>
    <row r="180" spans="3:11" x14ac:dyDescent="0.25">
      <c r="E180" s="7"/>
      <c r="F180" s="7"/>
      <c r="G180" s="7"/>
      <c r="H180" s="7"/>
      <c r="I180" s="7"/>
      <c r="J180" s="7"/>
      <c r="K180" s="7"/>
    </row>
    <row r="181" spans="3:11" x14ac:dyDescent="0.25">
      <c r="C181" s="6" t="s">
        <v>160</v>
      </c>
      <c r="D181" s="19">
        <f>D173-D179</f>
        <v>351658713</v>
      </c>
      <c r="E181" s="188">
        <f t="shared" ref="E181:K181" si="128">E173-E179</f>
        <v>700182041</v>
      </c>
      <c r="F181" s="188">
        <f t="shared" si="128"/>
        <v>851309147</v>
      </c>
      <c r="G181" s="188">
        <f t="shared" si="128"/>
        <v>979005519.04999995</v>
      </c>
      <c r="H181" s="188">
        <f t="shared" si="128"/>
        <v>1096486181.336</v>
      </c>
      <c r="I181" s="188">
        <f t="shared" si="128"/>
        <v>1206134799.4696</v>
      </c>
      <c r="J181" s="188">
        <f t="shared" si="128"/>
        <v>1302625583.4271681</v>
      </c>
      <c r="K181" s="188">
        <f t="shared" si="128"/>
        <v>1380783118.4327981</v>
      </c>
    </row>
    <row r="182" spans="3:11" x14ac:dyDescent="0.25">
      <c r="C182" s="6" t="s">
        <v>161</v>
      </c>
      <c r="D182" s="22">
        <f t="shared" ref="D182:K182" si="129">D181/D16</f>
        <v>0.60260944209615275</v>
      </c>
      <c r="E182" s="1">
        <f t="shared" si="129"/>
        <v>0.7236439296910897</v>
      </c>
      <c r="F182" s="1">
        <f t="shared" si="129"/>
        <v>0.75117535532325841</v>
      </c>
      <c r="G182" s="1">
        <f t="shared" si="129"/>
        <v>0.75117535532325841</v>
      </c>
      <c r="H182" s="1">
        <f t="shared" si="129"/>
        <v>0.75117535532325841</v>
      </c>
      <c r="I182" s="1">
        <f t="shared" si="129"/>
        <v>0.75117535532325841</v>
      </c>
      <c r="J182" s="1">
        <f t="shared" si="129"/>
        <v>0.75117535532325841</v>
      </c>
      <c r="K182" s="1">
        <f t="shared" si="129"/>
        <v>0.7511753553232583</v>
      </c>
    </row>
    <row r="183" spans="3:11" x14ac:dyDescent="0.25">
      <c r="C183" s="6" t="s">
        <v>162</v>
      </c>
      <c r="D183" s="19"/>
      <c r="E183" s="188">
        <f>D181-E181</f>
        <v>-348523328</v>
      </c>
      <c r="F183" s="188">
        <f t="shared" ref="F183:K183" si="130">E181-F181</f>
        <v>-151127106</v>
      </c>
      <c r="G183" s="188">
        <f t="shared" si="130"/>
        <v>-127696372.04999995</v>
      </c>
      <c r="H183" s="188">
        <f t="shared" si="130"/>
        <v>-117480662.28600001</v>
      </c>
      <c r="I183" s="188">
        <f t="shared" si="130"/>
        <v>-109648618.1336</v>
      </c>
      <c r="J183" s="188">
        <f t="shared" si="130"/>
        <v>-96490783.957568169</v>
      </c>
      <c r="K183" s="188">
        <f t="shared" si="130"/>
        <v>-78157535.005630016</v>
      </c>
    </row>
    <row r="184" spans="3:11" x14ac:dyDescent="0.25">
      <c r="D184" s="19"/>
      <c r="E184" s="188"/>
      <c r="F184" s="188"/>
      <c r="G184" s="188"/>
      <c r="H184" s="188"/>
      <c r="I184" s="188"/>
      <c r="J184" s="188"/>
      <c r="K184" s="188"/>
    </row>
    <row r="185" spans="3:11" x14ac:dyDescent="0.25">
      <c r="C185" s="13" t="s">
        <v>183</v>
      </c>
      <c r="G185" s="245"/>
      <c r="H185" s="245"/>
      <c r="I185" s="245"/>
      <c r="J185" s="245"/>
      <c r="K185" s="245"/>
    </row>
    <row r="186" spans="3:11" x14ac:dyDescent="0.25">
      <c r="C186" s="17" t="s">
        <v>184</v>
      </c>
      <c r="D186" s="253">
        <f>D170/-D17*365</f>
        <v>321.04786802613376</v>
      </c>
      <c r="E186" s="253">
        <f>E170/-E17*365</f>
        <v>432.09550189739485</v>
      </c>
      <c r="F186" s="253">
        <f>F170/-F17*365</f>
        <v>320.25215573826392</v>
      </c>
      <c r="G186" s="253">
        <f>F186</f>
        <v>320.25215573826392</v>
      </c>
      <c r="H186" s="253">
        <f t="shared" ref="H186:K186" si="131">G186</f>
        <v>320.25215573826392</v>
      </c>
      <c r="I186" s="253">
        <f t="shared" si="131"/>
        <v>320.25215573826392</v>
      </c>
      <c r="J186" s="253">
        <f t="shared" si="131"/>
        <v>320.25215573826392</v>
      </c>
      <c r="K186" s="253">
        <f t="shared" si="131"/>
        <v>320.25215573826392</v>
      </c>
    </row>
    <row r="187" spans="3:11" x14ac:dyDescent="0.25">
      <c r="C187" s="17" t="s">
        <v>185</v>
      </c>
      <c r="D187" s="253">
        <f>D171/D16*365</f>
        <v>42.446722428390522</v>
      </c>
      <c r="E187" s="253">
        <f>E171/E16*365</f>
        <v>53.038925504611264</v>
      </c>
      <c r="F187" s="253">
        <f>F171/F16*365</f>
        <v>54.632031282039918</v>
      </c>
      <c r="G187" s="253">
        <f t="shared" ref="G187:K188" si="132">F187</f>
        <v>54.632031282039918</v>
      </c>
      <c r="H187" s="253">
        <f t="shared" si="132"/>
        <v>54.632031282039918</v>
      </c>
      <c r="I187" s="253">
        <f t="shared" si="132"/>
        <v>54.632031282039918</v>
      </c>
      <c r="J187" s="253">
        <f t="shared" si="132"/>
        <v>54.632031282039918</v>
      </c>
      <c r="K187" s="253">
        <f t="shared" si="132"/>
        <v>54.632031282039918</v>
      </c>
    </row>
    <row r="188" spans="3:11" x14ac:dyDescent="0.25">
      <c r="C188" s="17" t="s">
        <v>186</v>
      </c>
      <c r="D188" s="253">
        <f>D176/-D17*365</f>
        <v>75.442032234046593</v>
      </c>
      <c r="E188" s="253">
        <f>E176/-E17*365</f>
        <v>108.52280580448451</v>
      </c>
      <c r="F188" s="253">
        <f>F176/-F17*365</f>
        <v>78.202146587961707</v>
      </c>
      <c r="G188" s="253">
        <f t="shared" si="132"/>
        <v>78.202146587961707</v>
      </c>
      <c r="H188" s="253">
        <f t="shared" si="132"/>
        <v>78.202146587961707</v>
      </c>
      <c r="I188" s="253">
        <f t="shared" si="132"/>
        <v>78.202146587961707</v>
      </c>
      <c r="J188" s="253">
        <f t="shared" si="132"/>
        <v>78.202146587961707</v>
      </c>
      <c r="K188" s="253">
        <f t="shared" si="132"/>
        <v>78.202146587961707</v>
      </c>
    </row>
    <row r="189" spans="3:11" x14ac:dyDescent="0.25">
      <c r="D189" s="246"/>
      <c r="E189" s="246"/>
      <c r="F189" s="246"/>
      <c r="G189" s="245"/>
      <c r="H189" s="245"/>
      <c r="I189" s="245"/>
      <c r="J189" s="245"/>
      <c r="K189" s="245"/>
    </row>
    <row r="190" spans="3:11" x14ac:dyDescent="0.25">
      <c r="C190" s="13" t="s">
        <v>165</v>
      </c>
    </row>
    <row r="191" spans="3:11" x14ac:dyDescent="0.25">
      <c r="C191" s="48" t="s">
        <v>42</v>
      </c>
      <c r="D191" s="49">
        <f t="shared" ref="D191:K191" si="133">D$13</f>
        <v>2023</v>
      </c>
      <c r="E191" s="49">
        <f t="shared" si="133"/>
        <v>2024</v>
      </c>
      <c r="F191" s="49">
        <f t="shared" si="133"/>
        <v>2025</v>
      </c>
      <c r="G191" s="50">
        <f t="shared" si="133"/>
        <v>2026</v>
      </c>
      <c r="H191" s="50">
        <f t="shared" si="133"/>
        <v>2027</v>
      </c>
      <c r="I191" s="50">
        <f t="shared" si="133"/>
        <v>2028</v>
      </c>
      <c r="J191" s="50">
        <f t="shared" si="133"/>
        <v>2029</v>
      </c>
      <c r="K191" s="50">
        <f t="shared" si="133"/>
        <v>2030</v>
      </c>
    </row>
    <row r="192" spans="3:11" x14ac:dyDescent="0.25">
      <c r="C192" s="43" t="s">
        <v>43</v>
      </c>
      <c r="D192" s="260">
        <f t="shared" ref="D192:K192" si="134">D$14</f>
        <v>45291</v>
      </c>
      <c r="E192" s="235">
        <f t="shared" si="134"/>
        <v>45657</v>
      </c>
      <c r="F192" s="235">
        <f t="shared" si="134"/>
        <v>46022</v>
      </c>
      <c r="G192" s="235">
        <f t="shared" si="134"/>
        <v>46387</v>
      </c>
      <c r="H192" s="235">
        <f t="shared" si="134"/>
        <v>46752</v>
      </c>
      <c r="I192" s="235">
        <f t="shared" si="134"/>
        <v>47118</v>
      </c>
      <c r="J192" s="235">
        <f t="shared" si="134"/>
        <v>47483</v>
      </c>
      <c r="K192" s="235">
        <f t="shared" si="134"/>
        <v>47848</v>
      </c>
    </row>
    <row r="194" spans="3:11" x14ac:dyDescent="0.25">
      <c r="C194" s="13" t="s">
        <v>207</v>
      </c>
      <c r="D194" s="19"/>
      <c r="E194" s="188"/>
      <c r="F194" s="188"/>
      <c r="G194" s="188"/>
      <c r="H194" s="188"/>
      <c r="I194" s="188"/>
      <c r="J194" s="188"/>
      <c r="K194" s="188"/>
    </row>
    <row r="195" spans="3:11" x14ac:dyDescent="0.25">
      <c r="C195" s="29" t="s">
        <v>32</v>
      </c>
      <c r="D195" s="19"/>
      <c r="E195" s="188">
        <f>D197</f>
        <v>0</v>
      </c>
      <c r="F195" s="188">
        <f t="shared" ref="F195:K195" si="135">E197</f>
        <v>0</v>
      </c>
      <c r="G195" s="188">
        <f t="shared" si="135"/>
        <v>100620493</v>
      </c>
      <c r="H195" s="188">
        <f t="shared" si="135"/>
        <v>100620493</v>
      </c>
      <c r="I195" s="188">
        <f t="shared" si="135"/>
        <v>100620493</v>
      </c>
      <c r="J195" s="188">
        <f t="shared" si="135"/>
        <v>100620493</v>
      </c>
      <c r="K195" s="188">
        <f t="shared" si="135"/>
        <v>100620493</v>
      </c>
    </row>
    <row r="196" spans="3:11" x14ac:dyDescent="0.25">
      <c r="C196" s="29" t="s">
        <v>211</v>
      </c>
      <c r="D196" s="19"/>
      <c r="E196" s="188">
        <f>E197-E195</f>
        <v>0</v>
      </c>
      <c r="F196" s="188">
        <f t="shared" ref="F196" si="136">F197-F195</f>
        <v>100620493</v>
      </c>
      <c r="G196" s="188">
        <v>0</v>
      </c>
      <c r="H196" s="188">
        <v>0</v>
      </c>
      <c r="I196" s="188">
        <v>0</v>
      </c>
      <c r="J196" s="188">
        <v>0</v>
      </c>
      <c r="K196" s="188">
        <v>0</v>
      </c>
    </row>
    <row r="197" spans="3:11" x14ac:dyDescent="0.25">
      <c r="C197" s="29" t="s">
        <v>35</v>
      </c>
      <c r="D197" s="19">
        <f t="shared" ref="D197:K197" si="137">D75</f>
        <v>0</v>
      </c>
      <c r="E197" s="188">
        <f t="shared" si="137"/>
        <v>0</v>
      </c>
      <c r="F197" s="188">
        <f t="shared" si="137"/>
        <v>100620493</v>
      </c>
      <c r="G197" s="188">
        <f t="shared" si="137"/>
        <v>100620493</v>
      </c>
      <c r="H197" s="188">
        <f t="shared" si="137"/>
        <v>100620493</v>
      </c>
      <c r="I197" s="188">
        <f t="shared" si="137"/>
        <v>100620493</v>
      </c>
      <c r="J197" s="188">
        <f t="shared" si="137"/>
        <v>100620493</v>
      </c>
      <c r="K197" s="188">
        <f t="shared" si="137"/>
        <v>100620493</v>
      </c>
    </row>
    <row r="198" spans="3:11" x14ac:dyDescent="0.25">
      <c r="C198" s="29" t="s">
        <v>166</v>
      </c>
      <c r="D198" s="19"/>
      <c r="E198" s="188">
        <f>AVERAGE(E195,E197)</f>
        <v>0</v>
      </c>
      <c r="F198" s="188">
        <f t="shared" ref="F198:K198" si="138">AVERAGE(F195,F197)</f>
        <v>50310246.5</v>
      </c>
      <c r="G198" s="188">
        <f t="shared" si="138"/>
        <v>100620493</v>
      </c>
      <c r="H198" s="188">
        <f t="shared" si="138"/>
        <v>100620493</v>
      </c>
      <c r="I198" s="188">
        <f t="shared" si="138"/>
        <v>100620493</v>
      </c>
      <c r="J198" s="188">
        <f t="shared" si="138"/>
        <v>100620493</v>
      </c>
      <c r="K198" s="188">
        <f t="shared" si="138"/>
        <v>100620493</v>
      </c>
    </row>
    <row r="199" spans="3:11" x14ac:dyDescent="0.25">
      <c r="C199" s="29" t="s">
        <v>167</v>
      </c>
      <c r="D199" s="22"/>
      <c r="E199" s="1"/>
      <c r="F199" s="1">
        <f t="shared" ref="F199" si="139">F201/F198</f>
        <v>-8.827024928212189E-2</v>
      </c>
      <c r="G199" s="1">
        <v>-4.4999999999999998E-2</v>
      </c>
      <c r="H199" s="1">
        <f>G199-0.1%</f>
        <v>-4.5999999999999999E-2</v>
      </c>
      <c r="I199" s="1">
        <f t="shared" ref="I199:K199" si="140">H199-0.1%</f>
        <v>-4.7E-2</v>
      </c>
      <c r="J199" s="1">
        <f t="shared" si="140"/>
        <v>-4.8000000000000001E-2</v>
      </c>
      <c r="K199" s="1">
        <f t="shared" si="140"/>
        <v>-4.9000000000000002E-2</v>
      </c>
    </row>
    <row r="200" spans="3:11" x14ac:dyDescent="0.25">
      <c r="C200" s="17"/>
      <c r="D200" s="266"/>
      <c r="E200" s="211"/>
      <c r="F200" s="211"/>
      <c r="G200" s="212"/>
      <c r="H200" s="212"/>
      <c r="I200" s="212"/>
      <c r="J200" s="212"/>
      <c r="K200" s="212"/>
    </row>
    <row r="201" spans="3:11" x14ac:dyDescent="0.25">
      <c r="C201" s="6" t="s">
        <v>152</v>
      </c>
      <c r="D201" s="19">
        <f>D28</f>
        <v>-2795268</v>
      </c>
      <c r="E201" s="188">
        <f>E28</f>
        <v>-4031650</v>
      </c>
      <c r="F201" s="188">
        <f>F28</f>
        <v>-4440898</v>
      </c>
      <c r="G201" s="188">
        <f>G199*G195</f>
        <v>-4527922.1849999996</v>
      </c>
      <c r="H201" s="188">
        <f t="shared" ref="H201:K201" si="141">H199*H195</f>
        <v>-4628542.6780000003</v>
      </c>
      <c r="I201" s="188">
        <f t="shared" si="141"/>
        <v>-4729163.1710000001</v>
      </c>
      <c r="J201" s="188">
        <f t="shared" si="141"/>
        <v>-4829783.6639999999</v>
      </c>
      <c r="K201" s="188">
        <f t="shared" si="141"/>
        <v>-4930404.1570000006</v>
      </c>
    </row>
    <row r="203" spans="3:11" x14ac:dyDescent="0.25">
      <c r="C203" s="13" t="s">
        <v>168</v>
      </c>
    </row>
    <row r="204" spans="3:11" x14ac:dyDescent="0.25">
      <c r="C204" s="48" t="s">
        <v>42</v>
      </c>
      <c r="D204" s="49">
        <f t="shared" ref="D204:K204" si="142">D$13</f>
        <v>2023</v>
      </c>
      <c r="E204" s="49">
        <f t="shared" si="142"/>
        <v>2024</v>
      </c>
      <c r="F204" s="49">
        <f t="shared" si="142"/>
        <v>2025</v>
      </c>
      <c r="G204" s="50">
        <f t="shared" si="142"/>
        <v>2026</v>
      </c>
      <c r="H204" s="50">
        <f t="shared" si="142"/>
        <v>2027</v>
      </c>
      <c r="I204" s="50">
        <f t="shared" si="142"/>
        <v>2028</v>
      </c>
      <c r="J204" s="50">
        <f t="shared" si="142"/>
        <v>2029</v>
      </c>
      <c r="K204" s="50">
        <f t="shared" si="142"/>
        <v>2030</v>
      </c>
    </row>
    <row r="205" spans="3:11" x14ac:dyDescent="0.25">
      <c r="C205" s="43" t="s">
        <v>43</v>
      </c>
      <c r="D205" s="260">
        <f t="shared" ref="D205:K205" si="143">D$14</f>
        <v>45291</v>
      </c>
      <c r="E205" s="235">
        <f t="shared" si="143"/>
        <v>45657</v>
      </c>
      <c r="F205" s="235">
        <f t="shared" si="143"/>
        <v>46022</v>
      </c>
      <c r="G205" s="235">
        <f t="shared" si="143"/>
        <v>46387</v>
      </c>
      <c r="H205" s="235">
        <f t="shared" si="143"/>
        <v>46752</v>
      </c>
      <c r="I205" s="235">
        <f t="shared" si="143"/>
        <v>47118</v>
      </c>
      <c r="J205" s="235">
        <f t="shared" si="143"/>
        <v>47483</v>
      </c>
      <c r="K205" s="235">
        <f t="shared" si="143"/>
        <v>47848</v>
      </c>
    </row>
    <row r="207" spans="3:11" x14ac:dyDescent="0.25">
      <c r="C207" s="13" t="s">
        <v>169</v>
      </c>
    </row>
    <row r="208" spans="3:11" x14ac:dyDescent="0.25">
      <c r="C208" s="17" t="s">
        <v>32</v>
      </c>
      <c r="D208" s="19"/>
      <c r="E208" s="188">
        <f>D212</f>
        <v>411025579</v>
      </c>
      <c r="F208" s="188">
        <f t="shared" ref="F208:K208" si="144">E212</f>
        <v>424945654</v>
      </c>
      <c r="G208" s="188">
        <f t="shared" si="144"/>
        <v>333644441</v>
      </c>
      <c r="H208" s="188">
        <f t="shared" si="144"/>
        <v>553605473.24124122</v>
      </c>
      <c r="I208" s="188">
        <f t="shared" si="144"/>
        <v>794918847.55075502</v>
      </c>
      <c r="J208" s="188">
        <f t="shared" si="144"/>
        <v>1054724500.7610389</v>
      </c>
      <c r="K208" s="188">
        <f t="shared" si="144"/>
        <v>1335518887.5156031</v>
      </c>
    </row>
    <row r="209" spans="3:11" x14ac:dyDescent="0.25">
      <c r="C209" s="17" t="s">
        <v>269</v>
      </c>
      <c r="D209" s="19">
        <f t="shared" ref="D209:K209" si="145">D31</f>
        <v>141970722</v>
      </c>
      <c r="E209" s="188">
        <f t="shared" si="145"/>
        <v>287491196</v>
      </c>
      <c r="F209" s="188">
        <f t="shared" si="145"/>
        <v>259932859</v>
      </c>
      <c r="G209" s="188">
        <f t="shared" si="145"/>
        <v>274951290.30155152</v>
      </c>
      <c r="H209" s="188">
        <f t="shared" si="145"/>
        <v>301641717.88689238</v>
      </c>
      <c r="I209" s="188">
        <f t="shared" si="145"/>
        <v>324757066.51285475</v>
      </c>
      <c r="J209" s="188">
        <f t="shared" si="145"/>
        <v>350992983.4432053</v>
      </c>
      <c r="K209" s="188">
        <f t="shared" si="145"/>
        <v>372226497.60397357</v>
      </c>
    </row>
    <row r="210" spans="3:11" x14ac:dyDescent="0.25">
      <c r="C210" s="17" t="s">
        <v>170</v>
      </c>
      <c r="D210" s="244">
        <v>230512544</v>
      </c>
      <c r="E210" s="191">
        <v>276385265</v>
      </c>
      <c r="F210" s="191">
        <v>349828026</v>
      </c>
      <c r="G210" s="188">
        <f>G209*G214</f>
        <v>54990258.060310304</v>
      </c>
      <c r="H210" s="188">
        <f t="shared" ref="H210:K210" si="146">H209*H214</f>
        <v>60328343.577378482</v>
      </c>
      <c r="I210" s="188">
        <f t="shared" si="146"/>
        <v>64951413.302570954</v>
      </c>
      <c r="J210" s="188">
        <f t="shared" si="146"/>
        <v>70198596.688641056</v>
      </c>
      <c r="K210" s="188">
        <f t="shared" si="146"/>
        <v>74445299.520794719</v>
      </c>
    </row>
    <row r="211" spans="3:11" x14ac:dyDescent="0.25">
      <c r="C211" s="17" t="s">
        <v>171</v>
      </c>
      <c r="D211" s="19"/>
      <c r="E211" s="188"/>
      <c r="F211" s="188"/>
      <c r="G211" s="188"/>
      <c r="H211" s="188"/>
      <c r="I211" s="188"/>
      <c r="J211" s="188"/>
      <c r="K211" s="188"/>
    </row>
    <row r="212" spans="3:11" x14ac:dyDescent="0.25">
      <c r="C212" s="17" t="s">
        <v>172</v>
      </c>
      <c r="D212" s="19">
        <f>D97</f>
        <v>411025579</v>
      </c>
      <c r="E212" s="188">
        <f>E97</f>
        <v>424945654</v>
      </c>
      <c r="F212" s="188">
        <f>F97</f>
        <v>333644441</v>
      </c>
      <c r="G212" s="188">
        <f>G208+G209-G210</f>
        <v>553605473.24124122</v>
      </c>
      <c r="H212" s="188">
        <f t="shared" ref="H212:K212" si="147">H208+H209-H210</f>
        <v>794918847.55075502</v>
      </c>
      <c r="I212" s="188">
        <f t="shared" si="147"/>
        <v>1054724500.7610389</v>
      </c>
      <c r="J212" s="188">
        <f t="shared" si="147"/>
        <v>1335518887.5156031</v>
      </c>
      <c r="K212" s="188">
        <f t="shared" si="147"/>
        <v>1633300085.5987821</v>
      </c>
    </row>
    <row r="213" spans="3:11" x14ac:dyDescent="0.25">
      <c r="D213" s="19"/>
      <c r="E213" s="188"/>
      <c r="F213" s="188"/>
      <c r="G213" s="188"/>
      <c r="H213" s="188"/>
      <c r="I213" s="188"/>
      <c r="J213" s="188"/>
      <c r="K213" s="188"/>
    </row>
    <row r="214" spans="3:11" x14ac:dyDescent="0.25">
      <c r="C214" s="6" t="s">
        <v>270</v>
      </c>
      <c r="D214" s="22">
        <f>D210/D209</f>
        <v>1.6236625464227759</v>
      </c>
      <c r="E214" s="1">
        <f t="shared" ref="E214:F214" si="148">E210/E209</f>
        <v>0.96136949181567288</v>
      </c>
      <c r="F214" s="1">
        <f t="shared" si="148"/>
        <v>1.3458399501542051</v>
      </c>
      <c r="G214" s="215">
        <v>0.2</v>
      </c>
      <c r="H214" s="215">
        <f t="shared" ref="H214:K214" si="149">G214</f>
        <v>0.2</v>
      </c>
      <c r="I214" s="215">
        <f t="shared" si="149"/>
        <v>0.2</v>
      </c>
      <c r="J214" s="215">
        <f t="shared" si="149"/>
        <v>0.2</v>
      </c>
      <c r="K214" s="215">
        <f t="shared" si="149"/>
        <v>0.2</v>
      </c>
    </row>
    <row r="216" spans="3:11" x14ac:dyDescent="0.25">
      <c r="C216" s="13" t="s">
        <v>271</v>
      </c>
    </row>
    <row r="217" spans="3:11" x14ac:dyDescent="0.25">
      <c r="C217" s="48" t="s">
        <v>42</v>
      </c>
      <c r="D217" s="49">
        <f t="shared" ref="D217:K217" si="150">D$13</f>
        <v>2023</v>
      </c>
      <c r="E217" s="49">
        <f t="shared" si="150"/>
        <v>2024</v>
      </c>
      <c r="F217" s="49">
        <f t="shared" si="150"/>
        <v>2025</v>
      </c>
      <c r="G217" s="50">
        <f t="shared" si="150"/>
        <v>2026</v>
      </c>
      <c r="H217" s="50">
        <f t="shared" si="150"/>
        <v>2027</v>
      </c>
      <c r="I217" s="50">
        <f t="shared" si="150"/>
        <v>2028</v>
      </c>
      <c r="J217" s="50">
        <f t="shared" si="150"/>
        <v>2029</v>
      </c>
      <c r="K217" s="50">
        <f t="shared" si="150"/>
        <v>2030</v>
      </c>
    </row>
    <row r="218" spans="3:11" x14ac:dyDescent="0.25">
      <c r="C218" s="43" t="s">
        <v>43</v>
      </c>
      <c r="D218" s="260">
        <f t="shared" ref="D218:K218" si="151">D$14</f>
        <v>45291</v>
      </c>
      <c r="E218" s="235">
        <f t="shared" si="151"/>
        <v>45657</v>
      </c>
      <c r="F218" s="235">
        <f t="shared" si="151"/>
        <v>46022</v>
      </c>
      <c r="G218" s="235">
        <f t="shared" si="151"/>
        <v>46387</v>
      </c>
      <c r="H218" s="235">
        <f t="shared" si="151"/>
        <v>46752</v>
      </c>
      <c r="I218" s="235">
        <f t="shared" si="151"/>
        <v>47118</v>
      </c>
      <c r="J218" s="235">
        <f t="shared" si="151"/>
        <v>47483</v>
      </c>
      <c r="K218" s="235">
        <f t="shared" si="151"/>
        <v>47848</v>
      </c>
    </row>
    <row r="219" spans="3:11" x14ac:dyDescent="0.25">
      <c r="C219" s="247"/>
      <c r="D219" s="267"/>
      <c r="E219" s="248"/>
      <c r="F219" s="248"/>
      <c r="G219" s="248"/>
      <c r="H219" s="248"/>
      <c r="I219" s="248"/>
      <c r="J219" s="248"/>
      <c r="K219" s="248"/>
    </row>
    <row r="220" spans="3:11" x14ac:dyDescent="0.25">
      <c r="C220" s="231" t="s">
        <v>32</v>
      </c>
      <c r="D220" s="19"/>
      <c r="E220" s="188">
        <f>D223</f>
        <v>3276491</v>
      </c>
      <c r="F220" s="188">
        <f t="shared" ref="F220:G220" si="152">E223</f>
        <v>96510331</v>
      </c>
      <c r="G220" s="188">
        <f t="shared" si="152"/>
        <v>88515320</v>
      </c>
      <c r="H220" s="188">
        <f t="shared" ref="H220:K220" si="153">G223</f>
        <v>79321057.350000009</v>
      </c>
      <c r="I220" s="188">
        <f t="shared" si="153"/>
        <v>69023483.182000011</v>
      </c>
      <c r="J220" s="188">
        <f t="shared" si="153"/>
        <v>57696151.597200021</v>
      </c>
      <c r="K220" s="188">
        <f t="shared" si="153"/>
        <v>45462633.485616021</v>
      </c>
    </row>
    <row r="221" spans="3:11" x14ac:dyDescent="0.25">
      <c r="C221" s="231" t="s">
        <v>187</v>
      </c>
      <c r="D221" s="244"/>
      <c r="E221" s="191">
        <v>2409190</v>
      </c>
      <c r="F221" s="191">
        <v>4187641</v>
      </c>
      <c r="G221" s="188">
        <f>G224*G16</f>
        <v>4815787.1499999994</v>
      </c>
      <c r="H221" s="188">
        <f>H224*H16</f>
        <v>5393681.6079999991</v>
      </c>
      <c r="I221" s="188">
        <f>I224*I16</f>
        <v>5933049.7687999997</v>
      </c>
      <c r="J221" s="188">
        <f>J224*J16</f>
        <v>6407693.7503039995</v>
      </c>
      <c r="K221" s="188">
        <f>K224*K16</f>
        <v>6792155.3753222404</v>
      </c>
    </row>
    <row r="222" spans="3:11" x14ac:dyDescent="0.25">
      <c r="C222" s="231" t="s">
        <v>188</v>
      </c>
      <c r="D222" s="244"/>
      <c r="E222" s="191">
        <v>6575350</v>
      </c>
      <c r="F222" s="191">
        <v>12182652</v>
      </c>
      <c r="G222" s="188">
        <f>G225*G16</f>
        <v>14010049.799999997</v>
      </c>
      <c r="H222" s="188">
        <f>H225*H16</f>
        <v>15691255.775999999</v>
      </c>
      <c r="I222" s="188">
        <f>I225*I16</f>
        <v>17260381.353599999</v>
      </c>
      <c r="J222" s="188">
        <f>J225*J16</f>
        <v>18641211.861887999</v>
      </c>
      <c r="K222" s="188">
        <f>K225*K16</f>
        <v>19759684.573601279</v>
      </c>
    </row>
    <row r="223" spans="3:11" x14ac:dyDescent="0.25">
      <c r="C223" s="231" t="s">
        <v>35</v>
      </c>
      <c r="D223" s="19">
        <f>D61</f>
        <v>3276491</v>
      </c>
      <c r="E223" s="188">
        <f>E61</f>
        <v>96510331</v>
      </c>
      <c r="F223" s="188">
        <f>F61</f>
        <v>88515320</v>
      </c>
      <c r="G223" s="188">
        <f>G220+G221-G222</f>
        <v>79321057.350000009</v>
      </c>
      <c r="H223" s="188">
        <f t="shared" ref="H223:K223" si="154">H220+H221-H222</f>
        <v>69023483.182000011</v>
      </c>
      <c r="I223" s="188">
        <f t="shared" si="154"/>
        <v>57696151.597200021</v>
      </c>
      <c r="J223" s="188">
        <f t="shared" si="154"/>
        <v>45462633.485616021</v>
      </c>
      <c r="K223" s="188">
        <f t="shared" si="154"/>
        <v>32495104.287336979</v>
      </c>
    </row>
    <row r="224" spans="3:11" x14ac:dyDescent="0.25">
      <c r="C224" s="231" t="s">
        <v>189</v>
      </c>
      <c r="D224" s="37"/>
      <c r="E224" s="250">
        <f>E221/E16</f>
        <v>2.4899177883548093E-3</v>
      </c>
      <c r="F224" s="250">
        <f>F221/F16</f>
        <v>3.6950768439719876E-3</v>
      </c>
      <c r="G224" s="252">
        <f>F224</f>
        <v>3.6950768439719876E-3</v>
      </c>
      <c r="H224" s="252">
        <f t="shared" ref="H224:K224" si="155">G224</f>
        <v>3.6950768439719876E-3</v>
      </c>
      <c r="I224" s="252">
        <f t="shared" si="155"/>
        <v>3.6950768439719876E-3</v>
      </c>
      <c r="J224" s="252">
        <f t="shared" si="155"/>
        <v>3.6950768439719876E-3</v>
      </c>
      <c r="K224" s="252">
        <f t="shared" si="155"/>
        <v>3.6950768439719876E-3</v>
      </c>
    </row>
    <row r="225" spans="3:11" x14ac:dyDescent="0.25">
      <c r="C225" s="231" t="s">
        <v>190</v>
      </c>
      <c r="D225" s="37"/>
      <c r="E225" s="250">
        <f>E222/E16</f>
        <v>6.7956786013800468E-3</v>
      </c>
      <c r="F225" s="250">
        <f>F222/F16</f>
        <v>1.074968826204754E-2</v>
      </c>
      <c r="G225" s="252">
        <f>F225</f>
        <v>1.074968826204754E-2</v>
      </c>
      <c r="H225" s="252">
        <f t="shared" ref="H225:K225" si="156">G225</f>
        <v>1.074968826204754E-2</v>
      </c>
      <c r="I225" s="252">
        <f t="shared" si="156"/>
        <v>1.074968826204754E-2</v>
      </c>
      <c r="J225" s="252">
        <f t="shared" si="156"/>
        <v>1.074968826204754E-2</v>
      </c>
      <c r="K225" s="252">
        <f t="shared" si="156"/>
        <v>1.074968826204754E-2</v>
      </c>
    </row>
    <row r="227" spans="3:11" x14ac:dyDescent="0.25">
      <c r="C227" s="13" t="s">
        <v>191</v>
      </c>
    </row>
    <row r="228" spans="3:11" x14ac:dyDescent="0.25">
      <c r="C228" s="48" t="s">
        <v>42</v>
      </c>
      <c r="D228" s="49">
        <f t="shared" ref="D228:K228" si="157">D$13</f>
        <v>2023</v>
      </c>
      <c r="E228" s="49">
        <f t="shared" si="157"/>
        <v>2024</v>
      </c>
      <c r="F228" s="49">
        <f t="shared" si="157"/>
        <v>2025</v>
      </c>
      <c r="G228" s="50">
        <f t="shared" si="157"/>
        <v>2026</v>
      </c>
      <c r="H228" s="50">
        <f t="shared" si="157"/>
        <v>2027</v>
      </c>
      <c r="I228" s="50">
        <f t="shared" si="157"/>
        <v>2028</v>
      </c>
      <c r="J228" s="50">
        <f t="shared" si="157"/>
        <v>2029</v>
      </c>
      <c r="K228" s="50">
        <f t="shared" si="157"/>
        <v>2030</v>
      </c>
    </row>
    <row r="229" spans="3:11" x14ac:dyDescent="0.25">
      <c r="C229" s="43" t="s">
        <v>43</v>
      </c>
      <c r="D229" s="260">
        <f t="shared" ref="D229:K229" si="158">D$14</f>
        <v>45291</v>
      </c>
      <c r="E229" s="235">
        <f t="shared" si="158"/>
        <v>45657</v>
      </c>
      <c r="F229" s="235">
        <f t="shared" si="158"/>
        <v>46022</v>
      </c>
      <c r="G229" s="235">
        <f t="shared" si="158"/>
        <v>46387</v>
      </c>
      <c r="H229" s="235">
        <f t="shared" si="158"/>
        <v>46752</v>
      </c>
      <c r="I229" s="235">
        <f t="shared" si="158"/>
        <v>47118</v>
      </c>
      <c r="J229" s="235">
        <f t="shared" si="158"/>
        <v>47483</v>
      </c>
      <c r="K229" s="235">
        <f t="shared" si="158"/>
        <v>47848</v>
      </c>
    </row>
    <row r="230" spans="3:11" x14ac:dyDescent="0.25">
      <c r="C230" s="247"/>
      <c r="D230" s="267"/>
      <c r="E230" s="248"/>
      <c r="F230" s="248"/>
      <c r="G230" s="248"/>
      <c r="H230" s="248"/>
      <c r="I230" s="248"/>
      <c r="J230" s="248"/>
      <c r="K230" s="248"/>
    </row>
    <row r="231" spans="3:11" x14ac:dyDescent="0.25">
      <c r="C231" s="6" t="s">
        <v>192</v>
      </c>
      <c r="D231" s="19"/>
      <c r="E231" s="188">
        <f>D234</f>
        <v>673110</v>
      </c>
      <c r="F231" s="188">
        <f t="shared" ref="F231:G231" si="159">E234</f>
        <v>2321654</v>
      </c>
      <c r="G231" s="188">
        <f t="shared" si="159"/>
        <v>1999215</v>
      </c>
      <c r="H231" s="188">
        <f t="shared" ref="H231:K231" si="160">G234</f>
        <v>2114693.5891093514</v>
      </c>
      <c r="I231" s="188">
        <f t="shared" si="160"/>
        <v>2244029.6089118253</v>
      </c>
      <c r="J231" s="188">
        <f t="shared" si="160"/>
        <v>2386299.2306945464</v>
      </c>
      <c r="K231" s="188">
        <f t="shared" si="160"/>
        <v>2539950.4222198846</v>
      </c>
    </row>
    <row r="232" spans="3:11" x14ac:dyDescent="0.25">
      <c r="C232" s="6" t="s">
        <v>193</v>
      </c>
      <c r="D232" s="244">
        <v>0</v>
      </c>
      <c r="E232" s="191">
        <v>2029520</v>
      </c>
      <c r="F232" s="191">
        <v>-196173</v>
      </c>
      <c r="G232" s="188">
        <f>G238*G16</f>
        <v>836034.20310213056</v>
      </c>
      <c r="H232" s="188">
        <f>H238*H16</f>
        <v>936358.30747438618</v>
      </c>
      <c r="I232" s="188">
        <f>I238*I16</f>
        <v>1029994.1382218249</v>
      </c>
      <c r="J232" s="188">
        <f>J238*J16</f>
        <v>1112393.6692795709</v>
      </c>
      <c r="K232" s="188">
        <f>K238*K16</f>
        <v>1179137.2894363452</v>
      </c>
    </row>
    <row r="233" spans="3:11" x14ac:dyDescent="0.25">
      <c r="C233" s="6" t="s">
        <v>194</v>
      </c>
      <c r="D233" s="244">
        <v>673111</v>
      </c>
      <c r="E233" s="191">
        <v>380976</v>
      </c>
      <c r="F233" s="191">
        <v>126266</v>
      </c>
      <c r="G233" s="188">
        <f>G239*G16</f>
        <v>720555.61399277917</v>
      </c>
      <c r="H233" s="188">
        <f>H239*H16</f>
        <v>807022.28767191269</v>
      </c>
      <c r="I233" s="188">
        <f>I239*I16</f>
        <v>887724.51643910399</v>
      </c>
      <c r="J233" s="188">
        <f>J239*J16</f>
        <v>958742.47775423236</v>
      </c>
      <c r="K233" s="188">
        <f>K239*K16</f>
        <v>1016267.0264194864</v>
      </c>
    </row>
    <row r="234" spans="3:11" x14ac:dyDescent="0.25">
      <c r="C234" s="6" t="s">
        <v>195</v>
      </c>
      <c r="D234" s="19">
        <f>D63</f>
        <v>673110</v>
      </c>
      <c r="E234" s="188">
        <f>E63</f>
        <v>2321654</v>
      </c>
      <c r="F234" s="188">
        <f>F63</f>
        <v>1999215</v>
      </c>
      <c r="G234" s="188">
        <f>G231+G232-G233</f>
        <v>2114693.5891093514</v>
      </c>
      <c r="H234" s="188">
        <f t="shared" ref="H234:K234" si="161">H231+H232-H233</f>
        <v>2244029.6089118253</v>
      </c>
      <c r="I234" s="188">
        <f t="shared" si="161"/>
        <v>2386299.2306945464</v>
      </c>
      <c r="J234" s="188">
        <f t="shared" si="161"/>
        <v>2539950.4222198846</v>
      </c>
      <c r="K234" s="188">
        <f t="shared" si="161"/>
        <v>2702820.6852367432</v>
      </c>
    </row>
    <row r="235" spans="3:11" x14ac:dyDescent="0.25">
      <c r="C235" s="6" t="s">
        <v>196</v>
      </c>
      <c r="E235" s="188">
        <f>D236</f>
        <v>666527</v>
      </c>
      <c r="F235" s="188">
        <f t="shared" ref="F235:K235" si="162">E236</f>
        <v>2645087</v>
      </c>
      <c r="G235" s="188">
        <f t="shared" si="162"/>
        <v>2292836</v>
      </c>
      <c r="H235" s="188">
        <f t="shared" si="162"/>
        <v>2230172.1782187028</v>
      </c>
      <c r="I235" s="188">
        <f t="shared" si="162"/>
        <v>2373365.6287142988</v>
      </c>
      <c r="J235" s="188">
        <f t="shared" si="162"/>
        <v>2528568.8524772674</v>
      </c>
      <c r="K235" s="188">
        <f t="shared" si="162"/>
        <v>2693601.6137452228</v>
      </c>
    </row>
    <row r="236" spans="3:11" x14ac:dyDescent="0.25">
      <c r="C236" s="6" t="s">
        <v>197</v>
      </c>
      <c r="D236" s="19">
        <f>D79+D86</f>
        <v>666527</v>
      </c>
      <c r="E236" s="188">
        <f>E79+E86</f>
        <v>2645087</v>
      </c>
      <c r="F236" s="188">
        <f>F79+F86</f>
        <v>2292836</v>
      </c>
      <c r="G236" s="188">
        <f>G234+G232-G233</f>
        <v>2230172.1782187028</v>
      </c>
      <c r="H236" s="188">
        <f t="shared" ref="H236:K236" si="163">H234+H232-H233</f>
        <v>2373365.6287142988</v>
      </c>
      <c r="I236" s="188">
        <f t="shared" si="163"/>
        <v>2528568.8524772674</v>
      </c>
      <c r="J236" s="188">
        <f t="shared" si="163"/>
        <v>2693601.6137452228</v>
      </c>
      <c r="K236" s="188">
        <f t="shared" si="163"/>
        <v>2865690.9482536023</v>
      </c>
    </row>
    <row r="237" spans="3:11" x14ac:dyDescent="0.25">
      <c r="C237" s="6" t="s">
        <v>198</v>
      </c>
      <c r="D237" s="266">
        <f>D79/(D79+D86)</f>
        <v>1</v>
      </c>
      <c r="E237" s="211">
        <f>E79/(E79+E86)</f>
        <v>0.15599675927483669</v>
      </c>
      <c r="F237" s="211">
        <f>F79/(F79+F86)</f>
        <v>0.12627723919198758</v>
      </c>
      <c r="G237" s="211">
        <f>F237</f>
        <v>0.12627723919198758</v>
      </c>
      <c r="H237" s="211">
        <f t="shared" ref="H237:K237" si="164">G237</f>
        <v>0.12627723919198758</v>
      </c>
      <c r="I237" s="211">
        <f t="shared" si="164"/>
        <v>0.12627723919198758</v>
      </c>
      <c r="J237" s="211">
        <f t="shared" si="164"/>
        <v>0.12627723919198758</v>
      </c>
      <c r="K237" s="211">
        <f t="shared" si="164"/>
        <v>0.12627723919198758</v>
      </c>
    </row>
    <row r="238" spans="3:11" x14ac:dyDescent="0.25">
      <c r="C238" s="6" t="s">
        <v>199</v>
      </c>
      <c r="D238" s="22">
        <f>D232/D16</f>
        <v>0</v>
      </c>
      <c r="E238" s="1">
        <f>E232/E16</f>
        <v>2.0975257035857914E-3</v>
      </c>
      <c r="F238" s="1">
        <f>F232/F16</f>
        <v>-1.7309848425701172E-4</v>
      </c>
      <c r="G238" s="215">
        <f>AVERAGE(D238:F238)</f>
        <v>6.4147573977625996E-4</v>
      </c>
      <c r="H238" s="215">
        <f>G238</f>
        <v>6.4147573977625996E-4</v>
      </c>
      <c r="I238" s="215">
        <f t="shared" ref="I238:K238" si="165">H238</f>
        <v>6.4147573977625996E-4</v>
      </c>
      <c r="J238" s="215">
        <f t="shared" si="165"/>
        <v>6.4147573977625996E-4</v>
      </c>
      <c r="K238" s="215">
        <f t="shared" si="165"/>
        <v>6.4147573977625996E-4</v>
      </c>
    </row>
    <row r="239" spans="3:11" x14ac:dyDescent="0.25">
      <c r="C239" s="6" t="s">
        <v>200</v>
      </c>
      <c r="D239" s="22">
        <f>D233/D16</f>
        <v>1.1534565451781754E-3</v>
      </c>
      <c r="E239" s="1">
        <f>E233/E16</f>
        <v>3.9374184656928751E-4</v>
      </c>
      <c r="F239" s="1">
        <f>F233/F16</f>
        <v>1.1141417633005479E-4</v>
      </c>
      <c r="G239" s="215">
        <f t="shared" ref="G239" si="166">AVERAGE(D239:F239)</f>
        <v>5.528708560258392E-4</v>
      </c>
      <c r="H239" s="215">
        <f t="shared" ref="H239:K239" si="167">G239</f>
        <v>5.528708560258392E-4</v>
      </c>
      <c r="I239" s="215">
        <f t="shared" si="167"/>
        <v>5.528708560258392E-4</v>
      </c>
      <c r="J239" s="215">
        <f t="shared" si="167"/>
        <v>5.528708560258392E-4</v>
      </c>
      <c r="K239" s="215">
        <f t="shared" si="167"/>
        <v>5.528708560258392E-4</v>
      </c>
    </row>
    <row r="241" spans="3:11" x14ac:dyDescent="0.25">
      <c r="C241" s="13" t="s">
        <v>248</v>
      </c>
    </row>
    <row r="242" spans="3:11" x14ac:dyDescent="0.25">
      <c r="C242" s="48" t="s">
        <v>42</v>
      </c>
      <c r="D242" s="49">
        <f t="shared" ref="D242:K242" si="168">D$13</f>
        <v>2023</v>
      </c>
      <c r="E242" s="49">
        <f t="shared" si="168"/>
        <v>2024</v>
      </c>
      <c r="F242" s="49">
        <f t="shared" si="168"/>
        <v>2025</v>
      </c>
      <c r="G242" s="50">
        <f t="shared" si="168"/>
        <v>2026</v>
      </c>
      <c r="H242" s="50">
        <f t="shared" si="168"/>
        <v>2027</v>
      </c>
      <c r="I242" s="50">
        <f t="shared" si="168"/>
        <v>2028</v>
      </c>
      <c r="J242" s="50">
        <f t="shared" si="168"/>
        <v>2029</v>
      </c>
      <c r="K242" s="50">
        <f t="shared" si="168"/>
        <v>2030</v>
      </c>
    </row>
    <row r="243" spans="3:11" x14ac:dyDescent="0.25">
      <c r="C243" s="43" t="s">
        <v>43</v>
      </c>
      <c r="D243" s="260">
        <f t="shared" ref="D243:K243" si="169">D$14</f>
        <v>45291</v>
      </c>
      <c r="E243" s="235">
        <f t="shared" si="169"/>
        <v>45657</v>
      </c>
      <c r="F243" s="235">
        <f t="shared" si="169"/>
        <v>46022</v>
      </c>
      <c r="G243" s="235">
        <f t="shared" si="169"/>
        <v>46387</v>
      </c>
      <c r="H243" s="235">
        <f t="shared" si="169"/>
        <v>46752</v>
      </c>
      <c r="I243" s="235">
        <f t="shared" si="169"/>
        <v>47118</v>
      </c>
      <c r="J243" s="235">
        <f t="shared" si="169"/>
        <v>47483</v>
      </c>
      <c r="K243" s="235">
        <f t="shared" si="169"/>
        <v>47848</v>
      </c>
    </row>
    <row r="245" spans="3:11" x14ac:dyDescent="0.25">
      <c r="C245" s="6" t="s">
        <v>32</v>
      </c>
      <c r="D245" s="19">
        <v>42172381</v>
      </c>
      <c r="E245" s="188">
        <f>D248</f>
        <v>43871182</v>
      </c>
      <c r="F245" s="188">
        <f t="shared" ref="F245:G245" si="170">E248</f>
        <v>63112762</v>
      </c>
      <c r="G245" s="188">
        <f t="shared" si="170"/>
        <v>68533910</v>
      </c>
      <c r="H245" s="188">
        <f t="shared" ref="H245:K245" si="171">G248</f>
        <v>71280196.510165736</v>
      </c>
      <c r="I245" s="188">
        <f t="shared" si="171"/>
        <v>74136532.039801091</v>
      </c>
      <c r="J245" s="188">
        <f t="shared" si="171"/>
        <v>77107326.466259122</v>
      </c>
      <c r="K245" s="188">
        <f t="shared" si="171"/>
        <v>80197166.379219487</v>
      </c>
    </row>
    <row r="246" spans="3:11" x14ac:dyDescent="0.25">
      <c r="C246" s="6" t="s">
        <v>208</v>
      </c>
      <c r="D246" s="244">
        <f>3983762+1836327-2067651</f>
        <v>3752438</v>
      </c>
      <c r="E246" s="191">
        <f>6432615-1841105</f>
        <v>4591510</v>
      </c>
      <c r="F246" s="191">
        <f>9371554+1077090</f>
        <v>10448644</v>
      </c>
      <c r="G246" s="188">
        <f>G250*G245</f>
        <v>8205625.4373602169</v>
      </c>
      <c r="H246" s="188">
        <f t="shared" ref="H246:K246" si="172">H250*H245</f>
        <v>8534440.7412892524</v>
      </c>
      <c r="I246" s="188">
        <f t="shared" si="172"/>
        <v>8876432.3112961538</v>
      </c>
      <c r="J246" s="188">
        <f t="shared" si="172"/>
        <v>9232128.1458824482</v>
      </c>
      <c r="K246" s="188">
        <f t="shared" si="172"/>
        <v>9602077.4014722481</v>
      </c>
    </row>
    <row r="247" spans="3:11" x14ac:dyDescent="0.25">
      <c r="C247" s="6" t="s">
        <v>272</v>
      </c>
      <c r="D247" s="244">
        <v>2067651</v>
      </c>
      <c r="E247" s="191">
        <v>4782676</v>
      </c>
      <c r="F247" s="191">
        <v>5027496</v>
      </c>
      <c r="G247" s="188">
        <f>G251*G245</f>
        <v>5459338.9271944715</v>
      </c>
      <c r="H247" s="188">
        <f t="shared" ref="H247:K247" si="173">H251*H245</f>
        <v>5678105.2116539003</v>
      </c>
      <c r="I247" s="188">
        <f t="shared" si="173"/>
        <v>5905637.8848381229</v>
      </c>
      <c r="J247" s="188">
        <f t="shared" si="173"/>
        <v>6142288.2329220818</v>
      </c>
      <c r="K247" s="188">
        <f t="shared" si="173"/>
        <v>6388421.6187981199</v>
      </c>
    </row>
    <row r="248" spans="3:11" x14ac:dyDescent="0.25">
      <c r="C248" s="6" t="s">
        <v>35</v>
      </c>
      <c r="D248" s="19">
        <f>D85</f>
        <v>43871182</v>
      </c>
      <c r="E248" s="188">
        <f>E85</f>
        <v>63112762</v>
      </c>
      <c r="F248" s="188">
        <f>F85</f>
        <v>68533910</v>
      </c>
      <c r="G248" s="188">
        <f>G245+G246-G247</f>
        <v>71280196.510165736</v>
      </c>
      <c r="H248" s="188">
        <f t="shared" ref="H248:K248" si="174">H245+H246-H247</f>
        <v>74136532.039801091</v>
      </c>
      <c r="I248" s="188">
        <f t="shared" si="174"/>
        <v>77107326.466259122</v>
      </c>
      <c r="J248" s="188">
        <f t="shared" si="174"/>
        <v>80197166.379219487</v>
      </c>
      <c r="K248" s="188">
        <f t="shared" si="174"/>
        <v>83410822.161893621</v>
      </c>
    </row>
    <row r="250" spans="3:11" x14ac:dyDescent="0.25">
      <c r="C250" s="6" t="s">
        <v>209</v>
      </c>
      <c r="D250" s="266">
        <f>D246/D245</f>
        <v>8.8978566327568745E-2</v>
      </c>
      <c r="E250" s="211">
        <f>E246/E245</f>
        <v>0.10465890798200969</v>
      </c>
      <c r="F250" s="211">
        <f t="shared" ref="F250" si="175">F246/F245</f>
        <v>0.16555516933326417</v>
      </c>
      <c r="G250" s="212">
        <f>AVERAGE(D250:F250)</f>
        <v>0.11973088121428088</v>
      </c>
      <c r="H250" s="212">
        <f>G250</f>
        <v>0.11973088121428088</v>
      </c>
      <c r="I250" s="212">
        <f t="shared" ref="I250:K251" si="176">H250</f>
        <v>0.11973088121428088</v>
      </c>
      <c r="J250" s="212">
        <f t="shared" si="176"/>
        <v>0.11973088121428088</v>
      </c>
      <c r="K250" s="212">
        <f t="shared" si="176"/>
        <v>0.11973088121428088</v>
      </c>
    </row>
    <row r="251" spans="3:11" x14ac:dyDescent="0.25">
      <c r="C251" s="6" t="s">
        <v>210</v>
      </c>
      <c r="D251" s="266">
        <f>D247/D245</f>
        <v>4.9028557339458732E-2</v>
      </c>
      <c r="E251" s="211">
        <f>E247/E245</f>
        <v>0.10901634699516416</v>
      </c>
      <c r="F251" s="211">
        <f t="shared" ref="F251" si="177">F247/F245</f>
        <v>7.9658944414443475E-2</v>
      </c>
      <c r="G251" s="212">
        <f>F251</f>
        <v>7.9658944414443475E-2</v>
      </c>
      <c r="H251" s="212">
        <f>G251</f>
        <v>7.9658944414443475E-2</v>
      </c>
      <c r="I251" s="212">
        <f t="shared" si="176"/>
        <v>7.9658944414443475E-2</v>
      </c>
      <c r="J251" s="212">
        <f t="shared" si="176"/>
        <v>7.9658944414443475E-2</v>
      </c>
      <c r="K251" s="212">
        <f t="shared" si="176"/>
        <v>7.9658944414443475E-2</v>
      </c>
    </row>
    <row r="253" spans="3:11" x14ac:dyDescent="0.25">
      <c r="C253" s="13" t="s">
        <v>212</v>
      </c>
    </row>
    <row r="254" spans="3:11" x14ac:dyDescent="0.25">
      <c r="C254" s="48" t="s">
        <v>42</v>
      </c>
      <c r="D254" s="49">
        <f t="shared" ref="D254:K254" si="178">D$13</f>
        <v>2023</v>
      </c>
      <c r="E254" s="49">
        <f t="shared" si="178"/>
        <v>2024</v>
      </c>
      <c r="F254" s="49">
        <f t="shared" si="178"/>
        <v>2025</v>
      </c>
      <c r="G254" s="50">
        <f t="shared" si="178"/>
        <v>2026</v>
      </c>
      <c r="H254" s="50">
        <f t="shared" si="178"/>
        <v>2027</v>
      </c>
      <c r="I254" s="50">
        <f t="shared" si="178"/>
        <v>2028</v>
      </c>
      <c r="J254" s="50">
        <f t="shared" si="178"/>
        <v>2029</v>
      </c>
      <c r="K254" s="50">
        <f t="shared" si="178"/>
        <v>2030</v>
      </c>
    </row>
    <row r="255" spans="3:11" x14ac:dyDescent="0.25">
      <c r="C255" s="43" t="s">
        <v>43</v>
      </c>
      <c r="D255" s="260">
        <f t="shared" ref="D255:K255" si="179">D$14</f>
        <v>45291</v>
      </c>
      <c r="E255" s="235">
        <f t="shared" si="179"/>
        <v>45657</v>
      </c>
      <c r="F255" s="235">
        <f t="shared" si="179"/>
        <v>46022</v>
      </c>
      <c r="G255" s="235">
        <f t="shared" si="179"/>
        <v>46387</v>
      </c>
      <c r="H255" s="235">
        <f t="shared" si="179"/>
        <v>46752</v>
      </c>
      <c r="I255" s="235">
        <f t="shared" si="179"/>
        <v>47118</v>
      </c>
      <c r="J255" s="235">
        <f t="shared" si="179"/>
        <v>47483</v>
      </c>
      <c r="K255" s="235">
        <f t="shared" si="179"/>
        <v>47848</v>
      </c>
    </row>
    <row r="257" spans="3:11" x14ac:dyDescent="0.25">
      <c r="C257" s="6" t="s">
        <v>281</v>
      </c>
      <c r="D257" s="19">
        <f t="shared" ref="D257:K257" si="180">D261*D16</f>
        <v>39989094</v>
      </c>
      <c r="E257" s="19">
        <f t="shared" si="180"/>
        <v>286802357</v>
      </c>
      <c r="F257" s="19">
        <f t="shared" si="180"/>
        <v>104750290</v>
      </c>
      <c r="G257" s="19">
        <f t="shared" si="180"/>
        <v>117296841.66299997</v>
      </c>
      <c r="H257" s="19">
        <f t="shared" si="180"/>
        <v>131372462.66255999</v>
      </c>
      <c r="I257" s="19">
        <f t="shared" si="180"/>
        <v>144509708.92881599</v>
      </c>
      <c r="J257" s="19">
        <f t="shared" si="180"/>
        <v>156070485.64312127</v>
      </c>
      <c r="K257" s="19">
        <f t="shared" si="180"/>
        <v>165434714.78170857</v>
      </c>
    </row>
    <row r="258" spans="3:11" x14ac:dyDescent="0.25">
      <c r="C258" s="6" t="s">
        <v>213</v>
      </c>
      <c r="D258" s="19"/>
      <c r="E258" s="188"/>
      <c r="F258" s="188"/>
      <c r="G258" s="188">
        <f>F56+G125+G131+(G135+G136+G137)</f>
        <v>87786988.761467695</v>
      </c>
      <c r="H258" s="188">
        <f>G56+H125+H131+(H135+H136+H137)</f>
        <v>133306327.83686967</v>
      </c>
      <c r="I258" s="188">
        <f>H56+I125+I131+(I135+I136+I137)</f>
        <v>178747700.92292851</v>
      </c>
      <c r="J258" s="188">
        <f>I56+J125+J131+(J135+J136+J137)</f>
        <v>241652928.23200494</v>
      </c>
      <c r="K258" s="188">
        <f>J56+K125+K131+(K135+K136+K137)</f>
        <v>380127683.0623908</v>
      </c>
    </row>
    <row r="259" spans="3:11" x14ac:dyDescent="0.25">
      <c r="C259" s="6" t="s">
        <v>214</v>
      </c>
      <c r="D259" s="19"/>
      <c r="E259" s="188"/>
      <c r="F259" s="188">
        <v>0</v>
      </c>
      <c r="G259" s="188">
        <f>MAX(0,F259-(G258-G257))</f>
        <v>29509852.901532277</v>
      </c>
      <c r="H259" s="188">
        <f t="shared" ref="H259:K259" si="181">MAX(0,G259-(H258-H257))</f>
        <v>27575987.727222592</v>
      </c>
      <c r="I259" s="188">
        <f t="shared" si="181"/>
        <v>0</v>
      </c>
      <c r="J259" s="188">
        <f t="shared" si="181"/>
        <v>0</v>
      </c>
      <c r="K259" s="188">
        <f t="shared" si="181"/>
        <v>0</v>
      </c>
    </row>
    <row r="260" spans="3:11" x14ac:dyDescent="0.25">
      <c r="C260" s="6" t="s">
        <v>201</v>
      </c>
      <c r="D260" s="19"/>
      <c r="E260" s="188"/>
      <c r="F260" s="188"/>
      <c r="G260" s="188">
        <f>G259-F259</f>
        <v>29509852.901532277</v>
      </c>
      <c r="H260" s="188">
        <f t="shared" ref="H260:K260" si="182">H259-G259</f>
        <v>-1933865.1743096858</v>
      </c>
      <c r="I260" s="188">
        <f t="shared" si="182"/>
        <v>-27575987.727222592</v>
      </c>
      <c r="J260" s="188">
        <f t="shared" si="182"/>
        <v>0</v>
      </c>
      <c r="K260" s="188">
        <f t="shared" si="182"/>
        <v>0</v>
      </c>
    </row>
    <row r="261" spans="3:11" x14ac:dyDescent="0.25">
      <c r="C261" s="6" t="s">
        <v>215</v>
      </c>
      <c r="D261" s="22">
        <f>D56/D16</f>
        <v>6.8526115618442282E-2</v>
      </c>
      <c r="E261" s="22">
        <f>E56/E16</f>
        <v>0.2964126077380308</v>
      </c>
      <c r="F261" s="22">
        <f>F56/F16</f>
        <v>9.2429215154391328E-2</v>
      </c>
      <c r="G261" s="215">
        <v>0.09</v>
      </c>
      <c r="H261" s="215">
        <f t="shared" ref="H261:K261" si="183">G261</f>
        <v>0.09</v>
      </c>
      <c r="I261" s="215">
        <f t="shared" si="183"/>
        <v>0.09</v>
      </c>
      <c r="J261" s="215">
        <f t="shared" si="183"/>
        <v>0.09</v>
      </c>
      <c r="K261" s="215">
        <f t="shared" si="183"/>
        <v>0.09</v>
      </c>
    </row>
    <row r="263" spans="3:11" x14ac:dyDescent="0.25">
      <c r="C263" s="13" t="s">
        <v>244</v>
      </c>
    </row>
    <row r="264" spans="3:11" x14ac:dyDescent="0.25">
      <c r="C264" s="48" t="s">
        <v>42</v>
      </c>
      <c r="D264" s="49">
        <f t="shared" ref="D264:K264" si="184">D$13</f>
        <v>2023</v>
      </c>
      <c r="E264" s="49">
        <f t="shared" si="184"/>
        <v>2024</v>
      </c>
      <c r="F264" s="49">
        <f t="shared" si="184"/>
        <v>2025</v>
      </c>
      <c r="G264" s="50">
        <f t="shared" si="184"/>
        <v>2026</v>
      </c>
      <c r="H264" s="50">
        <f t="shared" si="184"/>
        <v>2027</v>
      </c>
      <c r="I264" s="50">
        <f t="shared" si="184"/>
        <v>2028</v>
      </c>
      <c r="J264" s="50">
        <f t="shared" si="184"/>
        <v>2029</v>
      </c>
      <c r="K264" s="50">
        <f t="shared" si="184"/>
        <v>2030</v>
      </c>
    </row>
    <row r="265" spans="3:11" x14ac:dyDescent="0.25">
      <c r="C265" s="43" t="s">
        <v>43</v>
      </c>
      <c r="D265" s="260">
        <f t="shared" ref="D265:K265" si="185">D$14</f>
        <v>45291</v>
      </c>
      <c r="E265" s="235">
        <f t="shared" si="185"/>
        <v>45657</v>
      </c>
      <c r="F265" s="235">
        <f t="shared" si="185"/>
        <v>46022</v>
      </c>
      <c r="G265" s="235">
        <f t="shared" si="185"/>
        <v>46387</v>
      </c>
      <c r="H265" s="235">
        <f t="shared" si="185"/>
        <v>46752</v>
      </c>
      <c r="I265" s="235">
        <f t="shared" si="185"/>
        <v>47118</v>
      </c>
      <c r="J265" s="235">
        <f t="shared" si="185"/>
        <v>47483</v>
      </c>
      <c r="K265" s="235">
        <f t="shared" si="185"/>
        <v>47848</v>
      </c>
    </row>
    <row r="267" spans="3:11" x14ac:dyDescent="0.25">
      <c r="C267" s="6" t="s">
        <v>32</v>
      </c>
      <c r="D267" s="19"/>
      <c r="E267" s="19">
        <f>D270</f>
        <v>56497883</v>
      </c>
      <c r="F267" s="19">
        <f t="shared" ref="F267:G267" si="186">E270</f>
        <v>53947760</v>
      </c>
      <c r="G267" s="19">
        <f t="shared" si="186"/>
        <v>55353806</v>
      </c>
      <c r="H267" s="19">
        <f t="shared" ref="H267:K267" si="187">G270</f>
        <v>55353806</v>
      </c>
      <c r="I267" s="19">
        <f t="shared" si="187"/>
        <v>55353806</v>
      </c>
      <c r="J267" s="19">
        <f t="shared" si="187"/>
        <v>55353806</v>
      </c>
      <c r="K267" s="19">
        <f t="shared" si="187"/>
        <v>55353806</v>
      </c>
    </row>
    <row r="268" spans="3:11" x14ac:dyDescent="0.25">
      <c r="C268" s="6" t="s">
        <v>273</v>
      </c>
      <c r="D268" s="244">
        <v>229500000</v>
      </c>
      <c r="E268" s="244">
        <v>273571121</v>
      </c>
      <c r="F268" s="244">
        <v>351234072</v>
      </c>
      <c r="G268" s="268">
        <f>G210</f>
        <v>54990258.060310304</v>
      </c>
      <c r="H268" s="268">
        <f>H210</f>
        <v>60328343.577378482</v>
      </c>
      <c r="I268" s="268">
        <f>I210</f>
        <v>64951413.302570954</v>
      </c>
      <c r="J268" s="268">
        <f>J210</f>
        <v>70198596.688641056</v>
      </c>
      <c r="K268" s="268">
        <f>K210</f>
        <v>74445299.520794719</v>
      </c>
    </row>
    <row r="269" spans="3:11" x14ac:dyDescent="0.25">
      <c r="C269" s="6" t="s">
        <v>274</v>
      </c>
      <c r="D269" s="244">
        <v>230512544</v>
      </c>
      <c r="E269" s="244">
        <v>276385265</v>
      </c>
      <c r="F269" s="244">
        <v>349828026</v>
      </c>
      <c r="G269" s="268">
        <f>G268</f>
        <v>54990258.060310304</v>
      </c>
      <c r="H269" s="268">
        <f t="shared" ref="H269:K269" si="188">H268</f>
        <v>60328343.577378482</v>
      </c>
      <c r="I269" s="268">
        <f t="shared" si="188"/>
        <v>64951413.302570954</v>
      </c>
      <c r="J269" s="268">
        <f t="shared" si="188"/>
        <v>70198596.688641056</v>
      </c>
      <c r="K269" s="268">
        <f t="shared" si="188"/>
        <v>74445299.520794719</v>
      </c>
    </row>
    <row r="270" spans="3:11" x14ac:dyDescent="0.25">
      <c r="C270" s="6" t="s">
        <v>35</v>
      </c>
      <c r="D270" s="19">
        <f>D76</f>
        <v>56497883</v>
      </c>
      <c r="E270" s="19">
        <f>E76</f>
        <v>53947760</v>
      </c>
      <c r="F270" s="19">
        <f>F76</f>
        <v>55353806</v>
      </c>
      <c r="G270" s="18">
        <f>G267+G268-G269</f>
        <v>55353806</v>
      </c>
      <c r="H270" s="18">
        <f t="shared" ref="H270:K270" si="189">H267+H268-H269</f>
        <v>55353806</v>
      </c>
      <c r="I270" s="18">
        <f t="shared" si="189"/>
        <v>55353806</v>
      </c>
      <c r="J270" s="18">
        <f t="shared" si="189"/>
        <v>55353806</v>
      </c>
      <c r="K270" s="18">
        <f t="shared" si="189"/>
        <v>55353806</v>
      </c>
    </row>
    <row r="272" spans="3:11" x14ac:dyDescent="0.25">
      <c r="C272" s="6" t="s">
        <v>275</v>
      </c>
      <c r="D272" s="211">
        <f>D268/D16</f>
        <v>0.3932758150117755</v>
      </c>
      <c r="E272" s="211">
        <f>E268/E16</f>
        <v>0.28273801591325964</v>
      </c>
      <c r="F272" s="211">
        <f>F268/F16</f>
        <v>0.30992076117823614</v>
      </c>
      <c r="G272" s="212">
        <f>F272</f>
        <v>0.30992076117823614</v>
      </c>
      <c r="H272" s="212">
        <f t="shared" ref="H272:K272" si="190">G272</f>
        <v>0.30992076117823614</v>
      </c>
      <c r="I272" s="212">
        <f t="shared" si="190"/>
        <v>0.30992076117823614</v>
      </c>
      <c r="J272" s="212">
        <f t="shared" si="190"/>
        <v>0.30992076117823614</v>
      </c>
      <c r="K272" s="212">
        <f t="shared" si="190"/>
        <v>0.30992076117823614</v>
      </c>
    </row>
    <row r="273" spans="3:11" x14ac:dyDescent="0.25">
      <c r="C273" s="6" t="s">
        <v>276</v>
      </c>
      <c r="D273" s="211">
        <f>D269/D16</f>
        <v>0.39501093077140637</v>
      </c>
      <c r="E273" s="211">
        <f>E269/E16</f>
        <v>0.28564645700947533</v>
      </c>
      <c r="F273" s="211">
        <f>F269/F16</f>
        <v>0.30868009894951132</v>
      </c>
      <c r="G273" s="212">
        <f>F273</f>
        <v>0.30868009894951132</v>
      </c>
      <c r="H273" s="212">
        <f t="shared" ref="H273:K273" si="191">G273</f>
        <v>0.30868009894951132</v>
      </c>
      <c r="I273" s="212">
        <f t="shared" si="191"/>
        <v>0.30868009894951132</v>
      </c>
      <c r="J273" s="212">
        <f t="shared" si="191"/>
        <v>0.30868009894951132</v>
      </c>
      <c r="K273" s="212">
        <f t="shared" si="191"/>
        <v>0.30868009894951132</v>
      </c>
    </row>
    <row r="275" spans="3:11" x14ac:dyDescent="0.25">
      <c r="C275" s="13" t="s">
        <v>257</v>
      </c>
    </row>
    <row r="276" spans="3:11" x14ac:dyDescent="0.25">
      <c r="C276" s="48" t="s">
        <v>42</v>
      </c>
      <c r="D276" s="49">
        <f t="shared" ref="D276:K276" si="192">D$13</f>
        <v>2023</v>
      </c>
      <c r="E276" s="49">
        <f t="shared" si="192"/>
        <v>2024</v>
      </c>
      <c r="F276" s="49">
        <f t="shared" si="192"/>
        <v>2025</v>
      </c>
      <c r="G276" s="50">
        <f t="shared" si="192"/>
        <v>2026</v>
      </c>
      <c r="H276" s="50">
        <f t="shared" si="192"/>
        <v>2027</v>
      </c>
      <c r="I276" s="50">
        <f t="shared" si="192"/>
        <v>2028</v>
      </c>
      <c r="J276" s="50">
        <f t="shared" si="192"/>
        <v>2029</v>
      </c>
      <c r="K276" s="50">
        <f t="shared" si="192"/>
        <v>2030</v>
      </c>
    </row>
    <row r="277" spans="3:11" x14ac:dyDescent="0.25">
      <c r="C277" s="43" t="s">
        <v>43</v>
      </c>
      <c r="D277" s="260">
        <f t="shared" ref="D277:K277" si="193">D$14</f>
        <v>45291</v>
      </c>
      <c r="E277" s="235">
        <f t="shared" si="193"/>
        <v>45657</v>
      </c>
      <c r="F277" s="235">
        <f t="shared" si="193"/>
        <v>46022</v>
      </c>
      <c r="G277" s="235">
        <f t="shared" si="193"/>
        <v>46387</v>
      </c>
      <c r="H277" s="235">
        <f t="shared" si="193"/>
        <v>46752</v>
      </c>
      <c r="I277" s="235">
        <f t="shared" si="193"/>
        <v>47118</v>
      </c>
      <c r="J277" s="235">
        <f t="shared" si="193"/>
        <v>47483</v>
      </c>
      <c r="K277" s="235">
        <f t="shared" si="193"/>
        <v>47848</v>
      </c>
    </row>
    <row r="279" spans="3:11" x14ac:dyDescent="0.25">
      <c r="C279" s="6" t="s">
        <v>32</v>
      </c>
      <c r="D279" s="19"/>
      <c r="E279" s="19">
        <f>D282</f>
        <v>14799151</v>
      </c>
      <c r="F279" s="19">
        <f t="shared" ref="F279:G279" si="194">E282</f>
        <v>21622722</v>
      </c>
      <c r="G279" s="19">
        <f t="shared" si="194"/>
        <v>22671509</v>
      </c>
      <c r="H279" s="19">
        <f t="shared" ref="H279:K279" si="195">G282</f>
        <v>23775540.960951336</v>
      </c>
      <c r="I279" s="19">
        <f t="shared" si="195"/>
        <v>24933335.843938522</v>
      </c>
      <c r="J279" s="19">
        <f t="shared" si="195"/>
        <v>26147511.73601706</v>
      </c>
      <c r="K279" s="19">
        <f t="shared" si="195"/>
        <v>27420814.216937624</v>
      </c>
    </row>
    <row r="280" spans="3:11" x14ac:dyDescent="0.25">
      <c r="C280" s="6" t="s">
        <v>277</v>
      </c>
      <c r="D280" s="244">
        <v>0</v>
      </c>
      <c r="E280" s="244">
        <f>1392748+4334172</f>
        <v>5726920</v>
      </c>
      <c r="F280" s="244">
        <v>0</v>
      </c>
      <c r="G280" s="268">
        <f>G284*G279</f>
        <v>2493865.9900000002</v>
      </c>
      <c r="H280" s="268">
        <f t="shared" ref="H280:K280" si="196">H284*H279</f>
        <v>2615309.5057046469</v>
      </c>
      <c r="I280" s="268">
        <f t="shared" si="196"/>
        <v>2742666.9428332373</v>
      </c>
      <c r="J280" s="268">
        <f t="shared" si="196"/>
        <v>2876226.2909618765</v>
      </c>
      <c r="K280" s="268">
        <f t="shared" si="196"/>
        <v>3016289.5638631387</v>
      </c>
    </row>
    <row r="281" spans="3:11" x14ac:dyDescent="0.25">
      <c r="C281" s="6" t="s">
        <v>278</v>
      </c>
      <c r="D281" s="244">
        <v>899057</v>
      </c>
      <c r="E281" s="244">
        <v>1096651</v>
      </c>
      <c r="F281" s="244">
        <v>1048787</v>
      </c>
      <c r="G281" s="268">
        <f>G285*G279</f>
        <v>1389834.0290486661</v>
      </c>
      <c r="H281" s="268">
        <f t="shared" ref="H281:K281" si="197">H285*H279</f>
        <v>1457514.6227174641</v>
      </c>
      <c r="I281" s="268">
        <f t="shared" si="197"/>
        <v>1528491.0507546982</v>
      </c>
      <c r="J281" s="268">
        <f t="shared" si="197"/>
        <v>1602923.810041311</v>
      </c>
      <c r="K281" s="268">
        <f t="shared" si="197"/>
        <v>1680981.2131570671</v>
      </c>
    </row>
    <row r="282" spans="3:11" x14ac:dyDescent="0.25">
      <c r="C282" s="6" t="s">
        <v>35</v>
      </c>
      <c r="D282" s="19">
        <f>D84</f>
        <v>14799151</v>
      </c>
      <c r="E282" s="19">
        <f>E84</f>
        <v>21622722</v>
      </c>
      <c r="F282" s="19">
        <f>F84</f>
        <v>22671509</v>
      </c>
      <c r="G282" s="19">
        <f>G279+G280-G281</f>
        <v>23775540.960951336</v>
      </c>
      <c r="H282" s="19">
        <f t="shared" ref="H282:K282" si="198">H279+H280-H281</f>
        <v>24933335.843938522</v>
      </c>
      <c r="I282" s="19">
        <f t="shared" si="198"/>
        <v>26147511.73601706</v>
      </c>
      <c r="J282" s="19">
        <f t="shared" si="198"/>
        <v>27420814.216937624</v>
      </c>
      <c r="K282" s="19">
        <f t="shared" si="198"/>
        <v>28756122.567643695</v>
      </c>
    </row>
    <row r="284" spans="3:11" x14ac:dyDescent="0.25">
      <c r="C284" s="6" t="s">
        <v>279</v>
      </c>
      <c r="D284" s="211"/>
      <c r="E284" s="211">
        <f>E280/E279</f>
        <v>0.38697625289450727</v>
      </c>
      <c r="F284" s="211">
        <f t="shared" ref="F284" si="199">F280/F279</f>
        <v>0</v>
      </c>
      <c r="G284" s="212">
        <v>0.11</v>
      </c>
      <c r="H284" s="212">
        <f>G284</f>
        <v>0.11</v>
      </c>
      <c r="I284" s="212">
        <f t="shared" ref="I284:K285" si="200">H284</f>
        <v>0.11</v>
      </c>
      <c r="J284" s="212">
        <f t="shared" si="200"/>
        <v>0.11</v>
      </c>
      <c r="K284" s="212">
        <f t="shared" si="200"/>
        <v>0.11</v>
      </c>
    </row>
    <row r="285" spans="3:11" x14ac:dyDescent="0.25">
      <c r="C285" s="6" t="s">
        <v>280</v>
      </c>
      <c r="D285" s="211"/>
      <c r="E285" s="211">
        <f>E281/E279</f>
        <v>7.4102291408473367E-2</v>
      </c>
      <c r="F285" s="211">
        <f t="shared" ref="F285" si="201">F281/F279</f>
        <v>4.8503930263729053E-2</v>
      </c>
      <c r="G285" s="212">
        <f>AVERAGE(E285:F285)</f>
        <v>6.130311083610121E-2</v>
      </c>
      <c r="H285" s="212">
        <f>G285</f>
        <v>6.130311083610121E-2</v>
      </c>
      <c r="I285" s="212">
        <f t="shared" si="200"/>
        <v>6.130311083610121E-2</v>
      </c>
      <c r="J285" s="212">
        <f t="shared" si="200"/>
        <v>6.130311083610121E-2</v>
      </c>
      <c r="K285" s="212">
        <f t="shared" si="200"/>
        <v>6.130311083610121E-2</v>
      </c>
    </row>
    <row r="287" spans="3:11" x14ac:dyDescent="0.25">
      <c r="C287" s="13" t="s">
        <v>286</v>
      </c>
    </row>
    <row r="288" spans="3:11" x14ac:dyDescent="0.25">
      <c r="C288" s="48" t="s">
        <v>42</v>
      </c>
      <c r="D288" s="49">
        <f t="shared" ref="D288:K288" si="202">D$13</f>
        <v>2023</v>
      </c>
      <c r="E288" s="49">
        <f t="shared" si="202"/>
        <v>2024</v>
      </c>
      <c r="F288" s="49">
        <f t="shared" si="202"/>
        <v>2025</v>
      </c>
      <c r="G288" s="50">
        <f t="shared" si="202"/>
        <v>2026</v>
      </c>
      <c r="H288" s="50">
        <f t="shared" si="202"/>
        <v>2027</v>
      </c>
      <c r="I288" s="50">
        <f t="shared" si="202"/>
        <v>2028</v>
      </c>
      <c r="J288" s="50">
        <f t="shared" si="202"/>
        <v>2029</v>
      </c>
      <c r="K288" s="50">
        <f t="shared" si="202"/>
        <v>2030</v>
      </c>
    </row>
    <row r="289" spans="3:12" x14ac:dyDescent="0.25">
      <c r="C289" s="43" t="s">
        <v>43</v>
      </c>
      <c r="D289" s="260">
        <f t="shared" ref="D289:K289" si="203">D$14</f>
        <v>45291</v>
      </c>
      <c r="E289" s="235">
        <f t="shared" si="203"/>
        <v>45657</v>
      </c>
      <c r="F289" s="235">
        <f t="shared" si="203"/>
        <v>46022</v>
      </c>
      <c r="G289" s="235">
        <f t="shared" si="203"/>
        <v>46387</v>
      </c>
      <c r="H289" s="235">
        <f t="shared" si="203"/>
        <v>46752</v>
      </c>
      <c r="I289" s="235">
        <f t="shared" si="203"/>
        <v>47118</v>
      </c>
      <c r="J289" s="235">
        <f t="shared" si="203"/>
        <v>47483</v>
      </c>
      <c r="K289" s="235">
        <f t="shared" si="203"/>
        <v>47848</v>
      </c>
    </row>
    <row r="291" spans="3:12" x14ac:dyDescent="0.25">
      <c r="C291" s="13" t="s">
        <v>294</v>
      </c>
      <c r="D291" s="162">
        <f t="shared" ref="D291:K291" si="204">D75 + D79 + D86+D80</f>
        <v>666527</v>
      </c>
      <c r="E291" s="162">
        <f t="shared" si="204"/>
        <v>2645087</v>
      </c>
      <c r="F291" s="162">
        <f t="shared" si="204"/>
        <v>102913329</v>
      </c>
      <c r="G291" s="162">
        <f t="shared" si="204"/>
        <v>132360518.07975098</v>
      </c>
      <c r="H291" s="162">
        <f t="shared" si="204"/>
        <v>130569846.3559369</v>
      </c>
      <c r="I291" s="162">
        <f t="shared" si="204"/>
        <v>103149061.85247727</v>
      </c>
      <c r="J291" s="162">
        <f t="shared" si="204"/>
        <v>103314094.61374521</v>
      </c>
      <c r="K291" s="162">
        <f t="shared" si="204"/>
        <v>103486183.9482536</v>
      </c>
    </row>
    <row r="292" spans="3:12" x14ac:dyDescent="0.25">
      <c r="C292" s="13" t="s">
        <v>287</v>
      </c>
      <c r="D292" s="162">
        <f t="shared" ref="D292:K292" si="205">D291 - D56</f>
        <v>-39322567</v>
      </c>
      <c r="E292" s="162">
        <f t="shared" si="205"/>
        <v>-284157270</v>
      </c>
      <c r="F292" s="162">
        <f t="shared" si="205"/>
        <v>-1836961</v>
      </c>
      <c r="G292" s="162">
        <f t="shared" si="205"/>
        <v>15063676.416751027</v>
      </c>
      <c r="H292" s="162">
        <f t="shared" si="205"/>
        <v>-802616.30662305653</v>
      </c>
      <c r="I292" s="162">
        <f t="shared" si="205"/>
        <v>-48022651.343228623</v>
      </c>
      <c r="J292" s="162">
        <f t="shared" si="205"/>
        <v>-138338833.61825973</v>
      </c>
      <c r="K292" s="162">
        <f t="shared" si="205"/>
        <v>-276641499.11413717</v>
      </c>
    </row>
    <row r="294" spans="3:12" x14ac:dyDescent="0.25">
      <c r="C294" s="13" t="s">
        <v>295</v>
      </c>
    </row>
    <row r="295" spans="3:12" x14ac:dyDescent="0.25">
      <c r="C295" s="17" t="s">
        <v>288</v>
      </c>
      <c r="D295" s="269">
        <f t="shared" ref="D295:K295" si="206">D292/D34</f>
        <v>-0.21592849859472232</v>
      </c>
      <c r="E295" s="269">
        <f t="shared" si="206"/>
        <v>-0.74631178226961903</v>
      </c>
      <c r="F295" s="269">
        <f t="shared" si="206"/>
        <v>-4.5951459974541854E-3</v>
      </c>
      <c r="G295" s="269">
        <f t="shared" si="206"/>
        <v>3.297274605668727E-2</v>
      </c>
      <c r="H295" s="269">
        <f t="shared" si="206"/>
        <v>-1.5913050080760178E-3</v>
      </c>
      <c r="I295" s="269">
        <f t="shared" si="206"/>
        <v>-8.7827228638522964E-2</v>
      </c>
      <c r="J295" s="269">
        <f t="shared" si="206"/>
        <v>-0.23426283743067564</v>
      </c>
      <c r="K295" s="269">
        <f t="shared" si="206"/>
        <v>-0.44194757339660867</v>
      </c>
      <c r="L295" s="6" t="s">
        <v>307</v>
      </c>
    </row>
    <row r="296" spans="3:12" x14ac:dyDescent="0.25">
      <c r="C296" s="17" t="s">
        <v>289</v>
      </c>
      <c r="D296" s="1">
        <f t="shared" ref="D296:K296" si="207" xml:space="preserve"> D291/ D69</f>
        <v>3.6930668870553901E-4</v>
      </c>
      <c r="E296" s="1">
        <f t="shared" si="207"/>
        <v>8.4857695604603333E-4</v>
      </c>
      <c r="F296" s="1">
        <f t="shared" si="207"/>
        <v>3.298515130723037E-2</v>
      </c>
      <c r="G296" s="1">
        <f t="shared" si="207"/>
        <v>3.8870566068473035E-2</v>
      </c>
      <c r="H296" s="1">
        <f t="shared" si="207"/>
        <v>3.5499681897789119E-2</v>
      </c>
      <c r="I296" s="1">
        <f t="shared" si="207"/>
        <v>2.6166491449983835E-2</v>
      </c>
      <c r="J296" s="1">
        <f t="shared" si="207"/>
        <v>2.4300821009685222E-2</v>
      </c>
      <c r="K296" s="1">
        <f t="shared" si="207"/>
        <v>2.2627351330538961E-2</v>
      </c>
      <c r="L296" s="6" t="s">
        <v>307</v>
      </c>
    </row>
    <row r="297" spans="3:12" x14ac:dyDescent="0.25">
      <c r="C297" s="17" t="s">
        <v>290</v>
      </c>
      <c r="D297" s="269">
        <f t="shared" ref="D297:K297" si="208">D292/D97</f>
        <v>-9.5669391417608093E-2</v>
      </c>
      <c r="E297" s="269">
        <f t="shared" si="208"/>
        <v>-0.66869084864202422</v>
      </c>
      <c r="F297" s="269">
        <f t="shared" si="208"/>
        <v>-5.5057443621546803E-3</v>
      </c>
      <c r="G297" s="269">
        <f t="shared" si="208"/>
        <v>2.7210129135025411E-2</v>
      </c>
      <c r="H297" s="269">
        <f t="shared" si="208"/>
        <v>-1.0096833269157201E-3</v>
      </c>
      <c r="I297" s="269">
        <f t="shared" si="208"/>
        <v>-4.5530990612788237E-2</v>
      </c>
      <c r="J297" s="269">
        <f t="shared" si="208"/>
        <v>-0.103584333333993</v>
      </c>
      <c r="K297" s="269">
        <f t="shared" si="208"/>
        <v>-0.16937579416872311</v>
      </c>
      <c r="L297" s="6" t="s">
        <v>307</v>
      </c>
    </row>
    <row r="298" spans="3:12" x14ac:dyDescent="0.25">
      <c r="C298" s="17"/>
      <c r="D298" s="269"/>
      <c r="E298" s="269"/>
      <c r="F298" s="269"/>
      <c r="G298" s="269"/>
      <c r="H298" s="269"/>
      <c r="I298" s="269"/>
      <c r="J298" s="269"/>
      <c r="K298" s="269"/>
    </row>
    <row r="299" spans="3:12" x14ac:dyDescent="0.25">
      <c r="C299" s="13" t="s">
        <v>296</v>
      </c>
      <c r="D299" s="1"/>
      <c r="E299" s="1"/>
      <c r="F299" s="1"/>
      <c r="G299" s="1"/>
      <c r="H299" s="1"/>
      <c r="I299" s="1"/>
      <c r="J299" s="1"/>
      <c r="K299" s="1"/>
    </row>
    <row r="300" spans="3:12" x14ac:dyDescent="0.25">
      <c r="C300" s="17" t="s">
        <v>301</v>
      </c>
      <c r="D300" s="269">
        <f t="shared" ref="D300:K300" si="209">D23/ABS(D28)</f>
        <v>43.646272915512931</v>
      </c>
      <c r="E300" s="269">
        <f t="shared" si="209"/>
        <v>69.062139074572443</v>
      </c>
      <c r="F300" s="269">
        <f t="shared" si="209"/>
        <v>60.114135699581482</v>
      </c>
      <c r="G300" s="269">
        <f t="shared" si="209"/>
        <v>67.041013734978748</v>
      </c>
      <c r="H300" s="269">
        <f t="shared" si="209"/>
        <v>71.876792675225701</v>
      </c>
      <c r="I300" s="269">
        <f t="shared" si="209"/>
        <v>75.684630154587666</v>
      </c>
      <c r="J300" s="269">
        <f t="shared" si="209"/>
        <v>80.036496388476451</v>
      </c>
      <c r="K300" s="269">
        <f t="shared" si="209"/>
        <v>83.107284413177169</v>
      </c>
      <c r="L300" s="6" t="s">
        <v>308</v>
      </c>
    </row>
    <row r="301" spans="3:12" x14ac:dyDescent="0.25">
      <c r="C301" s="17"/>
      <c r="D301" s="269"/>
      <c r="E301" s="269"/>
      <c r="F301" s="269"/>
      <c r="G301" s="269"/>
      <c r="H301" s="269"/>
      <c r="I301" s="269"/>
      <c r="J301" s="269"/>
      <c r="K301" s="269"/>
    </row>
    <row r="302" spans="3:12" x14ac:dyDescent="0.25">
      <c r="C302" s="13" t="s">
        <v>297</v>
      </c>
      <c r="D302" s="6"/>
    </row>
    <row r="303" spans="3:12" x14ac:dyDescent="0.25">
      <c r="C303" s="17" t="s">
        <v>291</v>
      </c>
      <c r="D303" s="269">
        <f t="shared" ref="D303:K303" si="210">D57/D81</f>
        <v>5.77411542971761</v>
      </c>
      <c r="E303" s="269">
        <f t="shared" si="210"/>
        <v>5.3226126935625597</v>
      </c>
      <c r="F303" s="269">
        <f t="shared" si="210"/>
        <v>3.3913703598340623</v>
      </c>
      <c r="G303" s="269">
        <f t="shared" si="210"/>
        <v>3.3074457383168001</v>
      </c>
      <c r="H303" s="269">
        <f t="shared" si="210"/>
        <v>3.4606490144925535</v>
      </c>
      <c r="I303" s="269">
        <f t="shared" si="210"/>
        <v>3.8044943846366581</v>
      </c>
      <c r="J303" s="269">
        <f t="shared" si="210"/>
        <v>4.0520093723822015</v>
      </c>
      <c r="K303" s="269">
        <f t="shared" si="210"/>
        <v>4.3649928560117939</v>
      </c>
      <c r="L303" s="6" t="s">
        <v>308</v>
      </c>
    </row>
    <row r="304" spans="3:12" x14ac:dyDescent="0.25">
      <c r="C304" s="17" t="s">
        <v>292</v>
      </c>
      <c r="D304" s="269">
        <f t="shared" ref="D304:K304" si="211">(D57-D51)/D81</f>
        <v>3.500929243248466</v>
      </c>
      <c r="E304" s="269">
        <f t="shared" si="211"/>
        <v>2.6070767661500693</v>
      </c>
      <c r="F304" s="269">
        <f t="shared" si="211"/>
        <v>1.3164074461059094</v>
      </c>
      <c r="G304" s="269">
        <f t="shared" si="211"/>
        <v>1.2617076774749638</v>
      </c>
      <c r="H304" s="269">
        <f t="shared" si="211"/>
        <v>1.3067526724357721</v>
      </c>
      <c r="I304" s="269">
        <f t="shared" si="211"/>
        <v>1.4344098767492668</v>
      </c>
      <c r="J304" s="269">
        <f t="shared" si="211"/>
        <v>1.6205264434263638</v>
      </c>
      <c r="K304" s="269">
        <f t="shared" si="211"/>
        <v>1.8881340594823481</v>
      </c>
      <c r="L304" s="6" t="s">
        <v>308</v>
      </c>
    </row>
    <row r="305" spans="3:12" x14ac:dyDescent="0.25">
      <c r="C305" s="17"/>
      <c r="D305" s="269"/>
      <c r="E305" s="269"/>
      <c r="F305" s="269"/>
      <c r="G305" s="269"/>
      <c r="H305" s="269"/>
      <c r="I305" s="269"/>
      <c r="J305" s="269"/>
      <c r="K305" s="269"/>
    </row>
    <row r="306" spans="3:12" x14ac:dyDescent="0.25">
      <c r="C306" s="13" t="s">
        <v>298</v>
      </c>
      <c r="D306" s="269"/>
      <c r="E306" s="269"/>
      <c r="F306" s="269"/>
      <c r="G306" s="269"/>
      <c r="H306" s="269"/>
      <c r="I306" s="269"/>
      <c r="J306" s="269"/>
      <c r="K306" s="269"/>
    </row>
    <row r="307" spans="3:12" x14ac:dyDescent="0.25">
      <c r="C307" s="17" t="s">
        <v>299</v>
      </c>
      <c r="D307" s="211">
        <f t="shared" ref="D307:K307" si="212">D31/D69</f>
        <v>7.8662585664128565E-2</v>
      </c>
      <c r="E307" s="211">
        <f t="shared" si="212"/>
        <v>9.2230767453665444E-2</v>
      </c>
      <c r="F307" s="211">
        <f t="shared" si="212"/>
        <v>8.3312091515725592E-2</v>
      </c>
      <c r="G307" s="211">
        <f t="shared" si="212"/>
        <v>8.074547040408861E-2</v>
      </c>
      <c r="H307" s="211">
        <f t="shared" si="212"/>
        <v>8.2011163610444374E-2</v>
      </c>
      <c r="I307" s="211">
        <f t="shared" si="212"/>
        <v>8.2383231137708693E-2</v>
      </c>
      <c r="J307" s="211">
        <f t="shared" si="212"/>
        <v>8.2558122376208298E-2</v>
      </c>
      <c r="K307" s="211">
        <f t="shared" si="212"/>
        <v>8.1387673353890869E-2</v>
      </c>
      <c r="L307" s="6" t="s">
        <v>308</v>
      </c>
    </row>
    <row r="308" spans="3:12" x14ac:dyDescent="0.25">
      <c r="C308" s="17" t="s">
        <v>300</v>
      </c>
      <c r="D308" s="211">
        <f t="shared" ref="D308:K308" si="213">D31/D98</f>
        <v>8.9894646776820658E-2</v>
      </c>
      <c r="E308" s="211">
        <f t="shared" si="213"/>
        <v>0.1045367050808837</v>
      </c>
      <c r="F308" s="211">
        <f t="shared" si="213"/>
        <v>9.7801197704850074E-2</v>
      </c>
      <c r="G308" s="211">
        <f t="shared" si="213"/>
        <v>9.5544549554126598E-2</v>
      </c>
      <c r="H308" s="211">
        <f t="shared" si="213"/>
        <v>9.6709731002251012E-2</v>
      </c>
      <c r="I308" s="211">
        <f t="shared" si="213"/>
        <v>9.6114739341206179E-2</v>
      </c>
      <c r="J308" s="211">
        <f t="shared" si="213"/>
        <v>9.5909101100631416E-2</v>
      </c>
      <c r="K308" s="211">
        <f t="shared" si="213"/>
        <v>9.4057792222588713E-2</v>
      </c>
      <c r="L308" s="6" t="s">
        <v>308</v>
      </c>
    </row>
    <row r="309" spans="3:12" x14ac:dyDescent="0.25">
      <c r="C309" s="17"/>
      <c r="D309" s="211"/>
      <c r="E309" s="211"/>
      <c r="F309" s="211"/>
      <c r="G309" s="211"/>
      <c r="H309" s="211"/>
      <c r="I309" s="211"/>
      <c r="J309" s="211"/>
      <c r="K309" s="211"/>
    </row>
    <row r="310" spans="3:12" x14ac:dyDescent="0.25">
      <c r="C310" s="13" t="s">
        <v>309</v>
      </c>
      <c r="D310" s="269"/>
      <c r="E310" s="269"/>
      <c r="F310" s="269"/>
      <c r="G310" s="269"/>
      <c r="H310" s="269"/>
      <c r="I310" s="269"/>
      <c r="J310" s="269"/>
      <c r="K310" s="269"/>
    </row>
    <row r="311" spans="3:12" x14ac:dyDescent="0.25">
      <c r="C311" s="17" t="s">
        <v>302</v>
      </c>
      <c r="D311" s="211">
        <f t="shared" ref="D311:K311" si="214">D31/D16</f>
        <v>0.24328388410614471</v>
      </c>
      <c r="E311" s="211">
        <f t="shared" si="214"/>
        <v>0.29712452854104449</v>
      </c>
      <c r="F311" s="211">
        <f t="shared" si="214"/>
        <v>0.22935869819746624</v>
      </c>
      <c r="G311" s="211">
        <f t="shared" si="214"/>
        <v>0.21096574959993467</v>
      </c>
      <c r="H311" s="211">
        <f t="shared" si="214"/>
        <v>0.20664722316693837</v>
      </c>
      <c r="I311" s="211">
        <f t="shared" si="214"/>
        <v>0.2022572476466229</v>
      </c>
      <c r="J311" s="211">
        <f t="shared" si="214"/>
        <v>0.20240449934987922</v>
      </c>
      <c r="K311" s="211">
        <f t="shared" si="214"/>
        <v>0.20249912376952711</v>
      </c>
      <c r="L311" s="6" t="s">
        <v>308</v>
      </c>
    </row>
    <row r="312" spans="3:12" x14ac:dyDescent="0.25">
      <c r="C312" s="17" t="s">
        <v>303</v>
      </c>
      <c r="D312" s="269">
        <f t="shared" ref="D312:K312" si="215">D16/D69</f>
        <v>0.32333660716222407</v>
      </c>
      <c r="E312" s="269">
        <f t="shared" si="215"/>
        <v>0.31041115288105459</v>
      </c>
      <c r="F312" s="269">
        <f t="shared" si="215"/>
        <v>0.36323929360637591</v>
      </c>
      <c r="G312" s="269">
        <f t="shared" si="215"/>
        <v>0.38274208281301797</v>
      </c>
      <c r="H312" s="269">
        <f t="shared" si="215"/>
        <v>0.39686554870467472</v>
      </c>
      <c r="I312" s="269">
        <f t="shared" si="215"/>
        <v>0.40731905578803246</v>
      </c>
      <c r="J312" s="269">
        <f t="shared" si="215"/>
        <v>0.40788679422336943</v>
      </c>
      <c r="K312" s="269">
        <f t="shared" si="215"/>
        <v>0.40191617543254976</v>
      </c>
      <c r="L312" s="6" t="s">
        <v>308</v>
      </c>
    </row>
    <row r="313" spans="3:12" x14ac:dyDescent="0.25">
      <c r="C313" s="17" t="s">
        <v>304</v>
      </c>
      <c r="D313" s="269">
        <f t="shared" ref="D313:K313" si="216">D69/D98</f>
        <v>1.142787845299803</v>
      </c>
      <c r="E313" s="269">
        <f t="shared" si="216"/>
        <v>1.1334255147925605</v>
      </c>
      <c r="F313" s="269">
        <f t="shared" si="216"/>
        <v>1.1739136051624581</v>
      </c>
      <c r="G313" s="269">
        <f t="shared" si="216"/>
        <v>1.1832806109863052</v>
      </c>
      <c r="H313" s="269">
        <f t="shared" si="216"/>
        <v>1.1792264216811421</v>
      </c>
      <c r="I313" s="269">
        <f t="shared" si="216"/>
        <v>1.1666784370297933</v>
      </c>
      <c r="J313" s="269">
        <f t="shared" si="216"/>
        <v>1.1617161139346674</v>
      </c>
      <c r="K313" s="269">
        <f t="shared" si="216"/>
        <v>1.1556761404593234</v>
      </c>
    </row>
    <row r="314" spans="3:12" x14ac:dyDescent="0.25">
      <c r="C314" s="17" t="s">
        <v>305</v>
      </c>
      <c r="D314" s="211">
        <f>D311*D312*D313</f>
        <v>8.9894646776820658E-2</v>
      </c>
      <c r="E314" s="211">
        <f t="shared" ref="E314:K314" si="217">E311*E312*E313</f>
        <v>0.10453670508088367</v>
      </c>
      <c r="F314" s="211">
        <f t="shared" si="217"/>
        <v>9.7801197704850087E-2</v>
      </c>
      <c r="G314" s="211">
        <f t="shared" si="217"/>
        <v>9.5544549554126598E-2</v>
      </c>
      <c r="H314" s="211">
        <f t="shared" si="217"/>
        <v>9.6709731002250998E-2</v>
      </c>
      <c r="I314" s="211">
        <f t="shared" si="217"/>
        <v>9.6114739341206179E-2</v>
      </c>
      <c r="J314" s="211">
        <f t="shared" si="217"/>
        <v>9.5909101100631416E-2</v>
      </c>
      <c r="K314" s="211">
        <f t="shared" si="217"/>
        <v>9.4057792222588713E-2</v>
      </c>
    </row>
    <row r="315" spans="3:12" x14ac:dyDescent="0.25">
      <c r="C315" s="6" t="s">
        <v>306</v>
      </c>
      <c r="D315" s="188">
        <f t="shared" ref="D315:K315" si="218">D314-D308</f>
        <v>0</v>
      </c>
      <c r="E315" s="188">
        <f t="shared" si="218"/>
        <v>0</v>
      </c>
      <c r="F315" s="188">
        <f t="shared" si="218"/>
        <v>0</v>
      </c>
      <c r="G315" s="188">
        <f t="shared" si="218"/>
        <v>0</v>
      </c>
      <c r="H315" s="188">
        <f t="shared" si="218"/>
        <v>0</v>
      </c>
      <c r="I315" s="188">
        <f t="shared" si="218"/>
        <v>0</v>
      </c>
      <c r="J315" s="188">
        <f t="shared" si="218"/>
        <v>0</v>
      </c>
      <c r="K315" s="188">
        <f t="shared" si="218"/>
        <v>0</v>
      </c>
    </row>
    <row r="316" spans="3:12" x14ac:dyDescent="0.25">
      <c r="D316" s="269"/>
      <c r="E316" s="269"/>
      <c r="F316" s="269"/>
      <c r="G316" s="269"/>
      <c r="H316" s="269"/>
      <c r="I316" s="269"/>
      <c r="J316" s="269"/>
      <c r="K316" s="269"/>
    </row>
    <row r="317" spans="3:12" x14ac:dyDescent="0.25">
      <c r="C317" s="6" t="s">
        <v>293</v>
      </c>
      <c r="D317" s="28" t="str">
        <f t="shared" ref="D317:K317" si="219">IF(AND(D295&lt;1.5, D304&gt;1), "Strong", IF(D295&lt;3, "Adequate", "Elevated"))</f>
        <v>Strong</v>
      </c>
      <c r="E317" s="28" t="str">
        <f t="shared" si="219"/>
        <v>Strong</v>
      </c>
      <c r="F317" s="28" t="str">
        <f t="shared" si="219"/>
        <v>Strong</v>
      </c>
      <c r="G317" s="28" t="str">
        <f t="shared" si="219"/>
        <v>Strong</v>
      </c>
      <c r="H317" s="28" t="str">
        <f t="shared" si="219"/>
        <v>Strong</v>
      </c>
      <c r="I317" s="28" t="str">
        <f t="shared" si="219"/>
        <v>Strong</v>
      </c>
      <c r="J317" s="28" t="str">
        <f t="shared" si="219"/>
        <v>Strong</v>
      </c>
      <c r="K317" s="28" t="str">
        <f t="shared" si="219"/>
        <v>Strong</v>
      </c>
    </row>
  </sheetData>
  <conditionalFormatting sqref="C42">
    <cfRule type="expression" dxfId="2" priority="1">
      <formula>#REF!=$C42</formula>
    </cfRule>
  </conditionalFormatting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BFB8B-B60E-497E-A730-4D15A5E1DAC7}">
  <dimension ref="B1:Q132"/>
  <sheetViews>
    <sheetView showGridLines="0" zoomScaleNormal="100" workbookViewId="0">
      <selection activeCell="H7" sqref="H7"/>
    </sheetView>
  </sheetViews>
  <sheetFormatPr defaultColWidth="9.140625" defaultRowHeight="15" x14ac:dyDescent="0.25"/>
  <cols>
    <col min="1" max="1" width="1.42578125" style="51" customWidth="1"/>
    <col min="2" max="2" width="54.42578125" style="51" customWidth="1"/>
    <col min="3" max="3" width="16.7109375" style="51" customWidth="1"/>
    <col min="4" max="4" width="15.5703125" style="51" bestFit="1" customWidth="1"/>
    <col min="5" max="9" width="16.42578125" style="51" customWidth="1"/>
    <col min="10" max="10" width="1.7109375" style="51" customWidth="1"/>
    <col min="11" max="11" width="12.140625" style="51" bestFit="1" customWidth="1"/>
    <col min="12" max="16" width="9.42578125" style="51" customWidth="1"/>
    <col min="17" max="16384" width="9.140625" style="51"/>
  </cols>
  <sheetData>
    <row r="1" spans="2:10" ht="15.75" thickBot="1" x14ac:dyDescent="0.3"/>
    <row r="2" spans="2:10" ht="15.75" thickBot="1" x14ac:dyDescent="0.3">
      <c r="B2" s="52" t="s">
        <v>46</v>
      </c>
      <c r="C2" s="53"/>
      <c r="D2" s="53"/>
      <c r="E2" s="53"/>
      <c r="F2" s="53"/>
      <c r="G2" s="53"/>
      <c r="H2" s="53"/>
      <c r="I2" s="53"/>
    </row>
    <row r="3" spans="2:10" x14ac:dyDescent="0.25">
      <c r="B3" s="187" t="str">
        <f>FSM!C3</f>
        <v>All amounts are shown in Saudi riyal, except per-share data, ratios, and shares outstanding</v>
      </c>
    </row>
    <row r="4" spans="2:10" x14ac:dyDescent="0.25">
      <c r="B4" s="51" t="s">
        <v>47</v>
      </c>
      <c r="C4" s="55"/>
      <c r="D4" s="55">
        <v>46022</v>
      </c>
      <c r="F4" s="51" t="s">
        <v>48</v>
      </c>
      <c r="H4" s="56">
        <f>+WACC!E21</f>
        <v>6.5478507453584453E-2</v>
      </c>
      <c r="I4" s="51" t="s">
        <v>49</v>
      </c>
    </row>
    <row r="5" spans="2:10" x14ac:dyDescent="0.25">
      <c r="B5" s="51" t="s">
        <v>50</v>
      </c>
      <c r="C5" s="57"/>
      <c r="D5" s="57">
        <f>EOMONTH(D4,12)</f>
        <v>46387</v>
      </c>
      <c r="F5" s="51" t="s">
        <v>51</v>
      </c>
      <c r="H5" s="254">
        <v>44.04</v>
      </c>
    </row>
    <row r="6" spans="2:10" x14ac:dyDescent="0.25">
      <c r="B6" s="51" t="s">
        <v>52</v>
      </c>
      <c r="C6" s="55"/>
      <c r="D6" s="55">
        <v>46022</v>
      </c>
      <c r="F6" s="51" t="s">
        <v>53</v>
      </c>
      <c r="H6" s="58">
        <v>46184</v>
      </c>
      <c r="J6" s="59"/>
    </row>
    <row r="7" spans="2:10" x14ac:dyDescent="0.25">
      <c r="B7" s="51" t="s">
        <v>54</v>
      </c>
      <c r="C7" s="55"/>
      <c r="D7" s="55">
        <v>46186</v>
      </c>
      <c r="E7" s="59"/>
      <c r="F7" s="217" t="s">
        <v>150</v>
      </c>
      <c r="G7" s="59"/>
      <c r="H7" s="254">
        <f>C73</f>
        <v>51.886259583744135</v>
      </c>
    </row>
    <row r="8" spans="2:10" x14ac:dyDescent="0.25">
      <c r="B8" s="51" t="s">
        <v>55</v>
      </c>
      <c r="C8" s="138"/>
      <c r="D8" s="138">
        <f>YEARFRAC(D7,D5)</f>
        <v>0.55000000000000004</v>
      </c>
      <c r="F8" s="217" t="s">
        <v>151</v>
      </c>
      <c r="H8" s="211">
        <f>H7/H5-1</f>
        <v>0.17816211588883135</v>
      </c>
    </row>
    <row r="9" spans="2:10" x14ac:dyDescent="0.25">
      <c r="D9" s="61"/>
      <c r="F9" t="s">
        <v>182</v>
      </c>
      <c r="G9"/>
      <c r="H9" s="255">
        <v>1</v>
      </c>
    </row>
    <row r="10" spans="2:10" x14ac:dyDescent="0.25">
      <c r="B10" s="62" t="s">
        <v>56</v>
      </c>
      <c r="C10" s="63"/>
      <c r="D10" s="64"/>
      <c r="F10" s="63"/>
      <c r="G10" s="63"/>
      <c r="H10" s="63"/>
      <c r="I10" s="63"/>
    </row>
    <row r="11" spans="2:10" ht="17.25" customHeight="1" x14ac:dyDescent="0.4">
      <c r="C11" s="65" t="s">
        <v>57</v>
      </c>
      <c r="D11" s="65" t="s">
        <v>58</v>
      </c>
      <c r="E11" s="66" t="s">
        <v>59</v>
      </c>
      <c r="F11" s="65"/>
      <c r="G11" s="65"/>
      <c r="H11" s="65"/>
      <c r="I11" s="65"/>
    </row>
    <row r="12" spans="2:10" x14ac:dyDescent="0.25">
      <c r="B12" s="67" t="s">
        <v>60</v>
      </c>
      <c r="C12" s="68">
        <f>D7</f>
        <v>46186</v>
      </c>
      <c r="D12" s="236">
        <f>D4</f>
        <v>46022</v>
      </c>
      <c r="E12" s="236">
        <f>EOMONTH(D12,12)</f>
        <v>46387</v>
      </c>
      <c r="F12" s="236">
        <f>EOMONTH(E12,12)</f>
        <v>46752</v>
      </c>
      <c r="G12" s="236">
        <f t="shared" ref="G12:I12" si="0">EOMONTH(F12,12)</f>
        <v>47118</v>
      </c>
      <c r="H12" s="236">
        <f t="shared" si="0"/>
        <v>47483</v>
      </c>
      <c r="I12" s="236">
        <f t="shared" si="0"/>
        <v>47848</v>
      </c>
    </row>
    <row r="13" spans="2:10" x14ac:dyDescent="0.25">
      <c r="B13" s="67"/>
      <c r="D13" s="179"/>
      <c r="E13" s="186"/>
      <c r="F13" s="186"/>
      <c r="G13" s="186"/>
      <c r="H13" s="186"/>
      <c r="I13" s="185"/>
    </row>
    <row r="14" spans="2:10" x14ac:dyDescent="0.25">
      <c r="B14" s="51" t="s">
        <v>61</v>
      </c>
      <c r="C14" s="158">
        <f>E14*(1-$D$8)+D14*$D$8</f>
        <v>1209800758.2149999</v>
      </c>
      <c r="D14" s="180">
        <f>FSM!F16</f>
        <v>1133302818</v>
      </c>
      <c r="E14" s="180">
        <f>FSM!G16</f>
        <v>1303298240.6999998</v>
      </c>
      <c r="F14" s="180">
        <f>FSM!H16</f>
        <v>1459694029.5839999</v>
      </c>
      <c r="G14" s="180">
        <f>FSM!I16</f>
        <v>1605663432.5423999</v>
      </c>
      <c r="H14" s="180">
        <f>FSM!J16</f>
        <v>1734116507.145792</v>
      </c>
      <c r="I14" s="180">
        <f>FSM!K16</f>
        <v>1838163497.5745397</v>
      </c>
    </row>
    <row r="15" spans="2:10" x14ac:dyDescent="0.25">
      <c r="B15" s="71" t="s">
        <v>40</v>
      </c>
      <c r="C15"/>
      <c r="D15" s="181"/>
      <c r="E15" s="181">
        <f>E14/D14-1</f>
        <v>0.14999999999999991</v>
      </c>
      <c r="F15" s="181">
        <f t="shared" ref="F15:I15" si="1">F14/E14-1</f>
        <v>0.12000000000000011</v>
      </c>
      <c r="G15" s="181">
        <f t="shared" si="1"/>
        <v>0.10000000000000009</v>
      </c>
      <c r="H15" s="181">
        <f t="shared" si="1"/>
        <v>8.0000000000000071E-2</v>
      </c>
      <c r="I15" s="181">
        <f t="shared" si="1"/>
        <v>6.0000000000000053E-2</v>
      </c>
    </row>
    <row r="16" spans="2:10" x14ac:dyDescent="0.25">
      <c r="B16" s="51" t="s">
        <v>24</v>
      </c>
      <c r="C16" s="158">
        <f>E16*(1-$D$8)+D16*$D$8</f>
        <v>425452206.71427166</v>
      </c>
      <c r="D16" s="180">
        <f>FSM!F34</f>
        <v>399761183</v>
      </c>
      <c r="E16" s="180">
        <f>FSM!G34</f>
        <v>456852346.80949271</v>
      </c>
      <c r="F16" s="180">
        <f>FSM!H34</f>
        <v>504376158.27871192</v>
      </c>
      <c r="G16" s="180">
        <f>FSM!I34</f>
        <v>546785456.94387114</v>
      </c>
      <c r="H16" s="180">
        <f>FSM!J34</f>
        <v>590528293.49938071</v>
      </c>
      <c r="I16" s="180">
        <f>FSM!K34</f>
        <v>625959991.10934365</v>
      </c>
    </row>
    <row r="17" spans="2:13" x14ac:dyDescent="0.25">
      <c r="B17" s="71" t="s">
        <v>62</v>
      </c>
      <c r="C17"/>
      <c r="D17" s="181">
        <f>D16/D14</f>
        <v>0.35273995321522267</v>
      </c>
      <c r="E17" s="181">
        <f t="shared" ref="E17:I17" si="2">E16/E14</f>
        <v>0.35053553556867989</v>
      </c>
      <c r="F17" s="181">
        <f t="shared" si="2"/>
        <v>0.34553553556867994</v>
      </c>
      <c r="G17" s="181">
        <f t="shared" si="2"/>
        <v>0.34053553556867994</v>
      </c>
      <c r="H17" s="181">
        <f t="shared" si="2"/>
        <v>0.34053553556867983</v>
      </c>
      <c r="I17" s="181">
        <f t="shared" si="2"/>
        <v>0.34053553556867988</v>
      </c>
    </row>
    <row r="18" spans="2:13" x14ac:dyDescent="0.25">
      <c r="B18" s="51" t="s">
        <v>63</v>
      </c>
      <c r="C18" s="158">
        <f>E18*(1-$D$8)+D18*$D$8</f>
        <v>283428831.77797496</v>
      </c>
      <c r="D18" s="180">
        <f>FSM!F23</f>
        <v>266960745</v>
      </c>
      <c r="E18" s="180">
        <f>FSM!G23</f>
        <v>303556493.39549994</v>
      </c>
      <c r="F18" s="180">
        <f>FSM!H23</f>
        <v>332684802.45503998</v>
      </c>
      <c r="G18" s="180">
        <f>FSM!I23</f>
        <v>357924965.53783202</v>
      </c>
      <c r="H18" s="180">
        <f>FSM!J23</f>
        <v>386558962.78085852</v>
      </c>
      <c r="I18" s="180">
        <f>FSM!K23</f>
        <v>409752500.54771006</v>
      </c>
    </row>
    <row r="19" spans="2:13" x14ac:dyDescent="0.25">
      <c r="B19" s="71" t="s">
        <v>62</v>
      </c>
      <c r="D19" s="181">
        <f>D18/D14</f>
        <v>0.23555994105010689</v>
      </c>
      <c r="E19" s="181">
        <f t="shared" ref="E19:I19" si="3">E18/E14</f>
        <v>0.23291406672386833</v>
      </c>
      <c r="F19" s="181">
        <f t="shared" si="3"/>
        <v>0.22791406672386832</v>
      </c>
      <c r="G19" s="181">
        <f t="shared" si="3"/>
        <v>0.22291406672386835</v>
      </c>
      <c r="H19" s="181">
        <f t="shared" si="3"/>
        <v>0.22291406672386829</v>
      </c>
      <c r="I19" s="181">
        <f t="shared" si="3"/>
        <v>0.22291406672386829</v>
      </c>
    </row>
    <row r="20" spans="2:13" x14ac:dyDescent="0.25">
      <c r="B20" s="71"/>
      <c r="D20" s="180"/>
      <c r="E20" s="180"/>
      <c r="F20" s="180"/>
      <c r="G20" s="180"/>
      <c r="H20" s="180"/>
      <c r="I20" s="180"/>
    </row>
    <row r="21" spans="2:13" x14ac:dyDescent="0.25">
      <c r="B21" s="51" t="s">
        <v>64</v>
      </c>
      <c r="D21" s="182">
        <f>D18*D22</f>
        <v>21495233.124404006</v>
      </c>
      <c r="E21" s="182">
        <f t="shared" ref="E21:I21" si="4">E18*E22</f>
        <v>24441861.637608469</v>
      </c>
      <c r="F21" s="182">
        <f t="shared" si="4"/>
        <v>26787224.412777912</v>
      </c>
      <c r="G21" s="182">
        <f t="shared" si="4"/>
        <v>28819520.170577776</v>
      </c>
      <c r="H21" s="182">
        <f t="shared" si="4"/>
        <v>31125081.784223989</v>
      </c>
      <c r="I21" s="182">
        <f t="shared" si="4"/>
        <v>32992586.691277433</v>
      </c>
    </row>
    <row r="22" spans="2:13" ht="15" customHeight="1" x14ac:dyDescent="0.25">
      <c r="B22" s="71" t="s">
        <v>26</v>
      </c>
      <c r="D22" s="183">
        <f>-FSM!F43</f>
        <v>8.0518329106416028E-2</v>
      </c>
      <c r="E22" s="183">
        <f>-FSM!G43</f>
        <v>8.0518329106416028E-2</v>
      </c>
      <c r="F22" s="183">
        <f>-FSM!H43</f>
        <v>8.0518329106416028E-2</v>
      </c>
      <c r="G22" s="183">
        <f>-FSM!I43</f>
        <v>8.0518329106416028E-2</v>
      </c>
      <c r="H22" s="183">
        <f>-FSM!J43</f>
        <v>8.0518329106416028E-2</v>
      </c>
      <c r="I22" s="183">
        <f>-FSM!K43</f>
        <v>8.0518329106416028E-2</v>
      </c>
    </row>
    <row r="23" spans="2:13" x14ac:dyDescent="0.25">
      <c r="B23" s="72" t="s">
        <v>65</v>
      </c>
      <c r="C23" s="72"/>
      <c r="D23" s="184">
        <f>D18*(1-D22)</f>
        <v>245465511.87559602</v>
      </c>
      <c r="E23" s="184">
        <f t="shared" ref="E23:I23" si="5">E18*(1-E22)</f>
        <v>279114631.75789148</v>
      </c>
      <c r="F23" s="184">
        <f t="shared" si="5"/>
        <v>305897578.04226208</v>
      </c>
      <c r="G23" s="184">
        <f t="shared" si="5"/>
        <v>329105445.36725426</v>
      </c>
      <c r="H23" s="184">
        <f t="shared" si="5"/>
        <v>355433880.99663454</v>
      </c>
      <c r="I23" s="184">
        <f t="shared" si="5"/>
        <v>376759913.85643262</v>
      </c>
    </row>
    <row r="24" spans="2:13" x14ac:dyDescent="0.25">
      <c r="D24" s="69"/>
      <c r="E24" s="69"/>
      <c r="F24" s="69"/>
      <c r="G24" s="69"/>
      <c r="H24" s="69"/>
      <c r="I24" s="69"/>
    </row>
    <row r="25" spans="2:13" x14ac:dyDescent="0.25">
      <c r="B25" s="51" t="s">
        <v>23</v>
      </c>
      <c r="D25" s="70"/>
      <c r="E25" s="70">
        <f>FSM!G163</f>
        <v>153295853.41399273</v>
      </c>
      <c r="F25" s="70">
        <f>FSM!H163</f>
        <v>171691355.82367191</v>
      </c>
      <c r="G25" s="70">
        <f>FSM!I163</f>
        <v>188860491.40603909</v>
      </c>
      <c r="H25" s="70">
        <f>FSM!J163</f>
        <v>203969330.71852222</v>
      </c>
      <c r="I25" s="70">
        <f>FSM!K163</f>
        <v>216207490.56163359</v>
      </c>
      <c r="M25" s="74"/>
    </row>
    <row r="26" spans="2:13" x14ac:dyDescent="0.25">
      <c r="B26" s="51" t="s">
        <v>66</v>
      </c>
      <c r="D26" s="69"/>
      <c r="E26" s="69">
        <f>D32-E32</f>
        <v>-127696372.04999995</v>
      </c>
      <c r="F26" s="69">
        <f t="shared" ref="F26:I26" si="6">E32-F32</f>
        <v>-117480662.28600001</v>
      </c>
      <c r="G26" s="69">
        <f t="shared" si="6"/>
        <v>-109648618.1336</v>
      </c>
      <c r="H26" s="69">
        <f t="shared" si="6"/>
        <v>-96490783.957568169</v>
      </c>
      <c r="I26" s="69">
        <f t="shared" si="6"/>
        <v>-78157535.005630016</v>
      </c>
      <c r="M26" s="74"/>
    </row>
    <row r="27" spans="2:13" x14ac:dyDescent="0.25">
      <c r="B27" s="51" t="s">
        <v>67</v>
      </c>
      <c r="D27" s="70"/>
      <c r="E27" s="70">
        <f>-FSM!G152</f>
        <v>-260659648.13999999</v>
      </c>
      <c r="F27" s="70">
        <f>-FSM!H152</f>
        <v>-277341865.62096</v>
      </c>
      <c r="G27" s="70">
        <f>-FSM!I152</f>
        <v>-289019417.85763198</v>
      </c>
      <c r="H27" s="70">
        <f>-FSM!J152</f>
        <v>-294799806.21478462</v>
      </c>
      <c r="I27" s="70">
        <f>-FSM!K152</f>
        <v>-294106159.61192632</v>
      </c>
      <c r="M27" s="74"/>
    </row>
    <row r="28" spans="2:13" x14ac:dyDescent="0.25">
      <c r="B28" s="71" t="s">
        <v>38</v>
      </c>
      <c r="D28" s="1"/>
      <c r="E28" s="1">
        <f>E27/E14</f>
        <v>-0.2</v>
      </c>
      <c r="F28" s="1">
        <f t="shared" ref="F28:I28" si="7">F27/F14</f>
        <v>-0.19</v>
      </c>
      <c r="G28" s="1">
        <f t="shared" si="7"/>
        <v>-0.18</v>
      </c>
      <c r="H28" s="1">
        <f t="shared" si="7"/>
        <v>-0.16999999999999998</v>
      </c>
      <c r="I28" s="1">
        <f t="shared" si="7"/>
        <v>-0.15999999999999998</v>
      </c>
      <c r="M28" s="74"/>
    </row>
    <row r="29" spans="2:13" x14ac:dyDescent="0.25">
      <c r="B29" s="217"/>
      <c r="D29" s="70"/>
      <c r="E29" s="70"/>
      <c r="F29" s="70"/>
      <c r="G29" s="70"/>
      <c r="H29" s="70"/>
      <c r="I29" s="70"/>
      <c r="M29" s="74"/>
    </row>
    <row r="30" spans="2:13" x14ac:dyDescent="0.25">
      <c r="B30" s="72" t="s">
        <v>68</v>
      </c>
      <c r="C30" s="72"/>
      <c r="D30" s="73"/>
      <c r="E30" s="73">
        <f>E23+E25+E26+E27</f>
        <v>44054464.981884241</v>
      </c>
      <c r="F30" s="73">
        <f t="shared" ref="F30:I30" si="8">F23+F25+F26+F27</f>
        <v>82766405.958974004</v>
      </c>
      <c r="G30" s="73">
        <f t="shared" si="8"/>
        <v>119297900.7820614</v>
      </c>
      <c r="H30" s="73">
        <f t="shared" si="8"/>
        <v>168112621.542804</v>
      </c>
      <c r="I30" s="73">
        <f t="shared" si="8"/>
        <v>220703709.80050993</v>
      </c>
      <c r="M30" s="73"/>
    </row>
    <row r="31" spans="2:13" x14ac:dyDescent="0.25">
      <c r="D31" s="70"/>
      <c r="E31" s="70"/>
      <c r="F31" s="70"/>
      <c r="G31" s="70"/>
      <c r="H31" s="70"/>
      <c r="I31" s="70"/>
      <c r="M31" s="74"/>
    </row>
    <row r="32" spans="2:13" x14ac:dyDescent="0.25">
      <c r="B32" s="51" t="s">
        <v>69</v>
      </c>
      <c r="C32" s="70"/>
      <c r="D32" s="70">
        <f>FSM!F181</f>
        <v>851309147</v>
      </c>
      <c r="E32" s="70">
        <f>FSM!G181</f>
        <v>979005519.04999995</v>
      </c>
      <c r="F32" s="70">
        <f>FSM!H181</f>
        <v>1096486181.336</v>
      </c>
      <c r="G32" s="70">
        <f>FSM!I181</f>
        <v>1206134799.4696</v>
      </c>
      <c r="H32" s="70">
        <f>FSM!J181</f>
        <v>1302625583.4271681</v>
      </c>
      <c r="I32" s="70">
        <f>FSM!K181</f>
        <v>1380783118.4327981</v>
      </c>
    </row>
    <row r="33" spans="2:13" x14ac:dyDescent="0.25">
      <c r="B33" s="71" t="s">
        <v>38</v>
      </c>
      <c r="D33" s="60">
        <f>D32/D14</f>
        <v>0.75117535532325841</v>
      </c>
      <c r="E33" s="60">
        <f t="shared" ref="E33:I33" si="9">E32/E14</f>
        <v>0.75117535532325841</v>
      </c>
      <c r="F33" s="60">
        <f t="shared" si="9"/>
        <v>0.75117535532325841</v>
      </c>
      <c r="G33" s="60">
        <f t="shared" si="9"/>
        <v>0.75117535532325841</v>
      </c>
      <c r="H33" s="60">
        <f t="shared" si="9"/>
        <v>0.75117535532325841</v>
      </c>
      <c r="I33" s="60">
        <f t="shared" si="9"/>
        <v>0.7511753553232583</v>
      </c>
      <c r="J33" s="70"/>
    </row>
    <row r="34" spans="2:13" x14ac:dyDescent="0.25">
      <c r="D34"/>
      <c r="E34" s="60"/>
      <c r="F34" s="60"/>
      <c r="G34" s="60"/>
      <c r="H34" s="60"/>
      <c r="I34" s="60"/>
      <c r="J34" s="70"/>
      <c r="K34" s="75"/>
      <c r="M34" s="60"/>
    </row>
    <row r="35" spans="2:13" x14ac:dyDescent="0.25">
      <c r="B35" s="62" t="str">
        <f>"Present value of UFCF on "&amp;TEXT(D7,"mmm dd, yyyy")&amp;" valuation date"</f>
        <v>Present value of UFCF on Jun 13, 2026 valuation date</v>
      </c>
      <c r="C35" s="63"/>
      <c r="D35" s="76"/>
      <c r="E35" s="63"/>
      <c r="F35" s="76"/>
      <c r="G35" s="76"/>
      <c r="H35" s="76"/>
      <c r="I35" s="76"/>
      <c r="J35" s="70"/>
    </row>
    <row r="36" spans="2:13" ht="17.25" x14ac:dyDescent="0.4">
      <c r="B36" s="72"/>
      <c r="D36" s="77" t="s">
        <v>70</v>
      </c>
      <c r="E36" s="77" t="s">
        <v>71</v>
      </c>
      <c r="F36" s="78" t="s">
        <v>72</v>
      </c>
      <c r="G36" s="78" t="s">
        <v>73</v>
      </c>
      <c r="H36" s="78" t="s">
        <v>74</v>
      </c>
      <c r="I36" s="78" t="s">
        <v>75</v>
      </c>
      <c r="J36" s="70"/>
    </row>
    <row r="37" spans="2:13" x14ac:dyDescent="0.25">
      <c r="B37" s="51" t="s">
        <v>76</v>
      </c>
      <c r="D37" s="79">
        <f>D7</f>
        <v>46186</v>
      </c>
      <c r="E37" s="159">
        <f>IF($H$9=1,AVERAGE(E12,D37),E12)</f>
        <v>46286.5</v>
      </c>
      <c r="F37" s="159">
        <f>IF($H$9=1,AVERAGE(F12,E12),F12)</f>
        <v>46569.5</v>
      </c>
      <c r="G37" s="159">
        <f>IF($H$9=1,AVERAGE(G12,F12),G12)</f>
        <v>46935</v>
      </c>
      <c r="H37" s="159">
        <f>IF($H$9=1,AVERAGE(H12,G12),H12)</f>
        <v>47300.5</v>
      </c>
      <c r="I37" s="159">
        <f>IF($H$9=1,AVERAGE(I12,H12),I12)</f>
        <v>47665.5</v>
      </c>
      <c r="J37" s="70"/>
    </row>
    <row r="38" spans="2:13" x14ac:dyDescent="0.25">
      <c r="B38" s="51" t="s">
        <v>77</v>
      </c>
      <c r="C38" s="80">
        <f>D8</f>
        <v>0.55000000000000004</v>
      </c>
      <c r="D38" s="74"/>
      <c r="E38" s="81">
        <f>E30*C38</f>
        <v>24229955.740036335</v>
      </c>
      <c r="F38" s="81">
        <f>F30</f>
        <v>82766405.958974004</v>
      </c>
      <c r="G38" s="81">
        <f t="shared" ref="G38:I38" si="10">G30</f>
        <v>119297900.7820614</v>
      </c>
      <c r="H38" s="81">
        <f t="shared" si="10"/>
        <v>168112621.542804</v>
      </c>
      <c r="I38" s="81">
        <f t="shared" si="10"/>
        <v>220703709.80050993</v>
      </c>
      <c r="J38" s="69"/>
    </row>
    <row r="39" spans="2:13" ht="15" customHeight="1" x14ac:dyDescent="0.25">
      <c r="B39" s="72" t="s">
        <v>78</v>
      </c>
      <c r="C39" s="82"/>
      <c r="D39" s="73"/>
      <c r="E39" s="73">
        <f>E38/(1+$H$4)^((E37-$D$37)/365)</f>
        <v>23810493.511108458</v>
      </c>
      <c r="F39" s="73">
        <f t="shared" ref="F39:I39" si="11">F38/(1+$H$4)^((F37-$D$37)/365)</f>
        <v>77430720.826654762</v>
      </c>
      <c r="G39" s="73">
        <f t="shared" si="11"/>
        <v>104739279.24178804</v>
      </c>
      <c r="H39" s="73">
        <f t="shared" si="11"/>
        <v>138514319.8241092</v>
      </c>
      <c r="I39" s="73">
        <f t="shared" si="11"/>
        <v>170670826.94734436</v>
      </c>
      <c r="J39" s="69"/>
    </row>
    <row r="41" spans="2:13" x14ac:dyDescent="0.25">
      <c r="B41" s="62" t="s">
        <v>79</v>
      </c>
      <c r="C41" s="62"/>
      <c r="E41" s="62" t="s">
        <v>80</v>
      </c>
      <c r="F41" s="63"/>
      <c r="G41" s="63"/>
      <c r="H41" s="63"/>
      <c r="I41" s="63"/>
    </row>
    <row r="42" spans="2:13" x14ac:dyDescent="0.25">
      <c r="B42" s="51" t="s">
        <v>81</v>
      </c>
      <c r="C42" s="83">
        <v>0.03</v>
      </c>
      <c r="E42" s="51" t="s">
        <v>82</v>
      </c>
      <c r="I42" s="74">
        <f>I16</f>
        <v>625959991.10934365</v>
      </c>
      <c r="J42" s="74"/>
    </row>
    <row r="43" spans="2:13" x14ac:dyDescent="0.25">
      <c r="B43" s="84" t="str">
        <f>YEAR(I12)&amp;" FCF x (1+g)"</f>
        <v>2030 FCF x (1+g)</v>
      </c>
      <c r="C43" s="74">
        <f>I38+(1+C42)</f>
        <v>220703710.83050993</v>
      </c>
      <c r="E43" s="51" t="s">
        <v>83</v>
      </c>
      <c r="I43" s="85">
        <v>14.1</v>
      </c>
      <c r="J43" s="85"/>
    </row>
    <row r="44" spans="2:13" x14ac:dyDescent="0.25">
      <c r="B44" s="51" t="str">
        <f>"Terminal value in "&amp;YEAR(I12)</f>
        <v>Terminal value in 2030</v>
      </c>
      <c r="C44" s="74">
        <f>C43/(H4-C42)</f>
        <v>6220772142.6627226</v>
      </c>
      <c r="E44" s="51" t="str">
        <f>"Terminal value in "&amp;YEAR(I12)</f>
        <v>Terminal value in 2030</v>
      </c>
      <c r="I44" s="74">
        <f>I42*I43</f>
        <v>8826035874.6417446</v>
      </c>
      <c r="J44" s="74"/>
    </row>
    <row r="45" spans="2:13" x14ac:dyDescent="0.25">
      <c r="B45" s="51" t="s">
        <v>84</v>
      </c>
      <c r="C45" s="74">
        <f>C44/(1+H4)^((I37-$D$37)/365)</f>
        <v>4810541366.9707022</v>
      </c>
      <c r="E45" s="51" t="s">
        <v>84</v>
      </c>
      <c r="I45" s="74">
        <f>I44/(1+H4)^((I37-$D$37)/365)</f>
        <v>6825199462.0008602</v>
      </c>
      <c r="J45" s="74"/>
    </row>
    <row r="46" spans="2:13" x14ac:dyDescent="0.25">
      <c r="B46" s="51" t="s">
        <v>85</v>
      </c>
      <c r="C46" s="69">
        <f>SUM(E39:I39)</f>
        <v>515165640.35100484</v>
      </c>
      <c r="E46" s="51" t="s">
        <v>85</v>
      </c>
      <c r="I46" s="74">
        <f>C46</f>
        <v>515165640.35100484</v>
      </c>
      <c r="J46" s="74"/>
    </row>
    <row r="47" spans="2:13" x14ac:dyDescent="0.25">
      <c r="B47" s="72" t="s">
        <v>86</v>
      </c>
      <c r="C47" s="86">
        <f>C45+C46</f>
        <v>5325707007.3217068</v>
      </c>
      <c r="E47" s="72" t="s">
        <v>87</v>
      </c>
      <c r="I47" s="86">
        <f>I45+I46</f>
        <v>7340365102.3518648</v>
      </c>
      <c r="J47" s="86"/>
    </row>
    <row r="49" spans="2:10" x14ac:dyDescent="0.25">
      <c r="B49" s="87" t="s">
        <v>88</v>
      </c>
      <c r="C49" s="88">
        <f>C45/C47</f>
        <v>0.9032681220272234</v>
      </c>
      <c r="E49" s="87" t="s">
        <v>88</v>
      </c>
      <c r="I49" s="88">
        <f>I45/I47</f>
        <v>0.92981743643978354</v>
      </c>
      <c r="J49" s="88"/>
    </row>
    <row r="50" spans="2:10" x14ac:dyDescent="0.25">
      <c r="B50" s="87" t="s">
        <v>89</v>
      </c>
      <c r="C50" s="88">
        <f>1-C49</f>
        <v>9.6731877972776603E-2</v>
      </c>
      <c r="E50" s="87" t="s">
        <v>90</v>
      </c>
      <c r="G50" s="89"/>
      <c r="I50" s="90">
        <f>1-I49</f>
        <v>7.018256356021646E-2</v>
      </c>
      <c r="J50" s="90"/>
    </row>
    <row r="51" spans="2:10" x14ac:dyDescent="0.25">
      <c r="B51" s="87" t="s">
        <v>91</v>
      </c>
      <c r="C51" s="91">
        <f>C44/I16</f>
        <v>9.9379708464084064</v>
      </c>
      <c r="E51" s="51" t="s">
        <v>92</v>
      </c>
      <c r="I51" s="222">
        <f>(H4-I38/I44)/(1+I38/I44)</f>
        <v>3.9485158456105382E-2</v>
      </c>
      <c r="J51" s="92"/>
    </row>
    <row r="52" spans="2:10" x14ac:dyDescent="0.25">
      <c r="B52" s="87"/>
      <c r="C52" s="67"/>
      <c r="D52" s="91"/>
      <c r="I52" s="92"/>
      <c r="J52" s="92"/>
    </row>
    <row r="53" spans="2:10" x14ac:dyDescent="0.25">
      <c r="B53" s="62" t="s">
        <v>93</v>
      </c>
      <c r="C53" s="63"/>
      <c r="E53" s="62" t="s">
        <v>30</v>
      </c>
      <c r="F53" s="63"/>
      <c r="G53" s="62"/>
      <c r="H53" s="63"/>
      <c r="I53" s="63"/>
    </row>
    <row r="54" spans="2:10" x14ac:dyDescent="0.25">
      <c r="B54" s="51" t="s">
        <v>94</v>
      </c>
      <c r="C54" s="194" t="s">
        <v>179</v>
      </c>
    </row>
    <row r="55" spans="2:10" x14ac:dyDescent="0.25">
      <c r="B55" s="93" t="s">
        <v>95</v>
      </c>
      <c r="C55" s="58" t="s">
        <v>180</v>
      </c>
      <c r="G55" s="94" t="s">
        <v>94</v>
      </c>
      <c r="H55" s="95" t="s">
        <v>96</v>
      </c>
      <c r="I55" s="95" t="s">
        <v>97</v>
      </c>
    </row>
    <row r="56" spans="2:10" x14ac:dyDescent="0.25">
      <c r="B56" s="96" t="s">
        <v>98</v>
      </c>
      <c r="C56" s="97"/>
      <c r="E56" s="51" t="s">
        <v>99</v>
      </c>
      <c r="G56" s="195" t="s">
        <v>179</v>
      </c>
      <c r="H56" s="58" t="s">
        <v>180</v>
      </c>
      <c r="I56" s="192">
        <v>109760647</v>
      </c>
      <c r="J56" s="98"/>
    </row>
    <row r="57" spans="2:10" x14ac:dyDescent="0.25">
      <c r="B57" s="71" t="s">
        <v>100</v>
      </c>
      <c r="C57" s="100">
        <f>FSM!F75+FSM!F79+FSM!F86</f>
        <v>102913329</v>
      </c>
      <c r="E57" s="93" t="s">
        <v>101</v>
      </c>
      <c r="G57" s="195"/>
      <c r="H57" s="58"/>
      <c r="I57" s="192"/>
      <c r="J57" s="99"/>
    </row>
    <row r="58" spans="2:10" x14ac:dyDescent="0.25">
      <c r="B58" s="71" t="s">
        <v>102</v>
      </c>
      <c r="C58" s="100"/>
      <c r="E58" s="93" t="s">
        <v>103</v>
      </c>
      <c r="G58" s="58"/>
      <c r="H58" s="58"/>
      <c r="I58" s="101"/>
    </row>
    <row r="59" spans="2:10" ht="15" customHeight="1" x14ac:dyDescent="0.25">
      <c r="B59" s="71" t="s">
        <v>104</v>
      </c>
      <c r="C59" s="100"/>
      <c r="E59" s="51" t="s">
        <v>102</v>
      </c>
      <c r="G59" s="58"/>
      <c r="H59" s="58"/>
      <c r="I59" s="101"/>
    </row>
    <row r="60" spans="2:10" x14ac:dyDescent="0.25">
      <c r="B60" s="102" t="s">
        <v>105</v>
      </c>
      <c r="C60" s="100"/>
      <c r="E60" s="51" t="s">
        <v>106</v>
      </c>
      <c r="G60" s="58"/>
      <c r="H60" s="58"/>
      <c r="I60" s="101"/>
    </row>
    <row r="61" spans="2:10" ht="15" customHeight="1" x14ac:dyDescent="0.25">
      <c r="B61" s="96" t="s">
        <v>107</v>
      </c>
      <c r="C61" s="100"/>
      <c r="E61" s="103" t="s">
        <v>108</v>
      </c>
      <c r="I61" s="193">
        <f>SUM(I56:I60)</f>
        <v>109760647</v>
      </c>
      <c r="J61" s="104"/>
    </row>
    <row r="62" spans="2:10" x14ac:dyDescent="0.25">
      <c r="B62" s="105" t="s">
        <v>109</v>
      </c>
      <c r="C62" s="100">
        <f>FSM!F56</f>
        <v>104750290</v>
      </c>
      <c r="J62" s="106"/>
    </row>
    <row r="63" spans="2:10" x14ac:dyDescent="0.25">
      <c r="B63" s="105" t="s">
        <v>110</v>
      </c>
      <c r="C63" s="100">
        <f>FSM!F54+FSM!F65</f>
        <v>267525454</v>
      </c>
      <c r="J63" s="106"/>
    </row>
    <row r="64" spans="2:10" x14ac:dyDescent="0.25">
      <c r="B64" s="105" t="s">
        <v>173</v>
      </c>
      <c r="C64" s="100">
        <f>FSM!F66</f>
        <v>100000000</v>
      </c>
      <c r="J64" s="107"/>
    </row>
    <row r="65" spans="2:6" x14ac:dyDescent="0.25">
      <c r="B65" s="108" t="s">
        <v>93</v>
      </c>
      <c r="C65" s="14">
        <f>SUM(C57:C60)-SUM(C62:C64)</f>
        <v>-369362415</v>
      </c>
    </row>
    <row r="67" spans="2:6" x14ac:dyDescent="0.25">
      <c r="B67" s="62" t="s">
        <v>111</v>
      </c>
      <c r="C67" s="63"/>
      <c r="D67" s="63"/>
    </row>
    <row r="68" spans="2:6" ht="17.25" x14ac:dyDescent="0.4">
      <c r="C68" s="109" t="s">
        <v>112</v>
      </c>
      <c r="D68" s="109" t="s">
        <v>24</v>
      </c>
    </row>
    <row r="69" spans="2:6" x14ac:dyDescent="0.25">
      <c r="B69" s="51" t="s">
        <v>113</v>
      </c>
      <c r="C69" s="110">
        <f>C47</f>
        <v>5325707007.3217068</v>
      </c>
      <c r="D69" s="110">
        <f>I47</f>
        <v>7340365102.3518648</v>
      </c>
    </row>
    <row r="70" spans="2:6" x14ac:dyDescent="0.25">
      <c r="B70" s="51" t="s">
        <v>93</v>
      </c>
      <c r="C70" s="111">
        <f>$C$65</f>
        <v>-369362415</v>
      </c>
      <c r="D70" s="111">
        <f t="shared" ref="D70" si="12">$C$65</f>
        <v>-369362415</v>
      </c>
    </row>
    <row r="71" spans="2:6" x14ac:dyDescent="0.25">
      <c r="B71" s="51" t="s">
        <v>114</v>
      </c>
      <c r="C71" s="112">
        <f>C69-C70</f>
        <v>5695069422.3217068</v>
      </c>
      <c r="D71" s="112">
        <f t="shared" ref="D71" si="13">D69-D70</f>
        <v>7709727517.3518648</v>
      </c>
    </row>
    <row r="72" spans="2:6" x14ac:dyDescent="0.25">
      <c r="B72" s="51" t="s">
        <v>30</v>
      </c>
      <c r="C72" s="218">
        <f>$I$61</f>
        <v>109760647</v>
      </c>
      <c r="D72" s="218">
        <f t="shared" ref="D72" si="14">$I$61</f>
        <v>109760647</v>
      </c>
    </row>
    <row r="73" spans="2:6" x14ac:dyDescent="0.25">
      <c r="B73" s="72" t="s">
        <v>115</v>
      </c>
      <c r="C73" s="256">
        <f>C71/C72</f>
        <v>51.886259583744135</v>
      </c>
      <c r="D73" s="256">
        <f t="shared" ref="D73" si="15">D71/D72</f>
        <v>70.24127251501956</v>
      </c>
    </row>
    <row r="75" spans="2:6" ht="17.25" x14ac:dyDescent="0.4">
      <c r="C75" s="65" t="s">
        <v>116</v>
      </c>
      <c r="D75" s="65"/>
    </row>
    <row r="76" spans="2:6" x14ac:dyDescent="0.25">
      <c r="B76" s="94"/>
      <c r="C76" s="95" t="s">
        <v>112</v>
      </c>
      <c r="D76" s="95" t="s">
        <v>24</v>
      </c>
    </row>
    <row r="77" spans="2:6" x14ac:dyDescent="0.25">
      <c r="B77" s="51" t="s">
        <v>117</v>
      </c>
      <c r="C77" s="241">
        <f>C69/$C$14</f>
        <v>4.4021356170908001</v>
      </c>
      <c r="D77" s="241">
        <f>D69/$C$14</f>
        <v>6.0674165167347089</v>
      </c>
    </row>
    <row r="78" spans="2:6" x14ac:dyDescent="0.25">
      <c r="B78" s="51" t="s">
        <v>118</v>
      </c>
      <c r="C78" s="242">
        <f>C69/$C$16</f>
        <v>12.517756220966987</v>
      </c>
      <c r="D78" s="242">
        <f t="shared" ref="D78" si="16">D69/$C$16</f>
        <v>17.253089739599261</v>
      </c>
    </row>
    <row r="79" spans="2:6" x14ac:dyDescent="0.25">
      <c r="B79" s="69" t="s">
        <v>119</v>
      </c>
      <c r="C79" s="242">
        <f>C69/$C$18</f>
        <v>18.790279640617577</v>
      </c>
      <c r="D79" s="242">
        <f t="shared" ref="D79" si="17">D69/$C$18</f>
        <v>25.898441793324565</v>
      </c>
    </row>
    <row r="80" spans="2:6" ht="17.25" x14ac:dyDescent="0.4">
      <c r="B80" s="69"/>
      <c r="C80" s="65" t="s">
        <v>120</v>
      </c>
      <c r="D80" s="65"/>
      <c r="E80" s="113"/>
      <c r="F80" s="113"/>
    </row>
    <row r="81" spans="2:17" x14ac:dyDescent="0.25">
      <c r="B81" s="94"/>
      <c r="C81" s="95" t="s">
        <v>112</v>
      </c>
      <c r="D81" s="95" t="s">
        <v>24</v>
      </c>
      <c r="E81" s="113"/>
      <c r="F81" s="113"/>
    </row>
    <row r="82" spans="2:17" x14ac:dyDescent="0.25">
      <c r="B82" s="51" t="s">
        <v>117</v>
      </c>
      <c r="C82" s="241">
        <f>C69/$D$14</f>
        <v>4.699279771244429</v>
      </c>
      <c r="D82" s="241">
        <f>D69/$D$14</f>
        <v>6.4769671316143018</v>
      </c>
      <c r="E82" s="113"/>
      <c r="F82" s="113"/>
    </row>
    <row r="83" spans="2:17" x14ac:dyDescent="0.25">
      <c r="B83" s="51" t="s">
        <v>118</v>
      </c>
      <c r="C83" s="242">
        <f>C69/$D$16</f>
        <v>13.322221450704749</v>
      </c>
      <c r="D83" s="242">
        <f t="shared" ref="D83" si="18">D69/$D$16</f>
        <v>18.361875575978232</v>
      </c>
      <c r="E83" s="113"/>
      <c r="F83" s="113"/>
    </row>
    <row r="84" spans="2:17" x14ac:dyDescent="0.25">
      <c r="B84" s="69" t="s">
        <v>119</v>
      </c>
      <c r="C84" s="242">
        <f>C69/$D$18</f>
        <v>19.949401202494048</v>
      </c>
      <c r="D84" s="242">
        <f t="shared" ref="D84" si="19">D69/$D$18</f>
        <v>27.496046665407174</v>
      </c>
      <c r="E84" s="113"/>
      <c r="F84" s="113"/>
    </row>
    <row r="86" spans="2:17" x14ac:dyDescent="0.25">
      <c r="B86" s="62" t="s">
        <v>121</v>
      </c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</row>
    <row r="87" spans="2:17" x14ac:dyDescent="0.25">
      <c r="B87" s="72"/>
    </row>
    <row r="88" spans="2:17" ht="17.25" customHeight="1" x14ac:dyDescent="0.4">
      <c r="B88" s="114"/>
      <c r="C88" s="72"/>
      <c r="D88" s="115" t="s">
        <v>115</v>
      </c>
      <c r="E88" s="65"/>
      <c r="F88" s="65"/>
      <c r="G88" s="65"/>
      <c r="H88" s="65"/>
      <c r="I88" s="65"/>
      <c r="J88" s="116"/>
      <c r="L88" s="115" t="s">
        <v>122</v>
      </c>
      <c r="M88" s="65"/>
      <c r="N88" s="65"/>
      <c r="O88" s="65"/>
      <c r="P88" s="65"/>
      <c r="Q88" s="65"/>
    </row>
    <row r="89" spans="2:17" ht="15" customHeight="1" x14ac:dyDescent="0.25">
      <c r="B89" s="114"/>
      <c r="D89" s="93"/>
      <c r="E89" s="117" t="s">
        <v>123</v>
      </c>
      <c r="F89" s="117"/>
      <c r="G89" s="117"/>
      <c r="H89" s="117"/>
      <c r="I89" s="117"/>
      <c r="J89" s="118"/>
      <c r="L89" s="117" t="s">
        <v>123</v>
      </c>
      <c r="M89" s="117"/>
      <c r="N89" s="117"/>
      <c r="O89" s="117"/>
      <c r="P89" s="117"/>
      <c r="Q89" s="117"/>
    </row>
    <row r="90" spans="2:17" ht="15" customHeight="1" x14ac:dyDescent="0.25">
      <c r="B90" s="114"/>
      <c r="C90" s="119"/>
      <c r="D90" s="163">
        <f>C73</f>
        <v>51.886259583744135</v>
      </c>
      <c r="E90" s="198">
        <f>F90-0.005</f>
        <v>1.9999999999999997E-2</v>
      </c>
      <c r="F90" s="199">
        <f>G90-0.005</f>
        <v>2.4999999999999998E-2</v>
      </c>
      <c r="G90" s="120">
        <f>$C$42</f>
        <v>0.03</v>
      </c>
      <c r="H90" s="199">
        <f>G90+0.005</f>
        <v>3.4999999999999996E-2</v>
      </c>
      <c r="I90" s="223">
        <f>H90+0.005</f>
        <v>3.9999999999999994E-2</v>
      </c>
      <c r="K90" s="124"/>
      <c r="L90" s="121">
        <f>C78</f>
        <v>12.517756220966987</v>
      </c>
      <c r="M90" s="198">
        <f>N90-0.005</f>
        <v>1.9999999999999997E-2</v>
      </c>
      <c r="N90" s="199">
        <f>O90-0.005</f>
        <v>2.4999999999999998E-2</v>
      </c>
      <c r="O90" s="120">
        <f>$C$42</f>
        <v>0.03</v>
      </c>
      <c r="P90" s="199">
        <f>O90+0.005</f>
        <v>3.4999999999999996E-2</v>
      </c>
      <c r="Q90" s="223">
        <f>P90+0.005</f>
        <v>3.9999999999999994E-2</v>
      </c>
    </row>
    <row r="91" spans="2:17" ht="15" customHeight="1" x14ac:dyDescent="0.25">
      <c r="B91" s="114"/>
      <c r="D91" s="196">
        <f>D92+0.01</f>
        <v>8.5478507453584443E-2</v>
      </c>
      <c r="E91" s="122">
        <f t="dataTable" ref="E91:I95" dt2D="1" dtr="1" r1="C42" r2="H4" ca="1"/>
        <v>29.848631599697448</v>
      </c>
      <c r="F91" s="122">
        <v>28.286241261977587</v>
      </c>
      <c r="G91" s="122">
        <v>28.286241261977587</v>
      </c>
      <c r="H91" s="122">
        <v>29.848631599697448</v>
      </c>
      <c r="I91" s="122">
        <v>33.818274768433511</v>
      </c>
      <c r="J91" s="123"/>
      <c r="L91" s="196">
        <f>L92+0.01</f>
        <v>8.5478507453584443E-2</v>
      </c>
      <c r="M91" s="124">
        <f t="dataTable" ref="M91:Q95" dt2D="1" dtr="1" r1="C42" r2="H4" ca="1"/>
        <v>6.8323601466230865</v>
      </c>
      <c r="N91" s="124">
        <v>6.4292855553333288</v>
      </c>
      <c r="O91" s="124">
        <v>6.4292855553333288</v>
      </c>
      <c r="P91" s="124">
        <v>6.8323601466230865</v>
      </c>
      <c r="Q91" s="124">
        <v>7.8564718933326718</v>
      </c>
    </row>
    <row r="92" spans="2:17" ht="15" customHeight="1" x14ac:dyDescent="0.25">
      <c r="B92" s="114"/>
      <c r="D92" s="196">
        <f>D93+0.01</f>
        <v>7.5478507453584448E-2</v>
      </c>
      <c r="E92" s="122">
        <v>34.926143006389715</v>
      </c>
      <c r="F92" s="122">
        <v>32.695079703486982</v>
      </c>
      <c r="G92" s="122">
        <v>32.695079703486982</v>
      </c>
      <c r="H92" s="122">
        <v>34.926143006389715</v>
      </c>
      <c r="I92" s="122">
        <v>40.859995551209181</v>
      </c>
      <c r="J92" s="123"/>
      <c r="L92" s="196">
        <f>L93+0.01</f>
        <v>7.5478507453584448E-2</v>
      </c>
      <c r="M92" s="124">
        <v>8.1422862167038712</v>
      </c>
      <c r="N92" s="124">
        <v>7.5667034655512335</v>
      </c>
      <c r="O92" s="124">
        <v>7.5667034655512335</v>
      </c>
      <c r="P92" s="124">
        <v>8.1422862167038712</v>
      </c>
      <c r="Q92" s="124">
        <v>9.6731361787993517</v>
      </c>
    </row>
    <row r="93" spans="2:17" ht="15" customHeight="1" x14ac:dyDescent="0.25">
      <c r="B93" s="114"/>
      <c r="C93" s="119" t="s">
        <v>124</v>
      </c>
      <c r="D93" s="125">
        <f>WACC!$E$21</f>
        <v>6.5478507453584453E-2</v>
      </c>
      <c r="E93" s="122">
        <v>42.249276602499194</v>
      </c>
      <c r="F93" s="122">
        <v>38.862629593922811</v>
      </c>
      <c r="G93" s="122">
        <v>38.862629593922811</v>
      </c>
      <c r="H93" s="122">
        <v>42.249276602499194</v>
      </c>
      <c r="I93" s="122">
        <v>51.886259583744135</v>
      </c>
      <c r="J93" s="123"/>
      <c r="K93" s="119" t="s">
        <v>124</v>
      </c>
      <c r="L93" s="125">
        <f>WACC!$E$21</f>
        <v>6.5478507453584453E-2</v>
      </c>
      <c r="M93" s="124">
        <v>10.031551024575064</v>
      </c>
      <c r="N93" s="124">
        <v>9.1578440347988863</v>
      </c>
      <c r="O93" s="124">
        <v>9.1578440347988863</v>
      </c>
      <c r="P93" s="124">
        <v>10.031551024575064</v>
      </c>
      <c r="Q93" s="124">
        <v>12.517756220966987</v>
      </c>
    </row>
    <row r="94" spans="2:17" ht="15" customHeight="1" x14ac:dyDescent="0.25">
      <c r="B94" s="114"/>
      <c r="D94" s="196">
        <f t="shared" ref="D94:D95" si="20">D93-0.01</f>
        <v>5.5478507453584451E-2</v>
      </c>
      <c r="E94" s="122">
        <v>53.717584823761918</v>
      </c>
      <c r="F94" s="122">
        <v>48.092969876923583</v>
      </c>
      <c r="G94" s="122">
        <v>48.092969876923583</v>
      </c>
      <c r="H94" s="122">
        <v>53.717584823761918</v>
      </c>
      <c r="I94" s="122">
        <v>71.589590745922578</v>
      </c>
      <c r="J94" s="123"/>
      <c r="L94" s="196">
        <f t="shared" ref="L94:L95" si="21">L93-0.01</f>
        <v>5.5478507453584451E-2</v>
      </c>
      <c r="M94" s="124">
        <v>12.990212210240482</v>
      </c>
      <c r="N94" s="124">
        <v>11.539141171125015</v>
      </c>
      <c r="O94" s="124">
        <v>11.539141171125015</v>
      </c>
      <c r="P94" s="124">
        <v>12.990212210240482</v>
      </c>
      <c r="Q94" s="124">
        <v>17.60093675754927</v>
      </c>
    </row>
    <row r="95" spans="2:17" ht="15" customHeight="1" x14ac:dyDescent="0.25">
      <c r="B95" s="126" t="s">
        <v>125</v>
      </c>
      <c r="D95" s="197">
        <f t="shared" si="20"/>
        <v>4.5478507453584449E-2</v>
      </c>
      <c r="E95" s="122">
        <v>74.212874978463077</v>
      </c>
      <c r="F95" s="122">
        <v>63.401698351330396</v>
      </c>
      <c r="G95" s="122">
        <v>63.401698351330396</v>
      </c>
      <c r="H95" s="122">
        <v>74.212874978463077</v>
      </c>
      <c r="I95" s="122">
        <v>116.78914124963705</v>
      </c>
      <c r="J95" s="123"/>
      <c r="L95" s="197">
        <f t="shared" si="21"/>
        <v>4.5478507453584449E-2</v>
      </c>
      <c r="M95" s="124">
        <v>18.277706956609293</v>
      </c>
      <c r="N95" s="124">
        <v>15.48857642044476</v>
      </c>
      <c r="O95" s="124">
        <v>15.48857642044476</v>
      </c>
      <c r="P95" s="124">
        <v>18.277706956609293</v>
      </c>
      <c r="Q95" s="124">
        <v>29.261780981889398</v>
      </c>
    </row>
    <row r="96" spans="2:17" ht="15" customHeight="1" x14ac:dyDescent="0.25">
      <c r="B96" s="126" t="s">
        <v>126</v>
      </c>
      <c r="E96" s="127"/>
      <c r="F96" s="127"/>
      <c r="G96" s="127"/>
      <c r="H96" s="127"/>
      <c r="I96" s="127"/>
      <c r="J96" s="127"/>
    </row>
    <row r="97" spans="2:17" ht="17.25" customHeight="1" x14ac:dyDescent="0.4">
      <c r="B97" s="114"/>
      <c r="D97" s="115" t="s">
        <v>115</v>
      </c>
      <c r="E97" s="65"/>
      <c r="F97" s="65"/>
      <c r="G97" s="65"/>
      <c r="H97" s="65"/>
      <c r="I97" s="65"/>
      <c r="J97" s="116"/>
      <c r="L97" s="115" t="s">
        <v>122</v>
      </c>
      <c r="M97" s="65"/>
      <c r="N97" s="65"/>
      <c r="O97" s="65"/>
      <c r="P97" s="65"/>
      <c r="Q97" s="65"/>
    </row>
    <row r="98" spans="2:17" ht="15" customHeight="1" x14ac:dyDescent="0.25">
      <c r="B98" s="114"/>
      <c r="E98" s="117" t="s">
        <v>127</v>
      </c>
      <c r="F98" s="117"/>
      <c r="G98" s="117"/>
      <c r="H98" s="117"/>
      <c r="I98" s="117"/>
      <c r="J98" s="118"/>
      <c r="M98" s="117" t="s">
        <v>127</v>
      </c>
      <c r="N98" s="117"/>
      <c r="O98" s="117"/>
      <c r="P98" s="117"/>
      <c r="Q98" s="117"/>
    </row>
    <row r="99" spans="2:17" ht="15" customHeight="1" x14ac:dyDescent="0.25">
      <c r="B99" s="114"/>
      <c r="D99" s="164">
        <f>D73</f>
        <v>70.24127251501956</v>
      </c>
      <c r="E99" s="165">
        <f>+F99-0.5</f>
        <v>13.1</v>
      </c>
      <c r="F99" s="165">
        <f>+G99-0.5</f>
        <v>13.6</v>
      </c>
      <c r="G99" s="128">
        <f>$I$43</f>
        <v>14.1</v>
      </c>
      <c r="H99" s="165">
        <f>+G99+0.5</f>
        <v>14.6</v>
      </c>
      <c r="I99" s="225">
        <f>+H99+0.5</f>
        <v>15.1</v>
      </c>
      <c r="J99" s="224"/>
      <c r="L99" s="121">
        <f>D78</f>
        <v>17.253089739599261</v>
      </c>
      <c r="M99" s="165">
        <f>+N99-0.5</f>
        <v>13.1</v>
      </c>
      <c r="N99" s="165">
        <f>+O99-0.5</f>
        <v>13.6</v>
      </c>
      <c r="O99" s="128">
        <f>$I$43</f>
        <v>14.1</v>
      </c>
      <c r="P99" s="165">
        <f>+O99+0.5</f>
        <v>14.6</v>
      </c>
      <c r="Q99" s="225">
        <f>+P99+0.5</f>
        <v>15.1</v>
      </c>
    </row>
    <row r="100" spans="2:17" ht="15" customHeight="1" x14ac:dyDescent="0.25">
      <c r="B100" s="114"/>
      <c r="D100" s="196">
        <f>D101+0.01</f>
        <v>8.5478507453584443E-2</v>
      </c>
      <c r="E100" s="122">
        <f t="dataTable" ref="E100:I104" dt2D="1" dtr="1" r1="I43" r2="H4" ca="1"/>
        <v>61.403242586287099</v>
      </c>
      <c r="F100" s="122">
        <v>59.358296067488034</v>
      </c>
      <c r="G100" s="122">
        <v>59.358296067488034</v>
      </c>
      <c r="H100" s="122">
        <v>61.403242586287099</v>
      </c>
      <c r="I100" s="122">
        <v>65.493135623885209</v>
      </c>
      <c r="J100" s="123"/>
      <c r="L100" s="196">
        <f>L101+0.01</f>
        <v>8.5478507453584443E-2</v>
      </c>
      <c r="M100" s="124">
        <f t="dataTable" ref="M100:Q104" dt2D="1" dtr="1" r1="I43" r2="H4" ca="1"/>
        <v>14.973003121469379</v>
      </c>
      <c r="N100" s="124">
        <v>14.445435866107783</v>
      </c>
      <c r="O100" s="124">
        <v>14.445435866107783</v>
      </c>
      <c r="P100" s="124">
        <v>14.973003121469379</v>
      </c>
      <c r="Q100" s="124">
        <v>16.028137632192568</v>
      </c>
    </row>
    <row r="101" spans="2:17" ht="15" customHeight="1" x14ac:dyDescent="0.25">
      <c r="B101" s="114"/>
      <c r="D101" s="196">
        <f>D102+0.01</f>
        <v>7.5478507453584448E-2</v>
      </c>
      <c r="E101" s="122">
        <v>63.565627321403127</v>
      </c>
      <c r="F101" s="122">
        <v>61.442506709684267</v>
      </c>
      <c r="G101" s="122">
        <v>61.442506709684267</v>
      </c>
      <c r="H101" s="122">
        <v>63.565627321403127</v>
      </c>
      <c r="I101" s="122">
        <v>67.811868544840834</v>
      </c>
      <c r="J101" s="123"/>
      <c r="L101" s="196">
        <f>L102+0.01</f>
        <v>7.5478507453584448E-2</v>
      </c>
      <c r="M101" s="124">
        <v>15.530867774287261</v>
      </c>
      <c r="N101" s="124">
        <v>14.983132709516987</v>
      </c>
      <c r="O101" s="124">
        <v>14.983132709516987</v>
      </c>
      <c r="P101" s="124">
        <v>15.530867774287261</v>
      </c>
      <c r="Q101" s="124">
        <v>16.62633790382781</v>
      </c>
    </row>
    <row r="102" spans="2:17" ht="15" customHeight="1" x14ac:dyDescent="0.25">
      <c r="B102" s="114"/>
      <c r="C102" s="119" t="s">
        <v>124</v>
      </c>
      <c r="D102" s="125">
        <f>WACC!$E$21</f>
        <v>6.5478507453584453E-2</v>
      </c>
      <c r="E102" s="122">
        <v>65.831160943495348</v>
      </c>
      <c r="F102" s="122">
        <v>63.626105157733235</v>
      </c>
      <c r="G102" s="122">
        <v>63.626105157733235</v>
      </c>
      <c r="H102" s="122">
        <v>65.831160943495348</v>
      </c>
      <c r="I102" s="122">
        <v>70.24127251501956</v>
      </c>
      <c r="J102" s="123"/>
      <c r="K102" s="119" t="s">
        <v>124</v>
      </c>
      <c r="L102" s="125">
        <f>WACC!$E$21</f>
        <v>6.5478507453584453E-2</v>
      </c>
      <c r="M102" s="124">
        <v>16.115343379858857</v>
      </c>
      <c r="N102" s="124">
        <v>15.546470199988654</v>
      </c>
      <c r="O102" s="124">
        <v>15.546470199988654</v>
      </c>
      <c r="P102" s="124">
        <v>16.115343379858857</v>
      </c>
      <c r="Q102" s="124">
        <v>17.253089739599261</v>
      </c>
    </row>
    <row r="103" spans="2:17" ht="15" customHeight="1" x14ac:dyDescent="0.25">
      <c r="B103" s="114"/>
      <c r="D103" s="196">
        <f t="shared" ref="D103:D104" si="22">D102-0.01</f>
        <v>5.5478507453584451E-2</v>
      </c>
      <c r="E103" s="122">
        <v>68.205818242651631</v>
      </c>
      <c r="F103" s="122">
        <v>65.914847363972342</v>
      </c>
      <c r="G103" s="122">
        <v>65.914847363972342</v>
      </c>
      <c r="H103" s="122">
        <v>68.205818242651631</v>
      </c>
      <c r="I103" s="122">
        <v>72.787760000010209</v>
      </c>
      <c r="J103" s="123"/>
      <c r="L103" s="196">
        <f t="shared" ref="L103:L104" si="23">L102-0.01</f>
        <v>5.5478507453584451E-2</v>
      </c>
      <c r="M103" s="124">
        <v>16.727971349452893</v>
      </c>
      <c r="N103" s="124">
        <v>16.136933291749568</v>
      </c>
      <c r="O103" s="124">
        <v>16.136933291749568</v>
      </c>
      <c r="P103" s="124">
        <v>16.727971349452893</v>
      </c>
      <c r="Q103" s="124">
        <v>17.910047464859545</v>
      </c>
    </row>
    <row r="104" spans="2:17" ht="15" customHeight="1" x14ac:dyDescent="0.25">
      <c r="B104" s="114"/>
      <c r="D104" s="197">
        <f t="shared" si="22"/>
        <v>4.5478507453584449E-2</v>
      </c>
      <c r="E104" s="122">
        <v>70.695981861784745</v>
      </c>
      <c r="F104" s="122">
        <v>68.314882153459152</v>
      </c>
      <c r="G104" s="122">
        <v>68.314882153459152</v>
      </c>
      <c r="H104" s="122">
        <v>70.695981861784745</v>
      </c>
      <c r="I104" s="122">
        <v>75.458181278435873</v>
      </c>
      <c r="J104" s="123"/>
      <c r="L104" s="197">
        <f t="shared" si="23"/>
        <v>4.5478507453584449E-2</v>
      </c>
      <c r="M104" s="124">
        <v>17.370398314593707</v>
      </c>
      <c r="N104" s="124">
        <v>16.756108294627147</v>
      </c>
      <c r="O104" s="124">
        <v>16.756108294627147</v>
      </c>
      <c r="P104" s="124">
        <v>17.370398314593707</v>
      </c>
      <c r="Q104" s="124">
        <v>18.598978354526821</v>
      </c>
    </row>
    <row r="105" spans="2:17" x14ac:dyDescent="0.25">
      <c r="J105" s="129"/>
    </row>
    <row r="106" spans="2:17" x14ac:dyDescent="0.25">
      <c r="B106" s="130" t="s">
        <v>128</v>
      </c>
      <c r="C106" s="130"/>
      <c r="D106" s="130"/>
      <c r="E106" s="130"/>
      <c r="G106" s="130" t="s">
        <v>129</v>
      </c>
      <c r="H106" s="130"/>
      <c r="I106" s="130"/>
      <c r="J106" s="131"/>
      <c r="K106" s="130"/>
      <c r="L106" s="130"/>
      <c r="M106" s="130"/>
      <c r="N106" s="130"/>
      <c r="O106" s="130"/>
      <c r="P106" s="130"/>
    </row>
    <row r="107" spans="2:17" x14ac:dyDescent="0.25">
      <c r="J107" s="129"/>
    </row>
    <row r="108" spans="2:17" x14ac:dyDescent="0.25">
      <c r="J108" s="129"/>
    </row>
    <row r="109" spans="2:17" x14ac:dyDescent="0.25">
      <c r="J109" s="129"/>
    </row>
    <row r="110" spans="2:17" x14ac:dyDescent="0.25">
      <c r="J110" s="129"/>
    </row>
    <row r="111" spans="2:17" x14ac:dyDescent="0.25">
      <c r="J111" s="129"/>
    </row>
    <row r="112" spans="2:17" x14ac:dyDescent="0.25">
      <c r="J112" s="129"/>
    </row>
    <row r="113" spans="2:17" x14ac:dyDescent="0.25">
      <c r="J113" s="129"/>
    </row>
    <row r="114" spans="2:17" x14ac:dyDescent="0.25">
      <c r="J114" s="129"/>
    </row>
    <row r="115" spans="2:17" x14ac:dyDescent="0.25">
      <c r="J115" s="129"/>
    </row>
    <row r="116" spans="2:17" x14ac:dyDescent="0.25">
      <c r="J116" s="129"/>
    </row>
    <row r="117" spans="2:17" x14ac:dyDescent="0.25">
      <c r="J117" s="129"/>
    </row>
    <row r="118" spans="2:17" x14ac:dyDescent="0.25">
      <c r="J118" s="129"/>
    </row>
    <row r="119" spans="2:17" x14ac:dyDescent="0.25">
      <c r="J119" s="129"/>
    </row>
    <row r="120" spans="2:17" x14ac:dyDescent="0.25">
      <c r="J120" s="129"/>
      <c r="M120" s="132"/>
    </row>
    <row r="121" spans="2:17" x14ac:dyDescent="0.25">
      <c r="J121" s="129"/>
    </row>
    <row r="122" spans="2:17" x14ac:dyDescent="0.25">
      <c r="J122" s="129"/>
    </row>
    <row r="123" spans="2:17" x14ac:dyDescent="0.25">
      <c r="J123" s="129"/>
    </row>
    <row r="124" spans="2:17" x14ac:dyDescent="0.25">
      <c r="J124" s="129"/>
    </row>
    <row r="125" spans="2:17" x14ac:dyDescent="0.25">
      <c r="J125" s="129"/>
    </row>
    <row r="126" spans="2:17" x14ac:dyDescent="0.25">
      <c r="J126" s="129"/>
    </row>
    <row r="127" spans="2:17" x14ac:dyDescent="0.25">
      <c r="B127" s="133"/>
      <c r="C127" s="134" t="s">
        <v>130</v>
      </c>
      <c r="D127" s="134" t="s">
        <v>131</v>
      </c>
      <c r="E127" s="135" t="s">
        <v>132</v>
      </c>
      <c r="G127" s="133"/>
      <c r="H127" s="136"/>
      <c r="I127" s="136"/>
      <c r="J127" s="137"/>
      <c r="K127" s="136"/>
      <c r="L127" s="136"/>
      <c r="M127" s="136"/>
      <c r="N127" s="136"/>
      <c r="O127" s="134" t="s">
        <v>130</v>
      </c>
      <c r="P127" s="134" t="s">
        <v>131</v>
      </c>
      <c r="Q127" s="135" t="s">
        <v>132</v>
      </c>
    </row>
    <row r="128" spans="2:17" x14ac:dyDescent="0.25">
      <c r="B128" s="166" t="str">
        <f>"DCF Value at "&amp;TEXT(E99,"0.0x")&amp;"-"&amp;TEXT(I99,"0.0x")&amp;" Exit EBITDA Range at "&amp;TEXT(D102,"0.0%")&amp;" WACC"</f>
        <v>DCF Value at 13.1x-15.1x Exit EBITDA Range at 6.5% WACC</v>
      </c>
      <c r="C128" s="167">
        <f>E102</f>
        <v>65.831160943495348</v>
      </c>
      <c r="D128" s="167">
        <f>E128-C128</f>
        <v>4.4101115715242116</v>
      </c>
      <c r="E128" s="168">
        <f>I102</f>
        <v>70.24127251501956</v>
      </c>
      <c r="G128" s="166" t="str">
        <f>"LTM EBITDA Purchase Multiple at "&amp;TEXT(M90,"0.0%")&amp;"-"&amp;TEXT(Q90,"0.0%")&amp;" Perpetuity Growth at "&amp;TEXT(L93,"0.0%")&amp;" WACC"</f>
        <v>LTM EBITDA Purchase Multiple at 2.0%-4.0% Perpetuity Growth at 6.5% WACC</v>
      </c>
      <c r="H128"/>
      <c r="I128"/>
      <c r="J128" s="174"/>
      <c r="K128"/>
      <c r="L128"/>
      <c r="M128"/>
      <c r="N128"/>
      <c r="O128" s="175">
        <f>M93</f>
        <v>10.031551024575064</v>
      </c>
      <c r="P128" s="175">
        <f>Q128-O128</f>
        <v>2.4862051963919232</v>
      </c>
      <c r="Q128" s="176">
        <f>Q93</f>
        <v>12.517756220966987</v>
      </c>
    </row>
    <row r="129" spans="2:17" x14ac:dyDescent="0.25">
      <c r="B129" s="169" t="str">
        <f>"DCF Value at "&amp;TEXT(E90,"0.0%")&amp;"-"&amp;TEXT(I90,"0.0%")&amp;" Perpetuity Range at "&amp;TEXT(D102,"0.0%")&amp;" WACC"</f>
        <v>DCF Value at 2.0%-4.0% Perpetuity Range at 6.5% WACC</v>
      </c>
      <c r="C129" s="167">
        <f>E93</f>
        <v>42.249276602499194</v>
      </c>
      <c r="D129" s="167">
        <f>E129-C129</f>
        <v>9.636982981244941</v>
      </c>
      <c r="E129" s="168">
        <f>I93</f>
        <v>51.886259583744135</v>
      </c>
      <c r="G129" s="169" t="str">
        <f>"LTM EBITDA Purchase Multiple at "&amp;TEXT(M102,"0.0x")&amp;"-"&amp;TEXT(Q102,"0.0x")&amp;" Exit EBITDA Multiple at "&amp;TEXT(L102,"0.0%")&amp;" WACC"</f>
        <v>LTM EBITDA Purchase Multiple at 16.1x-17.3x Exit EBITDA Multiple at 6.5% WACC</v>
      </c>
      <c r="H129"/>
      <c r="I129"/>
      <c r="J129" s="174"/>
      <c r="K129"/>
      <c r="L129"/>
      <c r="M129"/>
      <c r="N129"/>
      <c r="O129" s="175">
        <f>M102</f>
        <v>16.115343379858857</v>
      </c>
      <c r="P129" s="175">
        <f>Q129-O129</f>
        <v>1.1377463597404045</v>
      </c>
      <c r="Q129" s="176">
        <f>Q102</f>
        <v>17.253089739599261</v>
      </c>
    </row>
    <row r="130" spans="2:17" x14ac:dyDescent="0.25">
      <c r="B130" s="170" t="s">
        <v>133</v>
      </c>
      <c r="C130" s="171">
        <v>40.5</v>
      </c>
      <c r="D130" s="172">
        <f>E130-C130</f>
        <v>11.200000000000003</v>
      </c>
      <c r="E130" s="173">
        <v>51.7</v>
      </c>
      <c r="G130" s="170" t="str">
        <f>"LTM EBITDA Purchase Multiple at "&amp;TEXT(L104,"0.0%")&amp;"-"&amp;TEXT(L100,"0.0%")&amp;" WACC at "&amp;TEXT(O99,"0.0x")&amp;" Exit EBITDA"</f>
        <v>LTM EBITDA Purchase Multiple at 4.5%-8.5% WACC at 14.1x Exit EBITDA</v>
      </c>
      <c r="H130" s="40"/>
      <c r="I130" s="40"/>
      <c r="J130" s="177"/>
      <c r="K130" s="40"/>
      <c r="L130" s="40"/>
      <c r="M130" s="40"/>
      <c r="N130" s="40"/>
      <c r="O130" s="172">
        <f>O100</f>
        <v>14.445435866107783</v>
      </c>
      <c r="P130" s="172">
        <f>Q130-O130</f>
        <v>2.3106724285193643</v>
      </c>
      <c r="Q130" s="178">
        <f>O104</f>
        <v>16.756108294627147</v>
      </c>
    </row>
    <row r="131" spans="2:17" x14ac:dyDescent="0.25">
      <c r="J131" s="129"/>
    </row>
    <row r="132" spans="2:17" x14ac:dyDescent="0.25">
      <c r="J132" s="129"/>
    </row>
  </sheetData>
  <conditionalFormatting sqref="E91:J95 E100:J104">
    <cfRule type="cellIs" dxfId="1" priority="2" operator="lessThan">
      <formula>#REF!</formula>
    </cfRule>
  </conditionalFormatting>
  <dataValidations count="1">
    <dataValidation type="list" allowBlank="1" showInputMessage="1" showErrorMessage="1" sqref="H9" xr:uid="{CB45C56C-AFB1-4E43-A477-1FC1C59EBD22}">
      <formula1>"0,1"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4E94-4BEA-4BEC-A3D4-AE92824096F5}">
  <dimension ref="B1:I24"/>
  <sheetViews>
    <sheetView zoomScaleNormal="100" workbookViewId="0">
      <selection activeCell="E21" sqref="E21"/>
    </sheetView>
  </sheetViews>
  <sheetFormatPr defaultColWidth="9.140625" defaultRowHeight="15" x14ac:dyDescent="0.25"/>
  <cols>
    <col min="1" max="1" width="1.42578125" style="51" customWidth="1"/>
    <col min="2" max="2" width="50.28515625" style="51" customWidth="1"/>
    <col min="3" max="3" width="15.5703125" style="51" bestFit="1" customWidth="1"/>
    <col min="4" max="9" width="12.7109375" style="51" customWidth="1"/>
    <col min="10" max="10" width="1.7109375" style="51" customWidth="1"/>
    <col min="11" max="11" width="11" style="51" bestFit="1" customWidth="1"/>
    <col min="12" max="16" width="9.42578125" style="51" customWidth="1"/>
    <col min="17" max="16384" width="9.140625" style="51"/>
  </cols>
  <sheetData>
    <row r="1" spans="2:9" ht="15.75" thickBot="1" x14ac:dyDescent="0.3"/>
    <row r="2" spans="2:9" ht="15.75" thickBot="1" x14ac:dyDescent="0.3">
      <c r="B2" s="52" t="s">
        <v>134</v>
      </c>
      <c r="C2" s="53"/>
      <c r="D2" s="53"/>
      <c r="E2" s="53"/>
      <c r="F2" s="53"/>
      <c r="G2" s="53"/>
      <c r="H2" s="53"/>
      <c r="I2" s="53"/>
    </row>
    <row r="3" spans="2:9" x14ac:dyDescent="0.25">
      <c r="B3" s="54" t="str">
        <f>DCF!B3</f>
        <v>All amounts are shown in Saudi riyal, except per-share data, ratios, and shares outstanding</v>
      </c>
    </row>
    <row r="4" spans="2:9" ht="15" customHeight="1" x14ac:dyDescent="0.25">
      <c r="B4" s="139" t="s">
        <v>135</v>
      </c>
      <c r="C4" s="140"/>
      <c r="D4" s="140"/>
      <c r="E4" s="141"/>
      <c r="F4" s="142"/>
    </row>
    <row r="5" spans="2:9" x14ac:dyDescent="0.25">
      <c r="E5" s="94"/>
    </row>
    <row r="6" spans="2:9" ht="15" customHeight="1" x14ac:dyDescent="0.25">
      <c r="B6" s="51" t="s">
        <v>136</v>
      </c>
      <c r="C6" s="146">
        <v>0.06</v>
      </c>
    </row>
    <row r="7" spans="2:9" ht="15" customHeight="1" x14ac:dyDescent="0.25">
      <c r="B7" s="51" t="s">
        <v>26</v>
      </c>
      <c r="C7" s="146">
        <f>DCF!D22</f>
        <v>8.0518329106416028E-2</v>
      </c>
    </row>
    <row r="8" spans="2:9" ht="15" customHeight="1" x14ac:dyDescent="0.25">
      <c r="B8" s="51" t="s">
        <v>137</v>
      </c>
      <c r="C8" s="147">
        <f>C6*(1-C7)</f>
        <v>5.5168900253615039E-2</v>
      </c>
    </row>
    <row r="10" spans="2:9" x14ac:dyDescent="0.25">
      <c r="B10" s="51" t="s">
        <v>138</v>
      </c>
      <c r="C10" s="145">
        <v>0.05</v>
      </c>
    </row>
    <row r="11" spans="2:9" x14ac:dyDescent="0.25">
      <c r="B11" s="51" t="s">
        <v>139</v>
      </c>
      <c r="C11" s="160">
        <f>(2/3*-0.03)+1/3</f>
        <v>0.3133333333333333</v>
      </c>
    </row>
    <row r="12" spans="2:9" ht="15" customHeight="1" x14ac:dyDescent="0.25">
      <c r="B12" s="51" t="s">
        <v>140</v>
      </c>
      <c r="C12" s="148">
        <v>5.0099999999999999E-2</v>
      </c>
    </row>
    <row r="13" spans="2:9" x14ac:dyDescent="0.25">
      <c r="B13" s="51" t="s">
        <v>141</v>
      </c>
      <c r="C13" s="149">
        <f>C10+C11*C12</f>
        <v>6.5698000000000006E-2</v>
      </c>
    </row>
    <row r="14" spans="2:9" x14ac:dyDescent="0.25">
      <c r="C14" s="150"/>
    </row>
    <row r="15" spans="2:9" x14ac:dyDescent="0.25">
      <c r="B15" s="143" t="s">
        <v>142</v>
      </c>
      <c r="C15" s="151"/>
      <c r="D15" s="151"/>
      <c r="E15" s="151"/>
    </row>
    <row r="16" spans="2:9" x14ac:dyDescent="0.25">
      <c r="B16" s="72"/>
      <c r="C16" s="119"/>
      <c r="D16" s="119" t="s">
        <v>143</v>
      </c>
    </row>
    <row r="17" spans="2:5" ht="17.25" x14ac:dyDescent="0.4">
      <c r="C17" s="152" t="s">
        <v>144</v>
      </c>
      <c r="D17" s="152" t="s">
        <v>145</v>
      </c>
      <c r="E17" s="152" t="s">
        <v>146</v>
      </c>
    </row>
    <row r="18" spans="2:5" x14ac:dyDescent="0.25">
      <c r="B18" s="51" t="s">
        <v>15</v>
      </c>
      <c r="C18" s="70">
        <f>DCF!H5*DCF!I61</f>
        <v>4833858893.8800001</v>
      </c>
      <c r="D18" s="153"/>
      <c r="E18" s="154">
        <f>C18/(C18+C19)</f>
        <v>0.97915372142894563</v>
      </c>
    </row>
    <row r="19" spans="2:5" x14ac:dyDescent="0.25">
      <c r="B19" s="51" t="s">
        <v>100</v>
      </c>
      <c r="C19" s="70">
        <f>DCF!C57</f>
        <v>102913329</v>
      </c>
      <c r="D19" s="155"/>
      <c r="E19" s="154">
        <f>C19/(C19+C18)</f>
        <v>2.0846278571054411E-2</v>
      </c>
    </row>
    <row r="21" spans="2:5" x14ac:dyDescent="0.25">
      <c r="B21" s="144" t="s">
        <v>147</v>
      </c>
      <c r="C21" s="156"/>
      <c r="D21" s="136"/>
      <c r="E21" s="157">
        <f>C8*E19+C13*E18</f>
        <v>6.5478507453584453E-2</v>
      </c>
    </row>
    <row r="22" spans="2:5" x14ac:dyDescent="0.25">
      <c r="B22" s="71"/>
      <c r="C22" s="99"/>
    </row>
    <row r="23" spans="2:5" x14ac:dyDescent="0.25">
      <c r="B23" s="71"/>
      <c r="C23" s="99"/>
    </row>
    <row r="24" spans="2:5" x14ac:dyDescent="0.25">
      <c r="B24" s="71"/>
      <c r="C24" s="99"/>
    </row>
  </sheetData>
  <conditionalFormatting sqref="B22:C24">
    <cfRule type="expression" dxfId="0" priority="1">
      <formula>#REF!="Industry"</formula>
    </cfRule>
  </conditionalFormatting>
  <dataValidations count="1">
    <dataValidation type="list" allowBlank="1" showInputMessage="1" showErrorMessage="1" sqref="C11" xr:uid="{BA86EDE5-7159-4B66-829E-7171B4D698DF}">
      <formula1>"-0.03,=(2/3*-0.03)+1/3"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FSM</vt:lpstr>
      <vt:lpstr>DCF</vt:lpstr>
      <vt:lpstr>WACC</vt:lpstr>
      <vt:lpstr>FSM!Company_Name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Ahmed WAEL</dc:creator>
  <dc:description/>
  <cp:lastModifiedBy>Ahmed Wael</cp:lastModifiedBy>
  <cp:revision>0</cp:revision>
  <dcterms:created xsi:type="dcterms:W3CDTF">2015-06-05T18:17:20Z</dcterms:created>
  <dcterms:modified xsi:type="dcterms:W3CDTF">2026-06-13T17:49:45Z</dcterms:modified>
  <dc:language>en-US</dc:language>
</cp:coreProperties>
</file>