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hmed.wael\Downloads\"/>
    </mc:Choice>
  </mc:AlternateContent>
  <xr:revisionPtr revIDLastSave="0" documentId="13_ncr:1_{27F95069-673D-4DCF-B00B-5B140110E2AC}" xr6:coauthVersionLast="47" xr6:coauthVersionMax="47" xr10:uidLastSave="{00000000-0000-0000-0000-000000000000}"/>
  <bookViews>
    <workbookView xWindow="-120" yWindow="-120" windowWidth="20730" windowHeight="11040" tabRatio="500" activeTab="3" xr2:uid="{00000000-000D-0000-FFFF-FFFF00000000}"/>
  </bookViews>
  <sheets>
    <sheet name="FSM" sheetId="4" r:id="rId1"/>
    <sheet name="DCF" sheetId="2" r:id="rId2"/>
    <sheet name="WACC" sheetId="3" r:id="rId3"/>
    <sheet name="Trading Comps" sheetId="5" r:id="rId4"/>
  </sheets>
  <definedNames>
    <definedName name="CIQWBGuid" localSheetId="1" hidden="1">"DCF_complete.xlsx"</definedName>
    <definedName name="CIQWBGuid" localSheetId="2" hidden="1">"DCF_complete.xlsx"</definedName>
    <definedName name="CIQWBGuid" hidden="1">"a611639b-bab1-425e-aaa5-008c326fdfdb"</definedName>
    <definedName name="Company_Name" localSheetId="0">FSM!$D$5</definedName>
    <definedName name="Company_Name">#REF!</definedName>
    <definedName name="Hist_Yr" localSheetId="0">FSM!#REF!</definedName>
    <definedName name="Hist_Yr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" hidden="1">43549.6880671296</definedName>
    <definedName name="IQ_NAMES_REVISION_DATE_" localSheetId="2" hidden="1">43549.6880671296</definedName>
    <definedName name="IQ_NAMES_REVISION_DATE_" hidden="1">43588.5561574074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LNK841c85bef3244d5c8fb6b3f84988d79e" localSheetId="1" hidden="1">#REF!</definedName>
    <definedName name="MLNK841c85bef3244d5c8fb6b3f84988d79e" localSheetId="2" hidden="1">#REF!</definedName>
    <definedName name="MLNK841c85bef3244d5c8fb6b3f84988d79e" hidden="1">#REF!</definedName>
    <definedName name="MLNKa7775792bf444a4785f8ed5c82461a24" localSheetId="1" hidden="1">#REF!</definedName>
    <definedName name="MLNKa7775792bf444a4785f8ed5c82461a24" localSheetId="2" hidden="1">#REF!</definedName>
    <definedName name="MLNKa7775792bf444a4785f8ed5c82461a24" hidden="1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4" i="5" l="1"/>
  <c r="C72" i="5"/>
  <c r="C71" i="5"/>
  <c r="C70" i="5"/>
  <c r="C69" i="5"/>
  <c r="C68" i="5"/>
  <c r="C65" i="5"/>
  <c r="C63" i="5"/>
  <c r="C62" i="5"/>
  <c r="D17" i="5"/>
  <c r="D26" i="5" s="1"/>
  <c r="D41" i="5" s="1"/>
  <c r="C34" i="5"/>
  <c r="C33" i="5"/>
  <c r="C32" i="5"/>
  <c r="C53" i="5" s="1"/>
  <c r="C31" i="5"/>
  <c r="C20" i="5"/>
  <c r="C22" i="5"/>
  <c r="C15" i="5"/>
  <c r="C17" i="5" s="1"/>
  <c r="C64" i="5" s="1"/>
  <c r="C4" i="5"/>
  <c r="C11" i="5"/>
  <c r="H5" i="2"/>
  <c r="F35" i="5"/>
  <c r="E35" i="5"/>
  <c r="D35" i="5"/>
  <c r="F23" i="5"/>
  <c r="E23" i="5"/>
  <c r="D23" i="5"/>
  <c r="F17" i="5"/>
  <c r="F26" i="5" s="1"/>
  <c r="F41" i="5" s="1"/>
  <c r="E17" i="5"/>
  <c r="E26" i="5" s="1"/>
  <c r="E41" i="5" s="1"/>
  <c r="F46" i="5" l="1"/>
  <c r="C61" i="5" s="1"/>
  <c r="F48" i="5"/>
  <c r="C23" i="5"/>
  <c r="C55" i="5" s="1"/>
  <c r="C35" i="5"/>
  <c r="F45" i="5"/>
  <c r="F47" i="5"/>
  <c r="C57" i="5"/>
  <c r="C73" i="5"/>
  <c r="C26" i="5"/>
  <c r="F27" i="5"/>
  <c r="E27" i="5"/>
  <c r="D27" i="5"/>
  <c r="D39" i="5" l="1"/>
  <c r="D40" i="5"/>
  <c r="D38" i="5"/>
  <c r="E38" i="5"/>
  <c r="E40" i="5"/>
  <c r="E39" i="5"/>
  <c r="F38" i="5"/>
  <c r="F40" i="5"/>
  <c r="F39" i="5"/>
  <c r="C27" i="5"/>
  <c r="C41" i="5"/>
  <c r="C45" i="5" l="1"/>
  <c r="C46" i="5"/>
  <c r="C48" i="5"/>
  <c r="C47" i="5"/>
  <c r="E47" i="5"/>
  <c r="E48" i="5"/>
  <c r="E46" i="5"/>
  <c r="E45" i="5"/>
  <c r="D47" i="5"/>
  <c r="D45" i="5"/>
  <c r="D48" i="5"/>
  <c r="D46" i="5"/>
  <c r="C52" i="5" s="1"/>
  <c r="C54" i="5" s="1"/>
  <c r="C56" i="5" s="1"/>
  <c r="C58" i="5" s="1"/>
  <c r="C40" i="5"/>
  <c r="C39" i="5"/>
  <c r="C38" i="5"/>
  <c r="C11" i="3" l="1"/>
  <c r="C13" i="3" s="1"/>
  <c r="C63" i="2"/>
  <c r="D72" i="2"/>
  <c r="C72" i="2"/>
  <c r="C18" i="3"/>
  <c r="I61" i="2"/>
  <c r="C64" i="2"/>
  <c r="C62" i="2"/>
  <c r="F212" i="4"/>
  <c r="E212" i="4"/>
  <c r="D212" i="4"/>
  <c r="C57" i="2"/>
  <c r="C19" i="3" s="1"/>
  <c r="F37" i="2"/>
  <c r="D8" i="2"/>
  <c r="E22" i="2"/>
  <c r="D14" i="2"/>
  <c r="H64" i="4"/>
  <c r="I64" i="4" s="1"/>
  <c r="J64" i="4" s="1"/>
  <c r="K64" i="4" s="1"/>
  <c r="E233" i="4"/>
  <c r="D233" i="4"/>
  <c r="F233" i="4"/>
  <c r="F100" i="4"/>
  <c r="E100" i="4"/>
  <c r="E91" i="4"/>
  <c r="E102" i="4" s="1"/>
  <c r="F89" i="4"/>
  <c r="E89" i="4"/>
  <c r="F82" i="4"/>
  <c r="F91" i="4" s="1"/>
  <c r="F102" i="4" s="1"/>
  <c r="E82" i="4"/>
  <c r="F68" i="4"/>
  <c r="E68" i="4"/>
  <c r="F60" i="4"/>
  <c r="F70" i="4" s="1"/>
  <c r="F104" i="4" s="1"/>
  <c r="E60" i="4"/>
  <c r="E70" i="4" s="1"/>
  <c r="E104" i="4" s="1"/>
  <c r="G128" i="4"/>
  <c r="G77" i="4"/>
  <c r="H77" i="4" s="1"/>
  <c r="I77" i="4" s="1"/>
  <c r="J77" i="4" s="1"/>
  <c r="K77" i="4" s="1"/>
  <c r="G86" i="4"/>
  <c r="H86" i="4" s="1"/>
  <c r="I86" i="4" s="1"/>
  <c r="J86" i="4" s="1"/>
  <c r="K86" i="4" s="1"/>
  <c r="G64" i="4"/>
  <c r="G65" i="4"/>
  <c r="H65" i="4" s="1"/>
  <c r="I65" i="4" s="1"/>
  <c r="J65" i="4" s="1"/>
  <c r="K65" i="4" s="1"/>
  <c r="G85" i="4"/>
  <c r="H85" i="4" s="1"/>
  <c r="I85" i="4" s="1"/>
  <c r="G58" i="4"/>
  <c r="H58" i="4" s="1"/>
  <c r="G25" i="4"/>
  <c r="H25" i="4" s="1"/>
  <c r="I25" i="4" s="1"/>
  <c r="J25" i="4" s="1"/>
  <c r="K25" i="4" s="1"/>
  <c r="F217" i="4"/>
  <c r="E217" i="4"/>
  <c r="D217" i="4"/>
  <c r="F222" i="4"/>
  <c r="E222" i="4"/>
  <c r="F221" i="4"/>
  <c r="E221" i="4"/>
  <c r="D222" i="4"/>
  <c r="D221" i="4"/>
  <c r="F211" i="4"/>
  <c r="G211" i="4"/>
  <c r="E211" i="4"/>
  <c r="E213" i="4" s="1"/>
  <c r="E18" i="3" l="1"/>
  <c r="E19" i="3"/>
  <c r="F218" i="4"/>
  <c r="C65" i="2"/>
  <c r="D70" i="2" s="1"/>
  <c r="I58" i="4"/>
  <c r="J85" i="4"/>
  <c r="E214" i="4"/>
  <c r="F223" i="4"/>
  <c r="F219" i="4"/>
  <c r="D223" i="4"/>
  <c r="F213" i="4"/>
  <c r="F214" i="4" s="1"/>
  <c r="G214" i="4" s="1"/>
  <c r="C6" i="3" s="1"/>
  <c r="C8" i="3" s="1"/>
  <c r="E218" i="4"/>
  <c r="E219" i="4" s="1"/>
  <c r="E223" i="4"/>
  <c r="E21" i="3" l="1"/>
  <c r="C70" i="2"/>
  <c r="K85" i="4"/>
  <c r="J58" i="4"/>
  <c r="G219" i="4"/>
  <c r="G221" i="4"/>
  <c r="H214" i="4"/>
  <c r="H219" i="4" l="1"/>
  <c r="I219" i="4" s="1"/>
  <c r="G222" i="4"/>
  <c r="K58" i="4"/>
  <c r="I214" i="4"/>
  <c r="G23" i="4"/>
  <c r="J214" i="4" l="1"/>
  <c r="J219" i="4"/>
  <c r="K219" i="4" l="1"/>
  <c r="K214" i="4"/>
  <c r="G76" i="4" l="1"/>
  <c r="H76" i="4" s="1"/>
  <c r="I76" i="4" s="1"/>
  <c r="J76" i="4" s="1"/>
  <c r="K76" i="4" s="1"/>
  <c r="G75" i="4"/>
  <c r="F230" i="4"/>
  <c r="G230" i="4"/>
  <c r="E230" i="4"/>
  <c r="G95" i="4"/>
  <c r="H95" i="4" s="1"/>
  <c r="I95" i="4" s="1"/>
  <c r="J95" i="4" s="1"/>
  <c r="K95" i="4" s="1"/>
  <c r="G67" i="4"/>
  <c r="H67" i="4" s="1"/>
  <c r="I67" i="4" s="1"/>
  <c r="J67" i="4" s="1"/>
  <c r="K67" i="4" s="1"/>
  <c r="G66" i="4"/>
  <c r="H66" i="4" s="1"/>
  <c r="I66" i="4" s="1"/>
  <c r="J66" i="4" s="1"/>
  <c r="K66" i="4" s="1"/>
  <c r="G88" i="4"/>
  <c r="H88" i="4" s="1"/>
  <c r="I88" i="4" s="1"/>
  <c r="J88" i="4" s="1"/>
  <c r="K88" i="4" s="1"/>
  <c r="G87" i="4"/>
  <c r="G94" i="4"/>
  <c r="H94" i="4" s="1"/>
  <c r="I94" i="4" s="1"/>
  <c r="J94" i="4" s="1"/>
  <c r="K94" i="4" s="1"/>
  <c r="G96" i="4"/>
  <c r="H96" i="4" s="1"/>
  <c r="I96" i="4" s="1"/>
  <c r="J96" i="4" s="1"/>
  <c r="K96" i="4" s="1"/>
  <c r="F194" i="4"/>
  <c r="E194" i="4"/>
  <c r="F193" i="4"/>
  <c r="E193" i="4"/>
  <c r="F192" i="4"/>
  <c r="E192" i="4"/>
  <c r="F191" i="4"/>
  <c r="E191" i="4"/>
  <c r="F187" i="4"/>
  <c r="E187" i="4"/>
  <c r="F186" i="4"/>
  <c r="E186" i="4"/>
  <c r="F185" i="4"/>
  <c r="E185" i="4"/>
  <c r="F184" i="4"/>
  <c r="E184" i="4"/>
  <c r="E203" i="4" s="1"/>
  <c r="F183" i="4"/>
  <c r="E183" i="4"/>
  <c r="F204" i="4"/>
  <c r="E204" i="4"/>
  <c r="F202" i="4"/>
  <c r="E202" i="4"/>
  <c r="D194" i="4"/>
  <c r="D193" i="4"/>
  <c r="D192" i="4"/>
  <c r="D191" i="4"/>
  <c r="D204" i="4" s="1"/>
  <c r="D187" i="4"/>
  <c r="D186" i="4"/>
  <c r="D185" i="4"/>
  <c r="D184" i="4"/>
  <c r="D203" i="4" s="1"/>
  <c r="D183" i="4"/>
  <c r="D202" i="4" s="1"/>
  <c r="F149" i="4"/>
  <c r="E149" i="4"/>
  <c r="D149" i="4"/>
  <c r="F143" i="4"/>
  <c r="E143" i="4"/>
  <c r="F142" i="4"/>
  <c r="E142" i="4"/>
  <c r="D143" i="4"/>
  <c r="D142" i="4"/>
  <c r="G142" i="4" s="1"/>
  <c r="F140" i="4"/>
  <c r="G137" i="4" s="1"/>
  <c r="E140" i="4"/>
  <c r="F137" i="4" s="1"/>
  <c r="D140" i="4"/>
  <c r="E137" i="4" s="1"/>
  <c r="G26" i="4"/>
  <c r="H26" i="4" s="1"/>
  <c r="I26" i="4" s="1"/>
  <c r="J26" i="4" s="1"/>
  <c r="K26" i="4" s="1"/>
  <c r="G143" i="4" l="1"/>
  <c r="H87" i="4"/>
  <c r="G89" i="4"/>
  <c r="G212" i="4"/>
  <c r="H75" i="4"/>
  <c r="E195" i="4"/>
  <c r="G202" i="4"/>
  <c r="F188" i="4"/>
  <c r="F195" i="4"/>
  <c r="D195" i="4"/>
  <c r="D188" i="4"/>
  <c r="G204" i="4"/>
  <c r="F203" i="4"/>
  <c r="G203" i="4" s="1"/>
  <c r="E188" i="4"/>
  <c r="E197" i="4" s="1"/>
  <c r="E198" i="4" s="1"/>
  <c r="F44" i="4"/>
  <c r="E44" i="4"/>
  <c r="D44" i="4"/>
  <c r="F43" i="4"/>
  <c r="E43" i="4"/>
  <c r="D43" i="4"/>
  <c r="F42" i="4"/>
  <c r="E42" i="4"/>
  <c r="D42" i="4"/>
  <c r="F41" i="4"/>
  <c r="E41" i="4"/>
  <c r="D41" i="4"/>
  <c r="F39" i="4"/>
  <c r="E39" i="4"/>
  <c r="G163" i="4"/>
  <c r="H163" i="4" s="1"/>
  <c r="I163" i="4" s="1"/>
  <c r="G162" i="4"/>
  <c r="H162" i="4" s="1"/>
  <c r="I162" i="4" s="1"/>
  <c r="G161" i="4"/>
  <c r="H161" i="4" s="1"/>
  <c r="I161" i="4" s="1"/>
  <c r="G160" i="4"/>
  <c r="H160" i="4" s="1"/>
  <c r="I160" i="4" s="1"/>
  <c r="G159" i="4"/>
  <c r="H159" i="4" s="1"/>
  <c r="I159" i="4" s="1"/>
  <c r="G158" i="4"/>
  <c r="H158" i="4" s="1"/>
  <c r="I158" i="4" s="1"/>
  <c r="G157" i="4"/>
  <c r="H157" i="4" s="1"/>
  <c r="I157" i="4" s="1"/>
  <c r="G156" i="4"/>
  <c r="H156" i="4" s="1"/>
  <c r="I156" i="4" s="1"/>
  <c r="G155" i="4"/>
  <c r="H155" i="4" s="1"/>
  <c r="J176" i="4"/>
  <c r="K176" i="4" s="1"/>
  <c r="J175" i="4"/>
  <c r="K175" i="4" s="1"/>
  <c r="J174" i="4"/>
  <c r="K174" i="4" s="1"/>
  <c r="J173" i="4"/>
  <c r="K173" i="4" s="1"/>
  <c r="J172" i="4"/>
  <c r="K172" i="4" s="1"/>
  <c r="J171" i="4"/>
  <c r="K171" i="4" s="1"/>
  <c r="J170" i="4"/>
  <c r="K170" i="4" s="1"/>
  <c r="J169" i="4"/>
  <c r="K169" i="4" s="1"/>
  <c r="J168" i="4"/>
  <c r="K168" i="4" s="1"/>
  <c r="F176" i="4"/>
  <c r="E176" i="4"/>
  <c r="F175" i="4"/>
  <c r="E175" i="4"/>
  <c r="F174" i="4"/>
  <c r="E174" i="4"/>
  <c r="F173" i="4"/>
  <c r="E173" i="4"/>
  <c r="F172" i="4"/>
  <c r="E172" i="4"/>
  <c r="F171" i="4"/>
  <c r="E171" i="4"/>
  <c r="F170" i="4"/>
  <c r="E170" i="4"/>
  <c r="F169" i="4"/>
  <c r="E169" i="4"/>
  <c r="F168" i="4"/>
  <c r="E168" i="4"/>
  <c r="E164" i="4"/>
  <c r="E166" i="4" s="1"/>
  <c r="F164" i="4"/>
  <c r="F166" i="4" s="1"/>
  <c r="D164" i="4"/>
  <c r="D166" i="4" s="1"/>
  <c r="I87" i="4" l="1"/>
  <c r="H89" i="4"/>
  <c r="G44" i="4"/>
  <c r="I75" i="4"/>
  <c r="H212" i="4"/>
  <c r="I211" i="4" s="1"/>
  <c r="H202" i="4"/>
  <c r="H211" i="4"/>
  <c r="H221" i="4" s="1"/>
  <c r="G213" i="4"/>
  <c r="D197" i="4"/>
  <c r="J162" i="4"/>
  <c r="K162" i="4" s="1"/>
  <c r="F197" i="4"/>
  <c r="F199" i="4" s="1"/>
  <c r="J156" i="4"/>
  <c r="K156" i="4" s="1"/>
  <c r="G41" i="4"/>
  <c r="H41" i="4" s="1"/>
  <c r="I41" i="4" s="1"/>
  <c r="J41" i="4" s="1"/>
  <c r="K41" i="4" s="1"/>
  <c r="H204" i="4"/>
  <c r="J160" i="4"/>
  <c r="K160" i="4" s="1"/>
  <c r="J163" i="4"/>
  <c r="K163" i="4" s="1"/>
  <c r="H203" i="4"/>
  <c r="H184" i="4" s="1"/>
  <c r="H54" i="4" s="1"/>
  <c r="G43" i="4"/>
  <c r="H43" i="4" s="1"/>
  <c r="I43" i="4" s="1"/>
  <c r="J43" i="4" s="1"/>
  <c r="K43" i="4" s="1"/>
  <c r="H44" i="4"/>
  <c r="I44" i="4" s="1"/>
  <c r="J44" i="4" s="1"/>
  <c r="K44" i="4" s="1"/>
  <c r="G42" i="4"/>
  <c r="H42" i="4" s="1"/>
  <c r="I42" i="4" s="1"/>
  <c r="J42" i="4" s="1"/>
  <c r="K42" i="4" s="1"/>
  <c r="I155" i="4"/>
  <c r="H164" i="4"/>
  <c r="H16" i="4" s="1"/>
  <c r="F14" i="2" s="1"/>
  <c r="F15" i="2" s="1"/>
  <c r="J159" i="4"/>
  <c r="K159" i="4" s="1"/>
  <c r="G164" i="4"/>
  <c r="G16" i="4" s="1"/>
  <c r="E14" i="2" s="1"/>
  <c r="J157" i="4"/>
  <c r="K157" i="4" s="1"/>
  <c r="J158" i="4"/>
  <c r="K158" i="4" s="1"/>
  <c r="J161" i="4"/>
  <c r="K161" i="4" s="1"/>
  <c r="I212" i="4" l="1"/>
  <c r="J211" i="4" s="1"/>
  <c r="J75" i="4"/>
  <c r="C14" i="2"/>
  <c r="E15" i="2"/>
  <c r="I202" i="4"/>
  <c r="G184" i="4"/>
  <c r="J87" i="4"/>
  <c r="I89" i="4"/>
  <c r="F198" i="4"/>
  <c r="D32" i="2"/>
  <c r="I213" i="4"/>
  <c r="I221" i="4"/>
  <c r="I23" i="4" s="1"/>
  <c r="E199" i="4"/>
  <c r="D198" i="4"/>
  <c r="H213" i="4"/>
  <c r="I203" i="4"/>
  <c r="H185" i="4"/>
  <c r="H55" i="4" s="1"/>
  <c r="H194" i="4"/>
  <c r="H81" i="4" s="1"/>
  <c r="H192" i="4"/>
  <c r="H79" i="4" s="1"/>
  <c r="H187" i="4"/>
  <c r="H57" i="4" s="1"/>
  <c r="H186" i="4"/>
  <c r="H56" i="4" s="1"/>
  <c r="H193" i="4"/>
  <c r="H80" i="4" s="1"/>
  <c r="I204" i="4"/>
  <c r="G194" i="4"/>
  <c r="G81" i="4" s="1"/>
  <c r="G185" i="4"/>
  <c r="G55" i="4" s="1"/>
  <c r="G193" i="4"/>
  <c r="G80" i="4" s="1"/>
  <c r="G192" i="4"/>
  <c r="G79" i="4" s="1"/>
  <c r="G186" i="4"/>
  <c r="G56" i="4" s="1"/>
  <c r="G187" i="4"/>
  <c r="G57" i="4" s="1"/>
  <c r="G54" i="4"/>
  <c r="H21" i="4"/>
  <c r="H20" i="4"/>
  <c r="H19" i="4"/>
  <c r="H39" i="4"/>
  <c r="H22" i="4"/>
  <c r="J155" i="4"/>
  <c r="I164" i="4"/>
  <c r="I16" i="4" s="1"/>
  <c r="G14" i="2" s="1"/>
  <c r="G15" i="2" s="1"/>
  <c r="G22" i="4"/>
  <c r="G21" i="4"/>
  <c r="G20" i="4"/>
  <c r="G19" i="4"/>
  <c r="G39" i="4"/>
  <c r="I184" i="4" l="1"/>
  <c r="I54" i="4" s="1"/>
  <c r="J202" i="4"/>
  <c r="J212" i="4"/>
  <c r="K211" i="4" s="1"/>
  <c r="K75" i="4"/>
  <c r="K87" i="4"/>
  <c r="K89" i="4" s="1"/>
  <c r="J89" i="4"/>
  <c r="D33" i="2"/>
  <c r="J213" i="4"/>
  <c r="J221" i="4"/>
  <c r="J23" i="4" s="1"/>
  <c r="H23" i="4"/>
  <c r="J204" i="4"/>
  <c r="J203" i="4"/>
  <c r="I193" i="4"/>
  <c r="I80" i="4" s="1"/>
  <c r="I186" i="4"/>
  <c r="I56" i="4" s="1"/>
  <c r="I194" i="4"/>
  <c r="I81" i="4" s="1"/>
  <c r="I192" i="4"/>
  <c r="I79" i="4" s="1"/>
  <c r="I187" i="4"/>
  <c r="I57" i="4" s="1"/>
  <c r="I185" i="4"/>
  <c r="I55" i="4" s="1"/>
  <c r="K155" i="4"/>
  <c r="K164" i="4" s="1"/>
  <c r="K16" i="4" s="1"/>
  <c r="I14" i="2" s="1"/>
  <c r="J164" i="4"/>
  <c r="J16" i="4" s="1"/>
  <c r="H14" i="2" s="1"/>
  <c r="H15" i="2" s="1"/>
  <c r="I20" i="4"/>
  <c r="I19" i="4"/>
  <c r="I39" i="4"/>
  <c r="I22" i="4"/>
  <c r="I21" i="4"/>
  <c r="I15" i="2" l="1"/>
  <c r="K202" i="4"/>
  <c r="K221" i="4"/>
  <c r="K23" i="4" s="1"/>
  <c r="J184" i="4"/>
  <c r="J54" i="4" s="1"/>
  <c r="K212" i="4"/>
  <c r="K213" i="4" s="1"/>
  <c r="K204" i="4"/>
  <c r="K203" i="4"/>
  <c r="K184" i="4" s="1"/>
  <c r="K54" i="4" s="1"/>
  <c r="J194" i="4"/>
  <c r="J81" i="4" s="1"/>
  <c r="J185" i="4"/>
  <c r="J55" i="4" s="1"/>
  <c r="J192" i="4"/>
  <c r="J79" i="4" s="1"/>
  <c r="J187" i="4"/>
  <c r="J57" i="4" s="1"/>
  <c r="J186" i="4"/>
  <c r="J56" i="4" s="1"/>
  <c r="J193" i="4"/>
  <c r="J80" i="4" s="1"/>
  <c r="K186" i="4"/>
  <c r="K56" i="4" s="1"/>
  <c r="K194" i="4"/>
  <c r="K81" i="4" s="1"/>
  <c r="K185" i="4"/>
  <c r="K55" i="4" s="1"/>
  <c r="K193" i="4"/>
  <c r="K80" i="4" s="1"/>
  <c r="K187" i="4"/>
  <c r="K57" i="4" s="1"/>
  <c r="K192" i="4"/>
  <c r="K79" i="4" s="1"/>
  <c r="J19" i="4"/>
  <c r="J39" i="4"/>
  <c r="J22" i="4"/>
  <c r="J21" i="4"/>
  <c r="J20" i="4"/>
  <c r="K22" i="4"/>
  <c r="K21" i="4"/>
  <c r="K20" i="4"/>
  <c r="K19" i="4"/>
  <c r="K39" i="4"/>
  <c r="D100" i="4" l="1"/>
  <c r="D89" i="4"/>
  <c r="D82" i="4"/>
  <c r="D68" i="4"/>
  <c r="D60" i="4"/>
  <c r="C2" i="4"/>
  <c r="F18" i="4"/>
  <c r="E18" i="4"/>
  <c r="D18" i="4"/>
  <c r="F24" i="4" l="1"/>
  <c r="F40" i="4"/>
  <c r="D24" i="4"/>
  <c r="D40" i="4"/>
  <c r="G40" i="4" s="1"/>
  <c r="E24" i="4"/>
  <c r="E40" i="4"/>
  <c r="F30" i="4"/>
  <c r="F35" i="4" l="1"/>
  <c r="D18" i="2"/>
  <c r="F33" i="4"/>
  <c r="F231" i="4" s="1"/>
  <c r="F235" i="4" s="1"/>
  <c r="F45" i="4"/>
  <c r="H40" i="4"/>
  <c r="G18" i="4"/>
  <c r="D30" i="4"/>
  <c r="D35" i="4"/>
  <c r="D36" i="4" s="1"/>
  <c r="E30" i="4"/>
  <c r="E35" i="4"/>
  <c r="E36" i="4" s="1"/>
  <c r="D70" i="4"/>
  <c r="D91" i="4"/>
  <c r="D102" i="4" s="1"/>
  <c r="D19" i="2" l="1"/>
  <c r="H45" i="4"/>
  <c r="D22" i="2"/>
  <c r="D23" i="2" s="1"/>
  <c r="F36" i="4"/>
  <c r="D16" i="2"/>
  <c r="D17" i="2" s="1"/>
  <c r="E33" i="4"/>
  <c r="E231" i="4" s="1"/>
  <c r="E235" i="4" s="1"/>
  <c r="E45" i="4"/>
  <c r="G17" i="4"/>
  <c r="G24" i="4"/>
  <c r="E18" i="2" s="1"/>
  <c r="C18" i="2" s="1"/>
  <c r="I40" i="4"/>
  <c r="H18" i="4"/>
  <c r="D33" i="4"/>
  <c r="D231" i="4" s="1"/>
  <c r="D235" i="4" s="1"/>
  <c r="D45" i="4"/>
  <c r="D104" i="4"/>
  <c r="I45" i="4" l="1"/>
  <c r="F22" i="2"/>
  <c r="D21" i="2"/>
  <c r="G235" i="4"/>
  <c r="H235" i="4" s="1"/>
  <c r="I235" i="4" s="1"/>
  <c r="J235" i="4" s="1"/>
  <c r="K235" i="4" s="1"/>
  <c r="G191" i="4"/>
  <c r="G183" i="4"/>
  <c r="E23" i="2"/>
  <c r="E21" i="2"/>
  <c r="E19" i="2"/>
  <c r="H17" i="4"/>
  <c r="H24" i="4"/>
  <c r="F18" i="2" s="1"/>
  <c r="J40" i="4"/>
  <c r="I18" i="4"/>
  <c r="H183" i="4" l="1"/>
  <c r="H191" i="4"/>
  <c r="G53" i="4"/>
  <c r="G188" i="4"/>
  <c r="G197" i="4" s="1"/>
  <c r="G78" i="4"/>
  <c r="G82" i="4" s="1"/>
  <c r="G91" i="4" s="1"/>
  <c r="G195" i="4"/>
  <c r="J45" i="4"/>
  <c r="G22" i="2"/>
  <c r="F23" i="2"/>
  <c r="F19" i="2"/>
  <c r="F21" i="2"/>
  <c r="I17" i="4"/>
  <c r="I24" i="4"/>
  <c r="G18" i="2" s="1"/>
  <c r="J18" i="4"/>
  <c r="K40" i="4"/>
  <c r="K18" i="4" s="1"/>
  <c r="K45" i="4" l="1"/>
  <c r="I22" i="2" s="1"/>
  <c r="H22" i="2"/>
  <c r="H78" i="4"/>
  <c r="H82" i="4" s="1"/>
  <c r="H91" i="4" s="1"/>
  <c r="H195" i="4"/>
  <c r="H53" i="4"/>
  <c r="H188" i="4"/>
  <c r="I183" i="4"/>
  <c r="I191" i="4"/>
  <c r="G198" i="4"/>
  <c r="E32" i="2"/>
  <c r="G199" i="4"/>
  <c r="G115" i="4" s="1"/>
  <c r="G116" i="4" s="1"/>
  <c r="G21" i="2"/>
  <c r="G19" i="2"/>
  <c r="G23" i="2"/>
  <c r="K17" i="4"/>
  <c r="K24" i="4"/>
  <c r="I18" i="2" s="1"/>
  <c r="J17" i="4"/>
  <c r="J24" i="4"/>
  <c r="H18" i="2" s="1"/>
  <c r="E33" i="2" l="1"/>
  <c r="E26" i="2"/>
  <c r="H197" i="4"/>
  <c r="J183" i="4"/>
  <c r="J191" i="4"/>
  <c r="K183" i="4"/>
  <c r="K191" i="4"/>
  <c r="I53" i="4"/>
  <c r="I188" i="4"/>
  <c r="I197" i="4" s="1"/>
  <c r="I78" i="4"/>
  <c r="I82" i="4" s="1"/>
  <c r="I91" i="4" s="1"/>
  <c r="I195" i="4"/>
  <c r="I23" i="2"/>
  <c r="I19" i="2"/>
  <c r="I21" i="2"/>
  <c r="H21" i="2"/>
  <c r="H19" i="2"/>
  <c r="H23" i="2"/>
  <c r="K78" i="4" l="1"/>
  <c r="K82" i="4" s="1"/>
  <c r="K91" i="4" s="1"/>
  <c r="K195" i="4"/>
  <c r="F32" i="2"/>
  <c r="H198" i="4"/>
  <c r="I199" i="4"/>
  <c r="I115" i="4" s="1"/>
  <c r="I116" i="4" s="1"/>
  <c r="H199" i="4"/>
  <c r="H115" i="4" s="1"/>
  <c r="H116" i="4" s="1"/>
  <c r="G32" i="2"/>
  <c r="I198" i="4"/>
  <c r="K53" i="4"/>
  <c r="K188" i="4"/>
  <c r="K197" i="4" s="1"/>
  <c r="J78" i="4"/>
  <c r="J82" i="4" s="1"/>
  <c r="J91" i="4" s="1"/>
  <c r="J195" i="4"/>
  <c r="J53" i="4"/>
  <c r="J188" i="4"/>
  <c r="B3" i="2"/>
  <c r="I32" i="2" l="1"/>
  <c r="I33" i="2" s="1"/>
  <c r="K198" i="4"/>
  <c r="G33" i="2"/>
  <c r="G26" i="2"/>
  <c r="F33" i="2"/>
  <c r="F26" i="2"/>
  <c r="J197" i="4"/>
  <c r="F14" i="4"/>
  <c r="F13" i="4"/>
  <c r="J198" i="4" l="1"/>
  <c r="H32" i="2"/>
  <c r="K199" i="4"/>
  <c r="K115" i="4" s="1"/>
  <c r="K116" i="4" s="1"/>
  <c r="J199" i="4"/>
  <c r="J115" i="4" s="1"/>
  <c r="J116" i="4" s="1"/>
  <c r="F180" i="4"/>
  <c r="F179" i="4"/>
  <c r="F153" i="4"/>
  <c r="F152" i="4"/>
  <c r="G14" i="4"/>
  <c r="G13" i="4"/>
  <c r="E13" i="4"/>
  <c r="E14" i="4"/>
  <c r="F207" i="4"/>
  <c r="F208" i="4"/>
  <c r="F226" i="4"/>
  <c r="F227" i="4"/>
  <c r="F48" i="4"/>
  <c r="F49" i="4"/>
  <c r="F134" i="4"/>
  <c r="F135" i="4"/>
  <c r="H33" i="2" l="1"/>
  <c r="I26" i="2"/>
  <c r="H26" i="2"/>
  <c r="G180" i="4"/>
  <c r="G179" i="4"/>
  <c r="E180" i="4"/>
  <c r="E179" i="4"/>
  <c r="E153" i="4"/>
  <c r="E207" i="4"/>
  <c r="G153" i="4"/>
  <c r="E152" i="4"/>
  <c r="G152" i="4"/>
  <c r="G49" i="4"/>
  <c r="G208" i="4"/>
  <c r="G135" i="4"/>
  <c r="H13" i="4"/>
  <c r="H14" i="4"/>
  <c r="G108" i="4"/>
  <c r="G227" i="4"/>
  <c r="G107" i="4"/>
  <c r="G48" i="4"/>
  <c r="G134" i="4"/>
  <c r="G207" i="4"/>
  <c r="G226" i="4"/>
  <c r="E135" i="4"/>
  <c r="E49" i="4"/>
  <c r="E227" i="4"/>
  <c r="E208" i="4"/>
  <c r="D14" i="4"/>
  <c r="E134" i="4"/>
  <c r="E48" i="4"/>
  <c r="E226" i="4"/>
  <c r="D13" i="4"/>
  <c r="H180" i="4" l="1"/>
  <c r="D179" i="4"/>
  <c r="H179" i="4"/>
  <c r="D180" i="4"/>
  <c r="H153" i="4"/>
  <c r="D153" i="4"/>
  <c r="H152" i="4"/>
  <c r="D152" i="4"/>
  <c r="I14" i="4"/>
  <c r="H108" i="4"/>
  <c r="H135" i="4"/>
  <c r="H208" i="4"/>
  <c r="H49" i="4"/>
  <c r="H227" i="4"/>
  <c r="H107" i="4"/>
  <c r="H134" i="4"/>
  <c r="H207" i="4"/>
  <c r="I13" i="4"/>
  <c r="H48" i="4"/>
  <c r="H226" i="4"/>
  <c r="D134" i="4"/>
  <c r="D48" i="4"/>
  <c r="D226" i="4"/>
  <c r="D207" i="4"/>
  <c r="D135" i="4"/>
  <c r="D49" i="4"/>
  <c r="D227" i="4"/>
  <c r="D208" i="4"/>
  <c r="O90" i="2"/>
  <c r="P90" i="2" s="1"/>
  <c r="Q90" i="2" s="1"/>
  <c r="G90" i="2"/>
  <c r="F90" i="2" s="1"/>
  <c r="E90" i="2" s="1"/>
  <c r="I179" i="4" l="1"/>
  <c r="I180" i="4"/>
  <c r="J14" i="4"/>
  <c r="I153" i="4"/>
  <c r="I152" i="4"/>
  <c r="I135" i="4"/>
  <c r="I208" i="4"/>
  <c r="I49" i="4"/>
  <c r="I227" i="4"/>
  <c r="I108" i="4"/>
  <c r="I134" i="4"/>
  <c r="J13" i="4"/>
  <c r="I107" i="4"/>
  <c r="I48" i="4"/>
  <c r="I207" i="4"/>
  <c r="I226" i="4"/>
  <c r="H90" i="2"/>
  <c r="I90" i="2" s="1"/>
  <c r="N90" i="2"/>
  <c r="M90" i="2" s="1"/>
  <c r="J180" i="4" l="1"/>
  <c r="J179" i="4"/>
  <c r="J153" i="4"/>
  <c r="K14" i="4"/>
  <c r="J227" i="4"/>
  <c r="J135" i="4"/>
  <c r="J208" i="4"/>
  <c r="J49" i="4"/>
  <c r="J108" i="4"/>
  <c r="J152" i="4"/>
  <c r="J134" i="4"/>
  <c r="J226" i="4"/>
  <c r="J207" i="4"/>
  <c r="J48" i="4"/>
  <c r="K13" i="4"/>
  <c r="J107" i="4"/>
  <c r="Q130" i="2"/>
  <c r="O130" i="2"/>
  <c r="Q129" i="2"/>
  <c r="O129" i="2"/>
  <c r="Q128" i="2"/>
  <c r="O128" i="2"/>
  <c r="D130" i="2"/>
  <c r="E129" i="2"/>
  <c r="C129" i="2"/>
  <c r="E128" i="2"/>
  <c r="C128" i="2"/>
  <c r="K180" i="4" l="1"/>
  <c r="K179" i="4"/>
  <c r="K153" i="4"/>
  <c r="K108" i="4"/>
  <c r="K135" i="4"/>
  <c r="K49" i="4"/>
  <c r="K208" i="4"/>
  <c r="K227" i="4"/>
  <c r="K152" i="4"/>
  <c r="K226" i="4"/>
  <c r="K48" i="4"/>
  <c r="K207" i="4"/>
  <c r="K134" i="4"/>
  <c r="K107" i="4"/>
  <c r="P129" i="2"/>
  <c r="D128" i="2"/>
  <c r="P128" i="2"/>
  <c r="P130" i="2"/>
  <c r="D129" i="2"/>
  <c r="B3" i="3" l="1"/>
  <c r="B35" i="2"/>
  <c r="C12" i="2" l="1"/>
  <c r="D37" i="2"/>
  <c r="D12" i="2"/>
  <c r="E12" i="2" s="1"/>
  <c r="E37" i="2" s="1"/>
  <c r="D5" i="2"/>
  <c r="C38" i="2" l="1"/>
  <c r="F12" i="2"/>
  <c r="G12" i="2" l="1"/>
  <c r="G37" i="2" s="1"/>
  <c r="H12" i="2" l="1"/>
  <c r="H37" i="2" s="1"/>
  <c r="I12" i="2" l="1"/>
  <c r="I37" i="2" s="1"/>
  <c r="B43" i="2" l="1"/>
  <c r="E44" i="2"/>
  <c r="B44" i="2"/>
  <c r="G99" i="2" l="1"/>
  <c r="F99" i="2" s="1"/>
  <c r="E99" i="2" s="1"/>
  <c r="O99" i="2"/>
  <c r="P99" i="2" s="1"/>
  <c r="Q99" i="2" s="1"/>
  <c r="N99" i="2" l="1"/>
  <c r="M99" i="2" s="1"/>
  <c r="H99" i="2"/>
  <c r="I99" i="2" s="1"/>
  <c r="H4" i="2" l="1"/>
  <c r="L93" i="2"/>
  <c r="D102" i="2"/>
  <c r="D93" i="2"/>
  <c r="L102" i="2"/>
  <c r="B129" i="2" l="1"/>
  <c r="D103" i="2"/>
  <c r="D104" i="2" s="1"/>
  <c r="D101" i="2"/>
  <c r="D100" i="2" s="1"/>
  <c r="B128" i="2"/>
  <c r="G128" i="2"/>
  <c r="L94" i="2"/>
  <c r="L95" i="2" s="1"/>
  <c r="L92" i="2"/>
  <c r="L91" i="2" s="1"/>
  <c r="D94" i="2"/>
  <c r="D95" i="2" s="1"/>
  <c r="D92" i="2"/>
  <c r="D91" i="2" s="1"/>
  <c r="G129" i="2"/>
  <c r="L101" i="2"/>
  <c r="L100" i="2" s="1"/>
  <c r="L103" i="2"/>
  <c r="L104" i="2" s="1"/>
  <c r="G130" i="2" l="1"/>
  <c r="G138" i="4" l="1"/>
  <c r="H142" i="4"/>
  <c r="H138" i="4" s="1"/>
  <c r="I142" i="4"/>
  <c r="J142" i="4" s="1"/>
  <c r="F27" i="2" l="1"/>
  <c r="F28" i="2" s="1"/>
  <c r="H120" i="4"/>
  <c r="H121" i="4" s="1"/>
  <c r="G120" i="4"/>
  <c r="G121" i="4" s="1"/>
  <c r="E27" i="2"/>
  <c r="E28" i="2" s="1"/>
  <c r="K142" i="4"/>
  <c r="K138" i="4" s="1"/>
  <c r="J138" i="4"/>
  <c r="I138" i="4"/>
  <c r="G139" i="4"/>
  <c r="G140" i="4" s="1"/>
  <c r="H143" i="4"/>
  <c r="H139" i="4" s="1"/>
  <c r="H149" i="4" s="1"/>
  <c r="G149" i="4" l="1"/>
  <c r="H27" i="2"/>
  <c r="H28" i="2" s="1"/>
  <c r="J120" i="4"/>
  <c r="J121" i="4" s="1"/>
  <c r="G27" i="2"/>
  <c r="G28" i="2" s="1"/>
  <c r="I120" i="4"/>
  <c r="I121" i="4" s="1"/>
  <c r="H35" i="4"/>
  <c r="F25" i="2"/>
  <c r="F30" i="2" s="1"/>
  <c r="F38" i="2" s="1"/>
  <c r="F39" i="2" s="1"/>
  <c r="H111" i="4"/>
  <c r="I27" i="2"/>
  <c r="I28" i="2" s="1"/>
  <c r="K120" i="4"/>
  <c r="K121" i="4" s="1"/>
  <c r="H36" i="4"/>
  <c r="F16" i="2"/>
  <c r="F17" i="2" s="1"/>
  <c r="G63" i="4"/>
  <c r="G68" i="4" s="1"/>
  <c r="H137" i="4"/>
  <c r="H140" i="4" s="1"/>
  <c r="I143" i="4"/>
  <c r="G111" i="4"/>
  <c r="I137" i="4" l="1"/>
  <c r="H63" i="4"/>
  <c r="H68" i="4" s="1"/>
  <c r="G35" i="4"/>
  <c r="E25" i="2"/>
  <c r="E30" i="2" s="1"/>
  <c r="E38" i="2" s="1"/>
  <c r="E39" i="2" s="1"/>
  <c r="I139" i="4"/>
  <c r="I149" i="4" s="1"/>
  <c r="J143" i="4"/>
  <c r="I35" i="4" l="1"/>
  <c r="G25" i="2"/>
  <c r="G30" i="2" s="1"/>
  <c r="G38" i="2" s="1"/>
  <c r="G39" i="2" s="1"/>
  <c r="I111" i="4"/>
  <c r="G36" i="4"/>
  <c r="E16" i="2"/>
  <c r="I140" i="4"/>
  <c r="I36" i="4"/>
  <c r="G16" i="2"/>
  <c r="G17" i="2" s="1"/>
  <c r="K143" i="4"/>
  <c r="K139" i="4" s="1"/>
  <c r="K149" i="4" s="1"/>
  <c r="J139" i="4"/>
  <c r="J149" i="4" s="1"/>
  <c r="J35" i="4" l="1"/>
  <c r="J111" i="4"/>
  <c r="H25" i="2"/>
  <c r="H30" i="2" s="1"/>
  <c r="H38" i="2" s="1"/>
  <c r="H39" i="2" s="1"/>
  <c r="J137" i="4"/>
  <c r="J140" i="4" s="1"/>
  <c r="I63" i="4"/>
  <c r="I68" i="4" s="1"/>
  <c r="K35" i="4"/>
  <c r="I25" i="2"/>
  <c r="I30" i="2" s="1"/>
  <c r="I38" i="2" s="1"/>
  <c r="K111" i="4"/>
  <c r="C16" i="2"/>
  <c r="E17" i="2"/>
  <c r="J36" i="4"/>
  <c r="H16" i="2"/>
  <c r="H17" i="2" s="1"/>
  <c r="K36" i="4"/>
  <c r="I16" i="2"/>
  <c r="G28" i="4"/>
  <c r="G30" i="4" s="1"/>
  <c r="G223" i="4"/>
  <c r="K137" i="4" l="1"/>
  <c r="K140" i="4" s="1"/>
  <c r="K63" i="4" s="1"/>
  <c r="K68" i="4" s="1"/>
  <c r="J63" i="4"/>
  <c r="J68" i="4" s="1"/>
  <c r="I17" i="2"/>
  <c r="I42" i="2"/>
  <c r="I44" i="2" s="1"/>
  <c r="I45" i="2" s="1"/>
  <c r="C43" i="2"/>
  <c r="C44" i="2" s="1"/>
  <c r="C45" i="2" s="1"/>
  <c r="I39" i="2"/>
  <c r="C46" i="2" s="1"/>
  <c r="G31" i="4"/>
  <c r="G33" i="4"/>
  <c r="I51" i="2" l="1"/>
  <c r="C47" i="2"/>
  <c r="C49" i="2" s="1"/>
  <c r="C50" i="2" s="1"/>
  <c r="I46" i="2"/>
  <c r="I47" i="2" s="1"/>
  <c r="D69" i="2" s="1"/>
  <c r="G231" i="4"/>
  <c r="G110" i="4"/>
  <c r="G112" i="4" s="1"/>
  <c r="G117" i="4" s="1"/>
  <c r="I49" i="2" l="1"/>
  <c r="I50" i="2" s="1"/>
  <c r="D71" i="2"/>
  <c r="D73" i="2" s="1"/>
  <c r="D99" i="2" s="1"/>
  <c r="D84" i="2"/>
  <c r="D82" i="2"/>
  <c r="D79" i="2"/>
  <c r="D77" i="2"/>
  <c r="D78" i="2"/>
  <c r="L99" i="2" s="1"/>
  <c r="D83" i="2"/>
  <c r="C69" i="2"/>
  <c r="C51" i="2"/>
  <c r="G232" i="4"/>
  <c r="G124" i="4" s="1"/>
  <c r="G125" i="4" s="1"/>
  <c r="G127" i="4" s="1"/>
  <c r="G129" i="4" s="1"/>
  <c r="G59" i="4" s="1"/>
  <c r="C71" i="2" l="1"/>
  <c r="C73" i="2" s="1"/>
  <c r="C78" i="2"/>
  <c r="L90" i="2" s="1"/>
  <c r="C82" i="2"/>
  <c r="C77" i="2"/>
  <c r="C84" i="2"/>
  <c r="C79" i="2"/>
  <c r="C83" i="2"/>
  <c r="G233" i="4"/>
  <c r="G60" i="4"/>
  <c r="G70" i="4" s="1"/>
  <c r="H128" i="4"/>
  <c r="G217" i="4"/>
  <c r="H222" i="4" s="1"/>
  <c r="H230" i="4"/>
  <c r="G98" i="4"/>
  <c r="G100" i="4" s="1"/>
  <c r="G102" i="4" s="1"/>
  <c r="H7" i="2" l="1"/>
  <c r="H8" i="2" s="1"/>
  <c r="D90" i="2"/>
  <c r="G218" i="4"/>
  <c r="G104" i="4"/>
  <c r="H28" i="4"/>
  <c r="H30" i="4" s="1"/>
  <c r="H31" i="4" s="1"/>
  <c r="H223" i="4"/>
  <c r="H33" i="4" l="1"/>
  <c r="H110" i="4" s="1"/>
  <c r="H112" i="4" s="1"/>
  <c r="H117" i="4" s="1"/>
  <c r="H231" i="4"/>
  <c r="H232" i="4" l="1"/>
  <c r="H124" i="4" s="1"/>
  <c r="H125" i="4" s="1"/>
  <c r="H127" i="4" s="1"/>
  <c r="H129" i="4" s="1"/>
  <c r="H59" i="4" s="1"/>
  <c r="H233" i="4"/>
  <c r="H98" i="4" l="1"/>
  <c r="H100" i="4" s="1"/>
  <c r="H102" i="4" s="1"/>
  <c r="I230" i="4"/>
  <c r="I128" i="4"/>
  <c r="H217" i="4"/>
  <c r="H60" i="4"/>
  <c r="H70" i="4" s="1"/>
  <c r="H104" i="4" s="1"/>
  <c r="I222" i="4" l="1"/>
  <c r="H218" i="4"/>
  <c r="I28" i="4" l="1"/>
  <c r="I30" i="4" s="1"/>
  <c r="I223" i="4"/>
  <c r="I31" i="4" l="1"/>
  <c r="I33" i="4" s="1"/>
  <c r="I110" i="4" l="1"/>
  <c r="I112" i="4" s="1"/>
  <c r="I117" i="4" s="1"/>
  <c r="I231" i="4"/>
  <c r="I232" i="4" l="1"/>
  <c r="I124" i="4" s="1"/>
  <c r="I125" i="4" s="1"/>
  <c r="I127" i="4" s="1"/>
  <c r="I129" i="4" s="1"/>
  <c r="I59" i="4" s="1"/>
  <c r="I233" i="4" l="1"/>
  <c r="I217" i="4"/>
  <c r="I60" i="4"/>
  <c r="I70" i="4" s="1"/>
  <c r="J128" i="4"/>
  <c r="I98" i="4"/>
  <c r="I100" i="4" s="1"/>
  <c r="I102" i="4" s="1"/>
  <c r="J230" i="4"/>
  <c r="I104" i="4" l="1"/>
  <c r="J222" i="4"/>
  <c r="I218" i="4"/>
  <c r="J28" i="4" l="1"/>
  <c r="J30" i="4" s="1"/>
  <c r="J223" i="4"/>
  <c r="J31" i="4" l="1"/>
  <c r="J33" i="4"/>
  <c r="J231" i="4" l="1"/>
  <c r="J232" i="4" s="1"/>
  <c r="J124" i="4" s="1"/>
  <c r="J125" i="4" s="1"/>
  <c r="J110" i="4"/>
  <c r="J112" i="4" s="1"/>
  <c r="J117" i="4" s="1"/>
  <c r="J233" i="4"/>
  <c r="J127" i="4" l="1"/>
  <c r="J129" i="4" s="1"/>
  <c r="J59" i="4" s="1"/>
  <c r="K230" i="4"/>
  <c r="J98" i="4"/>
  <c r="J100" i="4" s="1"/>
  <c r="J102" i="4" s="1"/>
  <c r="J217" i="4" l="1"/>
  <c r="J60" i="4"/>
  <c r="J70" i="4" s="1"/>
  <c r="J104" i="4" s="1"/>
  <c r="K128" i="4"/>
  <c r="K222" i="4" l="1"/>
  <c r="J218" i="4"/>
  <c r="K28" i="4" l="1"/>
  <c r="K30" i="4" s="1"/>
  <c r="K31" i="4" s="1"/>
  <c r="K33" i="4" s="1"/>
  <c r="K231" i="4" s="1"/>
  <c r="K223" i="4"/>
  <c r="K110" i="4" l="1"/>
  <c r="K112" i="4" s="1"/>
  <c r="K117" i="4" s="1"/>
  <c r="K232" i="4"/>
  <c r="K124" i="4" s="1"/>
  <c r="K125" i="4" s="1"/>
  <c r="K127" i="4" s="1"/>
  <c r="K129" i="4" s="1"/>
  <c r="K59" i="4" s="1"/>
  <c r="K60" i="4" l="1"/>
  <c r="K70" i="4" s="1"/>
  <c r="K217" i="4"/>
  <c r="K218" i="4" s="1"/>
  <c r="K233" i="4"/>
  <c r="K98" i="4" s="1"/>
  <c r="K100" i="4" s="1"/>
  <c r="K102" i="4" s="1"/>
  <c r="K10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Wall Street Prep</author>
  </authors>
  <commentList>
    <comment ref="I51" authorId="0" shapeId="0" xr:uid="{D023616E-A2D0-4F67-8584-02B573E5601B}">
      <text>
        <r>
          <rPr>
            <b/>
            <sz val="9"/>
            <color indexed="81"/>
            <rFont val="Tahoma"/>
            <family val="2"/>
          </rPr>
          <t>Wall Street Prep:</t>
        </r>
        <r>
          <rPr>
            <sz val="9"/>
            <color indexed="81"/>
            <rFont val="Tahoma"/>
            <family val="2"/>
          </rPr>
          <t xml:space="preserve">
Implied g = [r -FCF(t)/TV]/(1+FCF(t)/TV)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 Wael</author>
  </authors>
  <commentList>
    <comment ref="C6" authorId="0" shapeId="0" xr:uid="{CA3D5E9A-7577-431C-B688-FCA99B037B28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CBE overnight lending rate + 0.6% (Source: Consolidated FS FY2025, Note 25)</t>
        </r>
      </text>
    </comment>
    <comment ref="C10" authorId="0" shapeId="0" xr:uid="{32F47DFA-2C07-4215-99DE-57F15C133615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Egypt 10 Years Bond - Egypt 5 Years CDS</t>
        </r>
      </text>
    </comment>
    <comment ref="C12" authorId="0" shapeId="0" xr:uid="{339A48B3-439F-4BA3-B740-B0D75825A9D2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country-risk premium - Egypt's total ERP</t>
        </r>
      </text>
    </comment>
  </commentList>
</comments>
</file>

<file path=xl/sharedStrings.xml><?xml version="1.0" encoding="utf-8"?>
<sst xmlns="http://schemas.openxmlformats.org/spreadsheetml/2006/main" count="434" uniqueCount="315">
  <si>
    <t>Company Name</t>
  </si>
  <si>
    <t>Ticker</t>
  </si>
  <si>
    <t>Last Historical Year</t>
  </si>
  <si>
    <t>ASSETS</t>
  </si>
  <si>
    <t>Current Assets</t>
  </si>
  <si>
    <t>Total Current Assets</t>
  </si>
  <si>
    <t>Non-Current Assets</t>
  </si>
  <si>
    <t>Total Non-Current Assets</t>
  </si>
  <si>
    <t>Total Assets</t>
  </si>
  <si>
    <t>LIABILITIES AND EQUITY</t>
  </si>
  <si>
    <t>Current Liabilities</t>
  </si>
  <si>
    <t>Total Current Liabilities</t>
  </si>
  <si>
    <t>Non-Current Liabilities</t>
  </si>
  <si>
    <t>Total Non-Current Liabilities</t>
  </si>
  <si>
    <t>Total Liabilities</t>
  </si>
  <si>
    <t>Equity</t>
  </si>
  <si>
    <t>Total Equity</t>
  </si>
  <si>
    <t>Total Liabilites &amp; Equity</t>
  </si>
  <si>
    <t>Balance Check</t>
  </si>
  <si>
    <t>Cash Generated from Operations</t>
  </si>
  <si>
    <t>CASH FLOWS FROM INVESTING ACTIVITIES</t>
  </si>
  <si>
    <t>CASH FLOWS FROM FINANCING ACTIVITIES</t>
  </si>
  <si>
    <t>Reconciliation Check vs BS Cash</t>
  </si>
  <si>
    <t>Depreciation &amp; amortization</t>
  </si>
  <si>
    <t>EBITDA</t>
  </si>
  <si>
    <t>Revenue growth</t>
  </si>
  <si>
    <t>Tax rate</t>
  </si>
  <si>
    <t>Growth Rates &amp; Margins</t>
  </si>
  <si>
    <t>Latest Closing Share Price</t>
  </si>
  <si>
    <t>Latest Closing Share Price Date</t>
  </si>
  <si>
    <t>Shares outstanding</t>
  </si>
  <si>
    <t>PROPERTY, PLANT &amp; EQUIPMENT</t>
  </si>
  <si>
    <t>Beginning of period</t>
  </si>
  <si>
    <t>Plus: Capital expenditures</t>
  </si>
  <si>
    <t>Less: Depreciation</t>
  </si>
  <si>
    <t>End of period</t>
  </si>
  <si>
    <t>IMPUTING TOTAL DEPRECIATION &amp; AMORTIZATION</t>
  </si>
  <si>
    <t>D&amp;A not related to PP&amp;E</t>
  </si>
  <si>
    <t>as % of revenue</t>
  </si>
  <si>
    <t xml:space="preserve">Depreciation &amp; Amortization - Total </t>
  </si>
  <si>
    <t>% growth</t>
  </si>
  <si>
    <t>INCOME STATEMENT</t>
  </si>
  <si>
    <t xml:space="preserve">Fiscal year  </t>
  </si>
  <si>
    <t>Fiscal year end date</t>
  </si>
  <si>
    <t>BALANCE SHEET</t>
  </si>
  <si>
    <t>CASH FLOW STATEMENT</t>
  </si>
  <si>
    <t>Discounted Cash Flow Valuation</t>
  </si>
  <si>
    <t>Most recent fiscal year end</t>
  </si>
  <si>
    <t>Discount rate (WACC)</t>
  </si>
  <si>
    <t>Link from WACC</t>
  </si>
  <si>
    <t>End of first fiscal year</t>
  </si>
  <si>
    <t>Share price (Public Co)</t>
  </si>
  <si>
    <t>Most recent quarter end date</t>
  </si>
  <si>
    <t>Share price date</t>
  </si>
  <si>
    <t xml:space="preserve">Valuation date </t>
  </si>
  <si>
    <t>Portion of First Year Cash Flows</t>
  </si>
  <si>
    <t>Unlevered Free Cash Flows</t>
  </si>
  <si>
    <t>LTM</t>
  </si>
  <si>
    <t>Actual</t>
  </si>
  <si>
    <t>Forecasts</t>
  </si>
  <si>
    <t>Fiscal year ended</t>
  </si>
  <si>
    <t>Revenue</t>
  </si>
  <si>
    <t>% margin</t>
  </si>
  <si>
    <t>EBIT</t>
  </si>
  <si>
    <t>Tax on EBIT</t>
  </si>
  <si>
    <t>NOPAT (aka EBIAT)</t>
  </si>
  <si>
    <t>Changes in net working capital</t>
  </si>
  <si>
    <t>Capital expenditures</t>
  </si>
  <si>
    <t>Unlevered free cash flows (UFCF)</t>
  </si>
  <si>
    <t>Net working capital (WC Assets - WC liabilities)</t>
  </si>
  <si>
    <t>Val date</t>
  </si>
  <si>
    <t xml:space="preserve">Yr 1 - Stub </t>
  </si>
  <si>
    <t>Year 2</t>
  </si>
  <si>
    <t>Year 3</t>
  </si>
  <si>
    <t>Year 4</t>
  </si>
  <si>
    <t>Year 5</t>
  </si>
  <si>
    <t>Date for discounting cash flows</t>
  </si>
  <si>
    <t>Unlevered free cash flows (UFCF) stub adjusted</t>
  </si>
  <si>
    <t>Present value of of unlevered free cash flows</t>
  </si>
  <si>
    <t>Terminal value - growth in perpetuity approach</t>
  </si>
  <si>
    <t>Terminal value - EBITDA multiple approach</t>
  </si>
  <si>
    <t>Long term growth rate</t>
  </si>
  <si>
    <t>Terminal year EBITDA</t>
  </si>
  <si>
    <t>EBITDA multiple</t>
  </si>
  <si>
    <t>Present value of terminal value</t>
  </si>
  <si>
    <t>Present value of stage 1 cash flows</t>
  </si>
  <si>
    <t>Total enterprise value (TEV)</t>
  </si>
  <si>
    <t>Enterprise value (stage 1 + 2)</t>
  </si>
  <si>
    <t>Terminal value as % of TEV</t>
  </si>
  <si>
    <t>Stage 1 cash flows as % of TEV</t>
  </si>
  <si>
    <t>Cash flows as % of TEV</t>
  </si>
  <si>
    <t>Implied TV exit EBITDA multiple</t>
  </si>
  <si>
    <t>Implied terminal growth rate</t>
  </si>
  <si>
    <t>Net debt</t>
  </si>
  <si>
    <t>Source doc</t>
  </si>
  <si>
    <t>Source date</t>
  </si>
  <si>
    <t>Date</t>
  </si>
  <si>
    <t>Shares</t>
  </si>
  <si>
    <t>Gross debt and equivalents</t>
  </si>
  <si>
    <t>Basic shares</t>
  </si>
  <si>
    <t>Debt</t>
  </si>
  <si>
    <t>Restricted stock / RSUs</t>
  </si>
  <si>
    <t>Convertible debt</t>
  </si>
  <si>
    <t>Options / warrants</t>
  </si>
  <si>
    <t>Preferred stock</t>
  </si>
  <si>
    <t>Noncontrolling (minority) interests</t>
  </si>
  <si>
    <t>Convertible preferred stock</t>
  </si>
  <si>
    <t>Nonoperating assets</t>
  </si>
  <si>
    <t>Net diluted shares outstanding</t>
  </si>
  <si>
    <t xml:space="preserve">Cash </t>
  </si>
  <si>
    <t xml:space="preserve">Equity investments </t>
  </si>
  <si>
    <t>Valuation</t>
  </si>
  <si>
    <t>Perpetuity</t>
  </si>
  <si>
    <t>Enterprise value</t>
  </si>
  <si>
    <t xml:space="preserve">Equity value </t>
  </si>
  <si>
    <t>Equity value per share</t>
  </si>
  <si>
    <t>Last twelve months (LTM)</t>
  </si>
  <si>
    <t>EV / Revenue</t>
  </si>
  <si>
    <t xml:space="preserve">EV / EBITDA </t>
  </si>
  <si>
    <t>EV / EBIT</t>
  </si>
  <si>
    <t>Year 1</t>
  </si>
  <si>
    <t>Outputs</t>
  </si>
  <si>
    <t>LTM EBITDA multiple</t>
  </si>
  <si>
    <t>Long term growth rate (g):</t>
  </si>
  <si>
    <t>WACC:</t>
  </si>
  <si>
    <t xml:space="preserve">Data </t>
  </si>
  <si>
    <t>Tables</t>
  </si>
  <si>
    <t>Exit EBITDA Multiple</t>
  </si>
  <si>
    <t>Equity value range</t>
  </si>
  <si>
    <t>Football field</t>
  </si>
  <si>
    <t>Low</t>
  </si>
  <si>
    <t>Diff.</t>
  </si>
  <si>
    <t>High</t>
  </si>
  <si>
    <t>52 Week Market High/Low</t>
  </si>
  <si>
    <t>WACC Buildup</t>
  </si>
  <si>
    <t>Cost of capital assumptions</t>
  </si>
  <si>
    <t>Cost of debt</t>
  </si>
  <si>
    <t>Cost of debt (after tax)</t>
  </si>
  <si>
    <t xml:space="preserve">Risk free rate </t>
  </si>
  <si>
    <t xml:space="preserve">Beta </t>
  </si>
  <si>
    <t>Market risk premium</t>
  </si>
  <si>
    <t>Cost of equity</t>
  </si>
  <si>
    <t>Capital weights (capital structure)</t>
  </si>
  <si>
    <t xml:space="preserve">Target </t>
  </si>
  <si>
    <t xml:space="preserve">Current </t>
  </si>
  <si>
    <t>(override)</t>
  </si>
  <si>
    <t>% of total</t>
  </si>
  <si>
    <t>Cost of capital (WACC)</t>
  </si>
  <si>
    <t>CapEx % of revenue</t>
  </si>
  <si>
    <t>EBITDA margin %</t>
  </si>
  <si>
    <t>Implied Share Price</t>
  </si>
  <si>
    <t>Upside / (Downside)</t>
  </si>
  <si>
    <t>Finance costs</t>
  </si>
  <si>
    <t>Changes in Working Capital</t>
  </si>
  <si>
    <t>Net change in cash and cash equivalents</t>
  </si>
  <si>
    <t>Cash and cash equivalents at 1 January</t>
  </si>
  <si>
    <t>Cash and cash equivalents at 31 December</t>
  </si>
  <si>
    <t>WORKING CAPITAL SCHEDULE</t>
  </si>
  <si>
    <t>Operating Working Capital Assets</t>
  </si>
  <si>
    <t>Total Operating WC Assets</t>
  </si>
  <si>
    <t>Net Working Capital</t>
  </si>
  <si>
    <t>NWC as % of revenue</t>
  </si>
  <si>
    <t>Change in NWC (− = cash used)</t>
  </si>
  <si>
    <t>Operating Working Capital Liabilities</t>
  </si>
  <si>
    <t>Total Operating WC Liabilities</t>
  </si>
  <si>
    <t>DEBT &amp; INTEREST SCHEDULE</t>
  </si>
  <si>
    <t>Average debt</t>
  </si>
  <si>
    <t>Effective interest rate</t>
  </si>
  <si>
    <t>EQUITY &amp; NCI ROLL-FORWARD</t>
  </si>
  <si>
    <t>Retained Earnings</t>
  </si>
  <si>
    <t>Less: Dividends &amp; distributions</t>
  </si>
  <si>
    <t>End of period (= BS)</t>
  </si>
  <si>
    <t>Debt securities (optional cash asset)</t>
  </si>
  <si>
    <t>Operating cash flow before working capital</t>
  </si>
  <si>
    <t>Net cash flow from financing activities</t>
  </si>
  <si>
    <t>Net cash flows used in investing activities</t>
  </si>
  <si>
    <t>Net cash flows from operating activities</t>
  </si>
  <si>
    <t>PP&amp;E depreciation as % of revenue</t>
  </si>
  <si>
    <t>Consolidated FS 2025</t>
  </si>
  <si>
    <t>12/31/2025</t>
  </si>
  <si>
    <t>Gross Margin % of Revenue</t>
  </si>
  <si>
    <t>Midyear adjustment?</t>
  </si>
  <si>
    <t>WC DRIVERS (DAYS)</t>
  </si>
  <si>
    <t>DIO (days, off COGS)</t>
  </si>
  <si>
    <t>DSO (days, off revenue)</t>
  </si>
  <si>
    <t>DPO (days, off COGS)</t>
  </si>
  <si>
    <t>Retained earnings</t>
  </si>
  <si>
    <t>Depreciation of property, plant and equipment</t>
  </si>
  <si>
    <t>Paid to purchase property, plant and equipment</t>
  </si>
  <si>
    <t>Paid dividends</t>
  </si>
  <si>
    <t>Dividend payout ratio % of Net Income</t>
  </si>
  <si>
    <t>Net income</t>
  </si>
  <si>
    <t>Total Debt</t>
  </si>
  <si>
    <t>Total</t>
  </si>
  <si>
    <t>Check vs IS (row 16)</t>
  </si>
  <si>
    <t>REVENUE BUILD BY SEGMENT (EGP)</t>
  </si>
  <si>
    <t>All amounts are shown in EGP, except per-share data, ratios, and shares outstanding</t>
  </si>
  <si>
    <t>Provisions</t>
  </si>
  <si>
    <t>Deferred tax liabilities</t>
  </si>
  <si>
    <t>Interest income</t>
  </si>
  <si>
    <t>Average earning assets</t>
  </si>
  <si>
    <t>Effective yield</t>
  </si>
  <si>
    <t>Finance income</t>
  </si>
  <si>
    <t>Net finance costs</t>
  </si>
  <si>
    <t>Interest-earning assets</t>
  </si>
  <si>
    <t>Net Profit for the Year</t>
  </si>
  <si>
    <t>Net Profit Before Income Tax (EBT)</t>
  </si>
  <si>
    <t>Operating Profit (EBIT)</t>
  </si>
  <si>
    <t>Gross Profit</t>
  </si>
  <si>
    <t>Net change in working capital</t>
  </si>
  <si>
    <t>General and administrative expenses</t>
  </si>
  <si>
    <t>Other income</t>
  </si>
  <si>
    <t>Due from related parties</t>
  </si>
  <si>
    <t>Issued and paid-up capital</t>
  </si>
  <si>
    <t>Legal reserve</t>
  </si>
  <si>
    <t>x</t>
  </si>
  <si>
    <t>Net sales</t>
  </si>
  <si>
    <t>Net cost of sales</t>
  </si>
  <si>
    <t>Marketing expenses</t>
  </si>
  <si>
    <t>Other expenses</t>
  </si>
  <si>
    <t>Finance expenses and interest / Foreign currency losses*</t>
  </si>
  <si>
    <t>Investment income</t>
  </si>
  <si>
    <t>Other operating income</t>
  </si>
  <si>
    <t>Credit interests</t>
  </si>
  <si>
    <t>Foreign exchange differences / Foreign currency gain</t>
  </si>
  <si>
    <t>Income tax</t>
  </si>
  <si>
    <t>Deferred tax</t>
  </si>
  <si>
    <t>Fixed assets (Net)</t>
  </si>
  <si>
    <t>Right of use assets</t>
  </si>
  <si>
    <t>Projects under constructions</t>
  </si>
  <si>
    <t>Real estate investments</t>
  </si>
  <si>
    <t>Non-current investments</t>
  </si>
  <si>
    <t>Inventories (Net)</t>
  </si>
  <si>
    <t>Trade and notes receivable</t>
  </si>
  <si>
    <t>Advance payments</t>
  </si>
  <si>
    <t>Other debit balances / Debtors and other receivables</t>
  </si>
  <si>
    <t>Current investments</t>
  </si>
  <si>
    <t>Cash at banks and time deposits / Cash &amp; cash equiv.</t>
  </si>
  <si>
    <t>Other reserves</t>
  </si>
  <si>
    <t>Foreign currency translation (losses)</t>
  </si>
  <si>
    <t>Net profits for the year</t>
  </si>
  <si>
    <t>Loans</t>
  </si>
  <si>
    <t>Finance lease liabilities</t>
  </si>
  <si>
    <t>Long term provision</t>
  </si>
  <si>
    <t>Bank credit facilities</t>
  </si>
  <si>
    <t>Trade payables</t>
  </si>
  <si>
    <t>Due to related parties</t>
  </si>
  <si>
    <t>Other credit balances</t>
  </si>
  <si>
    <t>SKPC.CA</t>
  </si>
  <si>
    <t>Ethylene</t>
  </si>
  <si>
    <t>Unprocessed petroleum gas</t>
  </si>
  <si>
    <t>Biotin</t>
  </si>
  <si>
    <t>Naphtha</t>
  </si>
  <si>
    <t>Ethan</t>
  </si>
  <si>
    <t>CO2</t>
  </si>
  <si>
    <t>LPG Unit Returns</t>
  </si>
  <si>
    <t>Net importer for sale</t>
  </si>
  <si>
    <t>Poly -ethylene</t>
  </si>
  <si>
    <t>Plus: Net income</t>
  </si>
  <si>
    <t>Comparable Companies Analysis (Trading Comps)</t>
  </si>
  <si>
    <t>Refresh date:</t>
  </si>
  <si>
    <t>GENERAL INFORMATION</t>
  </si>
  <si>
    <t>Company</t>
  </si>
  <si>
    <t>Misr Fertilizers (MOPCO)</t>
  </si>
  <si>
    <t>Abu Qir Fertilizers</t>
  </si>
  <si>
    <t>Exchange / Currency</t>
  </si>
  <si>
    <t>EGX / EGP</t>
  </si>
  <si>
    <t>Fiscal year end</t>
  </si>
  <si>
    <t>Last closing price</t>
  </si>
  <si>
    <t>Price as of</t>
  </si>
  <si>
    <t>Basic shares outstanding</t>
  </si>
  <si>
    <t>Options / RSUs / other dilution</t>
  </si>
  <si>
    <t>Fully diluted shares</t>
  </si>
  <si>
    <t>BALANCE SHEET DATA (latest reported)</t>
  </si>
  <si>
    <t>Total debt (incl. leases)</t>
  </si>
  <si>
    <t>Minority interest</t>
  </si>
  <si>
    <t>Cash + liquid investments</t>
  </si>
  <si>
    <t>Net debt / (net cash)</t>
  </si>
  <si>
    <t>MARKET VALUATION</t>
  </si>
  <si>
    <t>Market capitalization</t>
  </si>
  <si>
    <t>Enterprise value (EV)</t>
  </si>
  <si>
    <t>LTM FINANCIALS (millions, local currency)</t>
  </si>
  <si>
    <t>LTM period</t>
  </si>
  <si>
    <t>FY2025 (Dec-25)</t>
  </si>
  <si>
    <t>EBITDA margin</t>
  </si>
  <si>
    <t>TRADING MULTIPLES</t>
  </si>
  <si>
    <t>EV / Revenue (LTM)</t>
  </si>
  <si>
    <t>EV / EBITDA (LTM)</t>
  </si>
  <si>
    <t>EV / EBIT (LTM)</t>
  </si>
  <si>
    <t>P / E (LTM)</t>
  </si>
  <si>
    <t>PEER STATISTICS (excl. MOPCO)</t>
  </si>
  <si>
    <t>EV/Revenue</t>
  </si>
  <si>
    <t>EV/EBITDA</t>
  </si>
  <si>
    <t>EV/EBIT</t>
  </si>
  <si>
    <t>P/E</t>
  </si>
  <si>
    <t>Mean</t>
  </si>
  <si>
    <t>Median</t>
  </si>
  <si>
    <t>Via EV/EBITDA:</t>
  </si>
  <si>
    <t>Peer median EV/EBITDA</t>
  </si>
  <si>
    <t>x LTM EBITDA</t>
  </si>
  <si>
    <t>Implied Enterprise Value</t>
  </si>
  <si>
    <t>Less: net debt / plus net cash</t>
  </si>
  <si>
    <t>Implied equity value</t>
  </si>
  <si>
    <t>Implied value per share (EGP)</t>
  </si>
  <si>
    <t>Via P/E:</t>
  </si>
  <si>
    <t>Peer median P/E</t>
  </si>
  <si>
    <t>Sidi Kerir Petrochemicals - SIDPEC</t>
  </si>
  <si>
    <t>Egyptian Chemical Industries - KIMA</t>
  </si>
  <si>
    <t>EGCH</t>
  </si>
  <si>
    <t>MFPC</t>
  </si>
  <si>
    <t>ABUK</t>
  </si>
  <si>
    <t>Via (closest Egyptian peer):</t>
  </si>
  <si>
    <t>IMPLIED VALUATION (from peer MEDIAN multiples)</t>
  </si>
  <si>
    <t>x LTM net income</t>
  </si>
  <si>
    <t>FULLY DILUTED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</si>
</sst>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3" formatCode="_-* #,##0.00_-;\-* #,##0.00_-;_-* &quot;-&quot;??_-;_-@_-"/>
    <numFmt numFmtId="164" formatCode="&quot;$&quot;#,##0.00_);\(&quot;$&quot;#,##0.00\)"/>
    <numFmt numFmtId="165" formatCode="_(* #,##0_);_(* \(#,##0\);_(* &quot;-&quot;_);_(@_)"/>
    <numFmt numFmtId="166" formatCode="&quot;FY&quot;yy"/>
    <numFmt numFmtId="167" formatCode="0.0%"/>
    <numFmt numFmtId="168" formatCode="_(* #,##0.00_);_(* \(#,##0.00\);_(* \-??_);_(@_)"/>
    <numFmt numFmtId="169" formatCode="_(* #,##0_);_(* \(#,##0\);_(* \-??_);_(@_)"/>
    <numFmt numFmtId="170" formatCode="_(* #,##0_);_(* \(#,##0\);_(* \-_);_(@_)"/>
    <numFmt numFmtId="171" formatCode="_(* #,##0_);_(* \(#,##0\);_(* &quot;-&quot;??_);_(@_)"/>
    <numFmt numFmtId="172" formatCode="#,##0.000_);\(#,##0.000\)"/>
    <numFmt numFmtId="173" formatCode="m/d/yy;@"/>
    <numFmt numFmtId="174" formatCode="0\A;[Red]0\A"/>
    <numFmt numFmtId="175" formatCode="0\P_);\(0\P\)"/>
    <numFmt numFmtId="176" formatCode="0.0%_);\(0.0%\);@_)"/>
    <numFmt numFmtId="177" formatCode="_(#,##0.0%_);\(#,##0.0%\);_(&quot;–&quot;_)_%;_(@_)_%"/>
    <numFmt numFmtId="178" formatCode="0000\A"/>
    <numFmt numFmtId="179" formatCode="0000\P"/>
    <numFmt numFmtId="180" formatCode="#,##0_);\(#,##0\);@_)"/>
    <numFmt numFmtId="181" formatCode="0.0\x_);\(0.0\x\);@_)"/>
    <numFmt numFmtId="182" formatCode="0.000%_);\(0.000%\);@_)"/>
    <numFmt numFmtId="183" formatCode="#,##0.000_);\(#,##0.000\);@_)"/>
    <numFmt numFmtId="184" formatCode="_([$$]#,##0_)_%;\([$$]#,##0\)_%;_(&quot;–&quot;_)_%;_(@_)_%"/>
    <numFmt numFmtId="185" formatCode="&quot;$&quot;#,##0.00_);\(&quot;$&quot;#,##0.00\);@_)"/>
    <numFmt numFmtId="186" formatCode="_(0.0\x_)_';_(\(0.0\x\)_';_(&quot;–&quot;_)_%;_(@_)_%"/>
    <numFmt numFmtId="187" formatCode="_(0.0_)_'_x;_(\(0.0\)_';_(&quot;–&quot;_)_%;_(@_)_%"/>
    <numFmt numFmtId="188" formatCode="#,##0.00_);\(#,##0.00\);\-_);@_)"/>
    <numFmt numFmtId="189" formatCode="#,##0.0_);\(#,##0.0\);\-_);@_)"/>
    <numFmt numFmtId="190" formatCode="_(#,##0.00%_);\(#,##0.00%\);_(&quot;–&quot;_)_%;_(@_)_%"/>
    <numFmt numFmtId="191" formatCode="_(* #,##0.0_);_(* \(#,##0.0\);_(* \-??_);_(@_)"/>
    <numFmt numFmtId="192" formatCode="d/m/yy;@"/>
    <numFmt numFmtId="193" formatCode="[$-409]mmmmm/yy;@"/>
    <numFmt numFmtId="194" formatCode="[$EGP]\ #,##0.00_);[Red]\([$EGP]\ #,##0.00\)"/>
    <numFmt numFmtId="195" formatCode="&quot;EGP&quot;\ #,##0.00"/>
    <numFmt numFmtId="197" formatCode="#,##0;\(#,##0\)"/>
    <numFmt numFmtId="198" formatCode="0.0&quot;x&quot;"/>
  </numFmts>
  <fonts count="4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0"/>
      <name val="Times New Roman"/>
      <family val="1"/>
    </font>
    <font>
      <sz val="11"/>
      <color rgb="FF008000"/>
      <name val="Calibri"/>
      <family val="2"/>
      <scheme val="minor"/>
    </font>
    <font>
      <u/>
      <sz val="11"/>
      <color theme="1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singleAccounting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</font>
    <font>
      <sz val="11"/>
      <color theme="4" tint="-0.249977111117893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0000FF"/>
      <name val="Calibri"/>
      <family val="2"/>
    </font>
    <font>
      <b/>
      <i/>
      <sz val="11"/>
      <color theme="1"/>
      <name val="Calibri"/>
      <family val="2"/>
    </font>
    <font>
      <i/>
      <sz val="11"/>
      <name val="Calibri"/>
      <family val="2"/>
    </font>
    <font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  <charset val="1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F2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auto="1"/>
      </top>
      <bottom/>
      <diagonal/>
    </border>
  </borders>
  <cellStyleXfs count="8">
    <xf numFmtId="0" fontId="0" fillId="0" borderId="0"/>
    <xf numFmtId="168" fontId="6" fillId="0" borderId="0"/>
    <xf numFmtId="9" fontId="6" fillId="0" borderId="0"/>
    <xf numFmtId="0" fontId="5" fillId="0" borderId="0"/>
    <xf numFmtId="37" fontId="21" fillId="0" borderId="0"/>
    <xf numFmtId="0" fontId="23" fillId="0" borderId="0" applyNumberFormat="0" applyFill="0" applyBorder="0" applyAlignment="0" applyProtection="0"/>
    <xf numFmtId="193" fontId="35" fillId="0" borderId="0"/>
    <xf numFmtId="0" fontId="1" fillId="0" borderId="0"/>
  </cellStyleXfs>
  <cellXfs count="301">
    <xf numFmtId="0" fontId="0" fillId="0" borderId="0" xfId="0"/>
    <xf numFmtId="167" fontId="6" fillId="0" borderId="0" xfId="2" applyNumberFormat="1"/>
    <xf numFmtId="0" fontId="8" fillId="0" borderId="0" xfId="0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0" borderId="4" xfId="0" applyFont="1" applyBorder="1"/>
    <xf numFmtId="0" fontId="10" fillId="0" borderId="5" xfId="0" applyFont="1" applyBorder="1"/>
    <xf numFmtId="170" fontId="14" fillId="0" borderId="0" xfId="1" applyNumberFormat="1" applyFont="1"/>
    <xf numFmtId="0" fontId="15" fillId="0" borderId="1" xfId="0" applyFont="1" applyBorder="1"/>
    <xf numFmtId="169" fontId="15" fillId="0" borderId="1" xfId="1" applyNumberFormat="1" applyFont="1" applyBorder="1"/>
    <xf numFmtId="0" fontId="15" fillId="0" borderId="0" xfId="0" applyFont="1"/>
    <xf numFmtId="169" fontId="15" fillId="0" borderId="0" xfId="1" applyNumberFormat="1" applyFont="1"/>
    <xf numFmtId="167" fontId="11" fillId="0" borderId="0" xfId="2" applyNumberFormat="1" applyFont="1"/>
    <xf numFmtId="0" fontId="15" fillId="0" borderId="3" xfId="0" applyFont="1" applyBorder="1"/>
    <xf numFmtId="0" fontId="10" fillId="0" borderId="0" xfId="0" applyFont="1" applyAlignment="1">
      <alignment horizontal="left" indent="1"/>
    </xf>
    <xf numFmtId="169" fontId="10" fillId="0" borderId="0" xfId="0" applyNumberFormat="1" applyFont="1"/>
    <xf numFmtId="169" fontId="10" fillId="0" borderId="0" xfId="1" applyNumberFormat="1" applyFont="1"/>
    <xf numFmtId="0" fontId="17" fillId="0" borderId="2" xfId="0" applyFont="1" applyBorder="1"/>
    <xf numFmtId="169" fontId="15" fillId="0" borderId="2" xfId="1" applyNumberFormat="1" applyFont="1" applyBorder="1"/>
    <xf numFmtId="167" fontId="10" fillId="0" borderId="0" xfId="2" applyNumberFormat="1" applyFont="1"/>
    <xf numFmtId="1" fontId="10" fillId="0" borderId="0" xfId="2" applyNumberFormat="1" applyFont="1"/>
    <xf numFmtId="0" fontId="13" fillId="0" borderId="0" xfId="0" applyFont="1" applyAlignment="1">
      <alignment horizontal="left" indent="1"/>
    </xf>
    <xf numFmtId="169" fontId="15" fillId="0" borderId="0" xfId="0" applyNumberFormat="1" applyFont="1"/>
    <xf numFmtId="0" fontId="15" fillId="0" borderId="1" xfId="0" applyFont="1" applyBorder="1" applyAlignment="1">
      <alignment horizontal="left"/>
    </xf>
    <xf numFmtId="170" fontId="10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indent="2"/>
    </xf>
    <xf numFmtId="170" fontId="16" fillId="0" borderId="3" xfId="1" applyNumberFormat="1" applyFont="1" applyBorder="1"/>
    <xf numFmtId="0" fontId="18" fillId="0" borderId="0" xfId="0" applyFont="1"/>
    <xf numFmtId="0" fontId="12" fillId="0" borderId="0" xfId="0" applyFont="1"/>
    <xf numFmtId="0" fontId="18" fillId="0" borderId="0" xfId="0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13" fillId="0" borderId="0" xfId="0" applyFont="1"/>
    <xf numFmtId="170" fontId="13" fillId="0" borderId="0" xfId="0" applyNumberFormat="1" applyFont="1" applyAlignment="1">
      <alignment horizontal="center" vertical="center"/>
    </xf>
    <xf numFmtId="10" fontId="10" fillId="0" borderId="0" xfId="2" applyNumberFormat="1" applyFont="1"/>
    <xf numFmtId="0" fontId="15" fillId="0" borderId="3" xfId="0" applyFont="1" applyBorder="1" applyAlignment="1">
      <alignment horizontal="left"/>
    </xf>
    <xf numFmtId="0" fontId="7" fillId="0" borderId="6" xfId="0" applyFont="1" applyBorder="1"/>
    <xf numFmtId="0" fontId="0" fillId="0" borderId="6" xfId="0" applyBorder="1"/>
    <xf numFmtId="174" fontId="7" fillId="0" borderId="0" xfId="0" applyNumberFormat="1" applyFont="1"/>
    <xf numFmtId="175" fontId="7" fillId="0" borderId="0" xfId="0" applyNumberFormat="1" applyFont="1"/>
    <xf numFmtId="0" fontId="19" fillId="0" borderId="6" xfId="0" applyFont="1" applyBorder="1"/>
    <xf numFmtId="173" fontId="19" fillId="0" borderId="2" xfId="0" applyNumberFormat="1" applyFont="1" applyBorder="1"/>
    <xf numFmtId="0" fontId="16" fillId="0" borderId="0" xfId="0" applyFont="1"/>
    <xf numFmtId="173" fontId="19" fillId="0" borderId="6" xfId="0" applyNumberFormat="1" applyFont="1" applyBorder="1"/>
    <xf numFmtId="166" fontId="16" fillId="0" borderId="0" xfId="0" applyNumberFormat="1" applyFont="1" applyAlignment="1">
      <alignment horizontal="center" vertical="center"/>
    </xf>
    <xf numFmtId="0" fontId="0" fillId="0" borderId="3" xfId="0" applyBorder="1"/>
    <xf numFmtId="174" fontId="7" fillId="0" borderId="3" xfId="0" applyNumberFormat="1" applyFont="1" applyBorder="1"/>
    <xf numFmtId="175" fontId="7" fillId="0" borderId="3" xfId="0" applyNumberFormat="1" applyFont="1" applyBorder="1"/>
    <xf numFmtId="0" fontId="5" fillId="0" borderId="0" xfId="3"/>
    <xf numFmtId="0" fontId="7" fillId="0" borderId="4" xfId="3" applyFont="1" applyBorder="1"/>
    <xf numFmtId="0" fontId="5" fillId="0" borderId="4" xfId="3" applyBorder="1"/>
    <xf numFmtId="0" fontId="20" fillId="0" borderId="5" xfId="3" applyFont="1" applyBorder="1"/>
    <xf numFmtId="14" fontId="9" fillId="0" borderId="0" xfId="4" applyNumberFormat="1" applyFont="1" applyAlignment="1">
      <alignment horizontal="right"/>
    </xf>
    <xf numFmtId="176" fontId="22" fillId="0" borderId="0" xfId="3" applyNumberFormat="1" applyFont="1"/>
    <xf numFmtId="14" fontId="8" fillId="0" borderId="0" xfId="4" applyNumberFormat="1" applyFont="1" applyAlignment="1">
      <alignment horizontal="right"/>
    </xf>
    <xf numFmtId="14" fontId="9" fillId="0" borderId="0" xfId="3" applyNumberFormat="1" applyFont="1" applyAlignment="1">
      <alignment horizontal="right"/>
    </xf>
    <xf numFmtId="0" fontId="23" fillId="0" borderId="0" xfId="5" applyBorder="1"/>
    <xf numFmtId="177" fontId="8" fillId="0" borderId="0" xfId="3" applyNumberFormat="1" applyFont="1"/>
    <xf numFmtId="164" fontId="22" fillId="0" borderId="0" xfId="3" applyNumberFormat="1" applyFont="1" applyAlignment="1">
      <alignment horizontal="right"/>
    </xf>
    <xf numFmtId="0" fontId="7" fillId="0" borderId="7" xfId="3" applyFont="1" applyBorder="1"/>
    <xf numFmtId="0" fontId="5" fillId="0" borderId="7" xfId="3" applyBorder="1"/>
    <xf numFmtId="164" fontId="22" fillId="0" borderId="7" xfId="3" applyNumberFormat="1" applyFont="1" applyBorder="1" applyAlignment="1">
      <alignment horizontal="right"/>
    </xf>
    <xf numFmtId="0" fontId="24" fillId="0" borderId="0" xfId="3" applyFont="1" applyAlignment="1">
      <alignment horizontal="centerContinuous"/>
    </xf>
    <xf numFmtId="0" fontId="25" fillId="0" borderId="8" xfId="3" applyFont="1" applyBorder="1" applyAlignment="1">
      <alignment horizontal="centerContinuous"/>
    </xf>
    <xf numFmtId="0" fontId="19" fillId="0" borderId="0" xfId="3" applyFont="1"/>
    <xf numFmtId="14" fontId="5" fillId="0" borderId="0" xfId="3" applyNumberFormat="1" applyAlignment="1">
      <alignment horizontal="center"/>
    </xf>
    <xf numFmtId="180" fontId="8" fillId="0" borderId="0" xfId="3" applyNumberFormat="1" applyFont="1"/>
    <xf numFmtId="180" fontId="22" fillId="0" borderId="0" xfId="3" applyNumberFormat="1" applyFont="1"/>
    <xf numFmtId="0" fontId="5" fillId="0" borderId="0" xfId="3" applyAlignment="1">
      <alignment horizontal="left" indent="1"/>
    </xf>
    <xf numFmtId="0" fontId="7" fillId="0" borderId="0" xfId="3" applyFont="1"/>
    <xf numFmtId="180" fontId="26" fillId="0" borderId="0" xfId="3" applyNumberFormat="1" applyFont="1"/>
    <xf numFmtId="180" fontId="5" fillId="0" borderId="0" xfId="3" applyNumberFormat="1"/>
    <xf numFmtId="37" fontId="8" fillId="0" borderId="0" xfId="3" applyNumberFormat="1" applyFont="1"/>
    <xf numFmtId="180" fontId="22" fillId="0" borderId="7" xfId="3" applyNumberFormat="1" applyFont="1" applyBorder="1"/>
    <xf numFmtId="180" fontId="25" fillId="0" borderId="7" xfId="3" applyNumberFormat="1" applyFont="1" applyBorder="1" applyAlignment="1">
      <alignment horizontal="center"/>
    </xf>
    <xf numFmtId="180" fontId="25" fillId="0" borderId="0" xfId="3" applyNumberFormat="1" applyFont="1"/>
    <xf numFmtId="14" fontId="5" fillId="0" borderId="0" xfId="3" applyNumberFormat="1"/>
    <xf numFmtId="177" fontId="5" fillId="0" borderId="0" xfId="3" applyNumberFormat="1" applyAlignment="1">
      <alignment horizontal="center"/>
    </xf>
    <xf numFmtId="180" fontId="8" fillId="0" borderId="7" xfId="3" applyNumberFormat="1" applyFont="1" applyBorder="1"/>
    <xf numFmtId="0" fontId="26" fillId="0" borderId="0" xfId="3" applyFont="1"/>
    <xf numFmtId="177" fontId="9" fillId="0" borderId="0" xfId="3" applyNumberFormat="1" applyFont="1"/>
    <xf numFmtId="179" fontId="5" fillId="0" borderId="0" xfId="3" applyNumberFormat="1"/>
    <xf numFmtId="181" fontId="9" fillId="0" borderId="0" xfId="3" applyNumberFormat="1" applyFont="1"/>
    <xf numFmtId="180" fontId="7" fillId="0" borderId="0" xfId="3" applyNumberFormat="1" applyFont="1"/>
    <xf numFmtId="0" fontId="19" fillId="0" borderId="0" xfId="3" applyFont="1" applyAlignment="1">
      <alignment horizontal="left"/>
    </xf>
    <xf numFmtId="177" fontId="19" fillId="0" borderId="0" xfId="3" applyNumberFormat="1" applyFont="1"/>
    <xf numFmtId="182" fontId="19" fillId="0" borderId="0" xfId="3" applyNumberFormat="1" applyFont="1"/>
    <xf numFmtId="177" fontId="5" fillId="0" borderId="0" xfId="3" applyNumberFormat="1"/>
    <xf numFmtId="181" fontId="19" fillId="0" borderId="0" xfId="3" applyNumberFormat="1" applyFont="1"/>
    <xf numFmtId="176" fontId="5" fillId="0" borderId="0" xfId="3" quotePrefix="1" applyNumberFormat="1"/>
    <xf numFmtId="0" fontId="5" fillId="0" borderId="0" xfId="3" applyAlignment="1">
      <alignment horizontal="left"/>
    </xf>
    <xf numFmtId="0" fontId="27" fillId="0" borderId="0" xfId="3" applyFont="1"/>
    <xf numFmtId="0" fontId="27" fillId="0" borderId="0" xfId="3" applyFont="1" applyAlignment="1">
      <alignment horizontal="right"/>
    </xf>
    <xf numFmtId="0" fontId="27" fillId="0" borderId="0" xfId="3" applyFont="1" applyAlignment="1">
      <alignment horizontal="left" vertical="center"/>
    </xf>
    <xf numFmtId="14" fontId="8" fillId="0" borderId="0" xfId="3" applyNumberFormat="1" applyFont="1"/>
    <xf numFmtId="183" fontId="9" fillId="0" borderId="0" xfId="3" applyNumberFormat="1" applyFont="1"/>
    <xf numFmtId="172" fontId="9" fillId="0" borderId="0" xfId="3" applyNumberFormat="1" applyFont="1"/>
    <xf numFmtId="37" fontId="22" fillId="0" borderId="0" xfId="3" applyNumberFormat="1" applyFont="1"/>
    <xf numFmtId="0" fontId="8" fillId="0" borderId="0" xfId="3" applyFont="1" applyAlignment="1">
      <alignment horizontal="left" indent="1"/>
    </xf>
    <xf numFmtId="0" fontId="7" fillId="0" borderId="0" xfId="3" applyFont="1" applyAlignment="1">
      <alignment horizontal="left"/>
    </xf>
    <xf numFmtId="184" fontId="9" fillId="0" borderId="0" xfId="3" applyNumberFormat="1" applyFont="1"/>
    <xf numFmtId="0" fontId="5" fillId="0" borderId="0" xfId="3" applyAlignment="1">
      <alignment horizontal="left" vertical="center" indent="1"/>
    </xf>
    <xf numFmtId="172" fontId="5" fillId="0" borderId="0" xfId="3" applyNumberFormat="1"/>
    <xf numFmtId="183" fontId="28" fillId="0" borderId="0" xfId="3" applyNumberFormat="1" applyFont="1"/>
    <xf numFmtId="0" fontId="7" fillId="0" borderId="0" xfId="3" applyFont="1" applyAlignment="1">
      <alignment vertical="center"/>
    </xf>
    <xf numFmtId="0" fontId="24" fillId="0" borderId="0" xfId="3" applyFont="1" applyAlignment="1">
      <alignment horizontal="right"/>
    </xf>
    <xf numFmtId="180" fontId="5" fillId="0" borderId="0" xfId="3" applyNumberFormat="1" applyAlignment="1">
      <alignment horizontal="right"/>
    </xf>
    <xf numFmtId="37" fontId="19" fillId="0" borderId="7" xfId="3" applyNumberFormat="1" applyFont="1" applyBorder="1" applyAlignment="1">
      <alignment horizontal="right"/>
    </xf>
    <xf numFmtId="37" fontId="5" fillId="0" borderId="0" xfId="3" applyNumberFormat="1" applyAlignment="1">
      <alignment horizontal="right"/>
    </xf>
    <xf numFmtId="187" fontId="5" fillId="0" borderId="0" xfId="3" applyNumberFormat="1" applyAlignment="1">
      <alignment horizontal="right"/>
    </xf>
    <xf numFmtId="0" fontId="8" fillId="2" borderId="0" xfId="3" applyFont="1" applyFill="1"/>
    <xf numFmtId="0" fontId="29" fillId="0" borderId="0" xfId="3" applyFont="1" applyAlignment="1">
      <alignment horizontal="centerContinuous"/>
    </xf>
    <xf numFmtId="0" fontId="24" fillId="0" borderId="9" xfId="3" applyFont="1" applyBorder="1" applyAlignment="1">
      <alignment horizontal="centerContinuous"/>
    </xf>
    <xf numFmtId="0" fontId="5" fillId="0" borderId="0" xfId="3" applyAlignment="1">
      <alignment horizontal="centerContinuous"/>
    </xf>
    <xf numFmtId="0" fontId="5" fillId="0" borderId="9" xfId="3" applyBorder="1" applyAlignment="1">
      <alignment horizontal="centerContinuous"/>
    </xf>
    <xf numFmtId="0" fontId="5" fillId="0" borderId="0" xfId="3" applyAlignment="1">
      <alignment horizontal="right"/>
    </xf>
    <xf numFmtId="167" fontId="9" fillId="3" borderId="11" xfId="3" applyNumberFormat="1" applyFont="1" applyFill="1" applyBorder="1"/>
    <xf numFmtId="181" fontId="5" fillId="0" borderId="12" xfId="3" applyNumberFormat="1" applyBorder="1" applyAlignment="1">
      <alignment horizontal="right"/>
    </xf>
    <xf numFmtId="188" fontId="5" fillId="0" borderId="0" xfId="3" applyNumberFormat="1"/>
    <xf numFmtId="188" fontId="5" fillId="0" borderId="9" xfId="3" applyNumberFormat="1" applyBorder="1"/>
    <xf numFmtId="181" fontId="5" fillId="0" borderId="0" xfId="3" applyNumberFormat="1" applyAlignment="1">
      <alignment horizontal="right"/>
    </xf>
    <xf numFmtId="167" fontId="9" fillId="3" borderId="14" xfId="3" applyNumberFormat="1" applyFont="1" applyFill="1" applyBorder="1" applyAlignment="1">
      <alignment horizontal="right"/>
    </xf>
    <xf numFmtId="0" fontId="26" fillId="2" borderId="0" xfId="3" applyFont="1" applyFill="1" applyAlignment="1">
      <alignment horizontal="center"/>
    </xf>
    <xf numFmtId="189" fontId="5" fillId="0" borderId="0" xfId="3" applyNumberFormat="1"/>
    <xf numFmtId="181" fontId="9" fillId="3" borderId="11" xfId="3" applyNumberFormat="1" applyFont="1" applyFill="1" applyBorder="1"/>
    <xf numFmtId="0" fontId="5" fillId="0" borderId="9" xfId="3" applyBorder="1"/>
    <xf numFmtId="0" fontId="7" fillId="4" borderId="0" xfId="3" applyFont="1" applyFill="1"/>
    <xf numFmtId="0" fontId="7" fillId="4" borderId="9" xfId="3" applyFont="1" applyFill="1" applyBorder="1"/>
    <xf numFmtId="190" fontId="5" fillId="0" borderId="0" xfId="3" applyNumberFormat="1"/>
    <xf numFmtId="0" fontId="5" fillId="0" borderId="10" xfId="3" applyBorder="1"/>
    <xf numFmtId="0" fontId="5" fillId="0" borderId="11" xfId="3" applyBorder="1" applyAlignment="1">
      <alignment horizontal="right"/>
    </xf>
    <xf numFmtId="0" fontId="5" fillId="0" borderId="13" xfId="3" applyBorder="1" applyAlignment="1">
      <alignment horizontal="right"/>
    </xf>
    <xf numFmtId="0" fontId="5" fillId="0" borderId="11" xfId="3" applyBorder="1"/>
    <xf numFmtId="0" fontId="5" fillId="0" borderId="15" xfId="3" applyBorder="1"/>
    <xf numFmtId="177" fontId="8" fillId="0" borderId="0" xfId="0" applyNumberFormat="1" applyFont="1"/>
    <xf numFmtId="0" fontId="26" fillId="0" borderId="7" xfId="3" applyFont="1" applyBorder="1"/>
    <xf numFmtId="0" fontId="8" fillId="0" borderId="7" xfId="3" applyFont="1" applyBorder="1"/>
    <xf numFmtId="0" fontId="26" fillId="0" borderId="7" xfId="3" applyFont="1" applyBorder="1" applyAlignment="1">
      <alignment horizontal="right"/>
    </xf>
    <xf numFmtId="0" fontId="27" fillId="0" borderId="0" xfId="3" applyFont="1" applyAlignment="1">
      <alignment horizontal="left"/>
    </xf>
    <xf numFmtId="0" fontId="7" fillId="0" borderId="6" xfId="3" applyFont="1" applyBorder="1"/>
    <xf numFmtId="0" fontId="7" fillId="0" borderId="10" xfId="3" applyFont="1" applyBorder="1"/>
    <xf numFmtId="190" fontId="8" fillId="0" borderId="0" xfId="3" applyNumberFormat="1" applyFont="1"/>
    <xf numFmtId="10" fontId="9" fillId="0" borderId="7" xfId="3" applyNumberFormat="1" applyFont="1" applyBorder="1"/>
    <xf numFmtId="10" fontId="8" fillId="0" borderId="0" xfId="3" applyNumberFormat="1" applyFont="1"/>
    <xf numFmtId="167" fontId="8" fillId="0" borderId="0" xfId="3" applyNumberFormat="1" applyFont="1"/>
    <xf numFmtId="0" fontId="5" fillId="0" borderId="6" xfId="3" applyBorder="1"/>
    <xf numFmtId="167" fontId="25" fillId="0" borderId="0" xfId="3" applyNumberFormat="1" applyFont="1" applyAlignment="1">
      <alignment horizontal="right"/>
    </xf>
    <xf numFmtId="9" fontId="9" fillId="0" borderId="0" xfId="3" applyNumberFormat="1" applyFont="1"/>
    <xf numFmtId="176" fontId="5" fillId="0" borderId="0" xfId="3" applyNumberFormat="1"/>
    <xf numFmtId="9" fontId="8" fillId="0" borderId="0" xfId="3" applyNumberFormat="1" applyFont="1"/>
    <xf numFmtId="0" fontId="7" fillId="0" borderId="11" xfId="3" applyFont="1" applyBorder="1"/>
    <xf numFmtId="176" fontId="7" fillId="0" borderId="13" xfId="3" applyNumberFormat="1" applyFont="1" applyBorder="1"/>
    <xf numFmtId="180" fontId="8" fillId="0" borderId="0" xfId="0" applyNumberFormat="1" applyFont="1"/>
    <xf numFmtId="14" fontId="0" fillId="0" borderId="0" xfId="0" applyNumberFormat="1"/>
    <xf numFmtId="39" fontId="9" fillId="0" borderId="0" xfId="3" applyNumberFormat="1" applyFont="1"/>
    <xf numFmtId="170" fontId="16" fillId="0" borderId="0" xfId="1" applyNumberFormat="1" applyFont="1"/>
    <xf numFmtId="170" fontId="15" fillId="0" borderId="0" xfId="0" applyNumberFormat="1" applyFont="1"/>
    <xf numFmtId="185" fontId="0" fillId="0" borderId="6" xfId="0" applyNumberFormat="1" applyBorder="1" applyAlignment="1">
      <alignment horizontal="right"/>
    </xf>
    <xf numFmtId="185" fontId="0" fillId="0" borderId="12" xfId="0" applyNumberFormat="1" applyBorder="1"/>
    <xf numFmtId="181" fontId="30" fillId="3" borderId="11" xfId="3" applyNumberFormat="1" applyFont="1" applyFill="1" applyBorder="1"/>
    <xf numFmtId="0" fontId="0" fillId="0" borderId="16" xfId="0" quotePrefix="1" applyBorder="1"/>
    <xf numFmtId="39" fontId="0" fillId="0" borderId="0" xfId="0" applyNumberFormat="1"/>
    <xf numFmtId="39" fontId="0" fillId="0" borderId="17" xfId="0" applyNumberFormat="1" applyBorder="1"/>
    <xf numFmtId="0" fontId="0" fillId="0" borderId="16" xfId="0" applyBorder="1"/>
    <xf numFmtId="0" fontId="0" fillId="0" borderId="18" xfId="0" applyBorder="1"/>
    <xf numFmtId="39" fontId="0" fillId="0" borderId="6" xfId="0" applyNumberFormat="1" applyBorder="1"/>
    <xf numFmtId="39" fontId="8" fillId="0" borderId="6" xfId="0" applyNumberFormat="1" applyFont="1" applyBorder="1"/>
    <xf numFmtId="39" fontId="0" fillId="0" borderId="12" xfId="0" applyNumberFormat="1" applyBorder="1"/>
    <xf numFmtId="0" fontId="0" fillId="0" borderId="9" xfId="0" applyBorder="1"/>
    <xf numFmtId="39" fontId="8" fillId="0" borderId="0" xfId="0" applyNumberFormat="1" applyFont="1"/>
    <xf numFmtId="39" fontId="8" fillId="0" borderId="17" xfId="0" applyNumberFormat="1" applyFont="1" applyBorder="1"/>
    <xf numFmtId="0" fontId="0" fillId="0" borderId="19" xfId="0" applyBorder="1"/>
    <xf numFmtId="39" fontId="8" fillId="0" borderId="12" xfId="0" applyNumberFormat="1" applyFont="1" applyBorder="1"/>
    <xf numFmtId="178" fontId="7" fillId="0" borderId="20" xfId="3" applyNumberFormat="1" applyFont="1" applyBorder="1"/>
    <xf numFmtId="180" fontId="22" fillId="0" borderId="21" xfId="3" applyNumberFormat="1" applyFont="1" applyBorder="1"/>
    <xf numFmtId="9" fontId="6" fillId="0" borderId="21" xfId="2" applyBorder="1"/>
    <xf numFmtId="180" fontId="8" fillId="0" borderId="21" xfId="3" applyNumberFormat="1" applyFont="1" applyBorder="1"/>
    <xf numFmtId="176" fontId="22" fillId="0" borderId="21" xfId="3" applyNumberFormat="1" applyFont="1" applyBorder="1"/>
    <xf numFmtId="180" fontId="26" fillId="0" borderId="22" xfId="3" applyNumberFormat="1" applyFont="1" applyBorder="1"/>
    <xf numFmtId="179" fontId="7" fillId="0" borderId="23" xfId="3" applyNumberFormat="1" applyFont="1" applyBorder="1"/>
    <xf numFmtId="179" fontId="7" fillId="0" borderId="20" xfId="3" applyNumberFormat="1" applyFont="1" applyBorder="1"/>
    <xf numFmtId="14" fontId="20" fillId="0" borderId="5" xfId="3" applyNumberFormat="1" applyFont="1" applyBorder="1"/>
    <xf numFmtId="169" fontId="6" fillId="0" borderId="0" xfId="1" applyNumberFormat="1"/>
    <xf numFmtId="170" fontId="10" fillId="0" borderId="0" xfId="0" applyNumberFormat="1" applyFont="1" applyAlignment="1">
      <alignment horizontal="center" vertical="center"/>
    </xf>
    <xf numFmtId="170" fontId="0" fillId="0" borderId="0" xfId="0" applyNumberFormat="1"/>
    <xf numFmtId="169" fontId="32" fillId="0" borderId="0" xfId="1" applyNumberFormat="1" applyFont="1"/>
    <xf numFmtId="180" fontId="9" fillId="0" borderId="0" xfId="3" applyNumberFormat="1" applyFont="1"/>
    <xf numFmtId="3" fontId="7" fillId="0" borderId="0" xfId="3" applyNumberFormat="1" applyFont="1"/>
    <xf numFmtId="14" fontId="9" fillId="0" borderId="0" xfId="3" applyNumberFormat="1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167" fontId="8" fillId="3" borderId="14" xfId="0" applyNumberFormat="1" applyFont="1" applyFill="1" applyBorder="1" applyAlignment="1">
      <alignment horizontal="right"/>
    </xf>
    <xf numFmtId="167" fontId="8" fillId="3" borderId="24" xfId="0" applyNumberFormat="1" applyFont="1" applyFill="1" applyBorder="1" applyAlignment="1">
      <alignment horizontal="right"/>
    </xf>
    <xf numFmtId="167" fontId="8" fillId="3" borderId="10" xfId="0" applyNumberFormat="1" applyFont="1" applyFill="1" applyBorder="1"/>
    <xf numFmtId="167" fontId="8" fillId="3" borderId="11" xfId="0" applyNumberFormat="1" applyFont="1" applyFill="1" applyBorder="1"/>
    <xf numFmtId="191" fontId="6" fillId="0" borderId="0" xfId="1" applyNumberFormat="1"/>
    <xf numFmtId="0" fontId="15" fillId="0" borderId="0" xfId="0" applyFont="1" applyAlignment="1">
      <alignment horizontal="left"/>
    </xf>
    <xf numFmtId="171" fontId="14" fillId="0" borderId="0" xfId="0" applyNumberFormat="1" applyFont="1"/>
    <xf numFmtId="165" fontId="15" fillId="0" borderId="0" xfId="0" applyNumberFormat="1" applyFont="1" applyAlignment="1">
      <alignment horizontal="center" vertical="center"/>
    </xf>
    <xf numFmtId="165" fontId="13" fillId="0" borderId="0" xfId="1" applyNumberFormat="1" applyFont="1"/>
    <xf numFmtId="165" fontId="10" fillId="0" borderId="0" xfId="0" applyNumberFormat="1" applyFont="1" applyAlignment="1">
      <alignment horizontal="center" vertical="center"/>
    </xf>
    <xf numFmtId="165" fontId="10" fillId="0" borderId="0" xfId="0" applyNumberFormat="1" applyFont="1"/>
    <xf numFmtId="165" fontId="16" fillId="0" borderId="0" xfId="1" applyNumberFormat="1" applyFont="1"/>
    <xf numFmtId="165" fontId="15" fillId="0" borderId="0" xfId="1" applyNumberFormat="1" applyFont="1"/>
    <xf numFmtId="165" fontId="13" fillId="0" borderId="0" xfId="0" applyNumberFormat="1" applyFont="1"/>
    <xf numFmtId="165" fontId="16" fillId="0" borderId="0" xfId="0" applyNumberFormat="1" applyFont="1" applyAlignment="1">
      <alignment horizontal="center" vertical="center"/>
    </xf>
    <xf numFmtId="9" fontId="6" fillId="0" borderId="0" xfId="2"/>
    <xf numFmtId="9" fontId="32" fillId="0" borderId="0" xfId="2" applyFont="1"/>
    <xf numFmtId="167" fontId="13" fillId="0" borderId="3" xfId="2" applyNumberFormat="1" applyFont="1" applyBorder="1"/>
    <xf numFmtId="167" fontId="32" fillId="0" borderId="0" xfId="2" applyNumberFormat="1" applyFont="1"/>
    <xf numFmtId="170" fontId="15" fillId="0" borderId="0" xfId="0" applyNumberFormat="1" applyFont="1" applyAlignment="1">
      <alignment horizontal="center" vertical="center"/>
    </xf>
    <xf numFmtId="0" fontId="4" fillId="0" borderId="0" xfId="3" applyFont="1"/>
    <xf numFmtId="37" fontId="4" fillId="0" borderId="0" xfId="3" applyNumberFormat="1" applyFont="1" applyAlignment="1">
      <alignment horizontal="right"/>
    </xf>
    <xf numFmtId="169" fontId="15" fillId="0" borderId="0" xfId="0" applyNumberFormat="1" applyFont="1" applyAlignment="1">
      <alignment horizontal="center" vertical="center"/>
    </xf>
    <xf numFmtId="169" fontId="16" fillId="0" borderId="0" xfId="0" applyNumberFormat="1" applyFont="1" applyAlignment="1">
      <alignment horizontal="center" vertical="center"/>
    </xf>
    <xf numFmtId="169" fontId="16" fillId="0" borderId="0" xfId="1" applyNumberFormat="1" applyFont="1"/>
    <xf numFmtId="176" fontId="0" fillId="0" borderId="0" xfId="0" quotePrefix="1" applyNumberFormat="1"/>
    <xf numFmtId="167" fontId="8" fillId="3" borderId="25" xfId="0" applyNumberFormat="1" applyFont="1" applyFill="1" applyBorder="1"/>
    <xf numFmtId="181" fontId="8" fillId="0" borderId="0" xfId="3" applyNumberFormat="1" applyFont="1"/>
    <xf numFmtId="181" fontId="30" fillId="3" borderId="25" xfId="3" applyNumberFormat="1" applyFont="1" applyFill="1" applyBorder="1"/>
    <xf numFmtId="0" fontId="7" fillId="0" borderId="0" xfId="0" applyFont="1"/>
    <xf numFmtId="165" fontId="19" fillId="0" borderId="0" xfId="0" applyNumberFormat="1" applyFont="1"/>
    <xf numFmtId="169" fontId="13" fillId="0" borderId="0" xfId="1" applyNumberFormat="1" applyFont="1"/>
    <xf numFmtId="171" fontId="10" fillId="0" borderId="0" xfId="0" applyNumberFormat="1" applyFont="1"/>
    <xf numFmtId="167" fontId="10" fillId="0" borderId="0" xfId="2" applyNumberFormat="1" applyFont="1" applyAlignment="1">
      <alignment horizontal="left"/>
    </xf>
    <xf numFmtId="0" fontId="10" fillId="0" borderId="0" xfId="0" applyFont="1" applyAlignment="1">
      <alignment horizontal="left"/>
    </xf>
    <xf numFmtId="171" fontId="15" fillId="0" borderId="0" xfId="1" applyNumberFormat="1" applyFont="1"/>
    <xf numFmtId="0" fontId="1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192" fontId="19" fillId="0" borderId="2" xfId="0" applyNumberFormat="1" applyFont="1" applyBorder="1"/>
    <xf numFmtId="192" fontId="3" fillId="0" borderId="2" xfId="0" applyNumberFormat="1" applyFont="1" applyBorder="1" applyAlignment="1">
      <alignment horizontal="center"/>
    </xf>
    <xf numFmtId="170" fontId="15" fillId="0" borderId="3" xfId="0" applyNumberFormat="1" applyFont="1" applyBorder="1" applyAlignment="1">
      <alignment horizontal="center" vertical="center"/>
    </xf>
    <xf numFmtId="14" fontId="20" fillId="0" borderId="0" xfId="0" applyNumberFormat="1" applyFont="1" applyAlignment="1">
      <alignment horizontal="left"/>
    </xf>
    <xf numFmtId="170" fontId="13" fillId="0" borderId="0" xfId="1" applyNumberFormat="1" applyFont="1"/>
    <xf numFmtId="170" fontId="14" fillId="0" borderId="0" xfId="0" applyNumberFormat="1" applyFont="1"/>
    <xf numFmtId="186" fontId="0" fillId="0" borderId="0" xfId="0" applyNumberFormat="1" applyAlignment="1">
      <alignment horizontal="right"/>
    </xf>
    <xf numFmtId="187" fontId="0" fillId="0" borderId="0" xfId="0" applyNumberFormat="1" applyAlignment="1">
      <alignment horizontal="right"/>
    </xf>
    <xf numFmtId="169" fontId="14" fillId="0" borderId="0" xfId="1" applyNumberFormat="1" applyFont="1"/>
    <xf numFmtId="1" fontId="10" fillId="0" borderId="0" xfId="0" applyNumberFormat="1" applyFont="1"/>
    <xf numFmtId="1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right" vertical="center"/>
    </xf>
    <xf numFmtId="0" fontId="36" fillId="0" borderId="0" xfId="0" applyFont="1" applyAlignment="1">
      <alignment horizontal="center"/>
    </xf>
    <xf numFmtId="167" fontId="14" fillId="0" borderId="0" xfId="2" applyNumberFormat="1" applyFont="1"/>
    <xf numFmtId="169" fontId="37" fillId="0" borderId="0" xfId="1" applyNumberFormat="1" applyFont="1" applyAlignment="1">
      <alignment horizontal="center" vertical="center"/>
    </xf>
    <xf numFmtId="0" fontId="10" fillId="0" borderId="6" xfId="0" applyFont="1" applyBorder="1"/>
    <xf numFmtId="192" fontId="2" fillId="0" borderId="2" xfId="0" applyNumberFormat="1" applyFont="1" applyBorder="1"/>
    <xf numFmtId="173" fontId="2" fillId="0" borderId="6" xfId="0" applyNumberFormat="1" applyFont="1" applyBorder="1"/>
    <xf numFmtId="0" fontId="13" fillId="0" borderId="0" xfId="0" applyFont="1" applyAlignment="1">
      <alignment horizontal="center" vertical="center"/>
    </xf>
    <xf numFmtId="173" fontId="2" fillId="0" borderId="2" xfId="0" applyNumberFormat="1" applyFont="1" applyBorder="1"/>
    <xf numFmtId="165" fontId="2" fillId="0" borderId="0" xfId="0" applyNumberFormat="1" applyFont="1"/>
    <xf numFmtId="165" fontId="13" fillId="0" borderId="0" xfId="0" applyNumberFormat="1" applyFont="1" applyAlignment="1">
      <alignment horizontal="center" vertical="center"/>
    </xf>
    <xf numFmtId="9" fontId="10" fillId="0" borderId="0" xfId="2" applyFont="1"/>
    <xf numFmtId="194" fontId="9" fillId="0" borderId="0" xfId="0" applyNumberFormat="1" applyFont="1" applyAlignment="1">
      <alignment horizontal="center"/>
    </xf>
    <xf numFmtId="195" fontId="30" fillId="0" borderId="0" xfId="0" applyNumberFormat="1" applyFont="1" applyAlignment="1">
      <alignment horizontal="right" vertical="center"/>
    </xf>
    <xf numFmtId="195" fontId="9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65" fontId="16" fillId="0" borderId="3" xfId="1" applyNumberFormat="1" applyFont="1" applyBorder="1"/>
    <xf numFmtId="0" fontId="15" fillId="0" borderId="0" xfId="0" applyFont="1" applyAlignment="1">
      <alignment horizontal="left" indent="1"/>
    </xf>
    <xf numFmtId="43" fontId="13" fillId="0" borderId="0" xfId="0" applyNumberFormat="1" applyFont="1"/>
    <xf numFmtId="1" fontId="14" fillId="0" borderId="0" xfId="0" applyNumberFormat="1" applyFont="1" applyAlignment="1">
      <alignment horizontal="right" vertical="center"/>
    </xf>
    <xf numFmtId="10" fontId="6" fillId="0" borderId="0" xfId="2" applyNumberFormat="1"/>
    <xf numFmtId="10" fontId="32" fillId="0" borderId="0" xfId="2" applyNumberFormat="1" applyFont="1"/>
    <xf numFmtId="190" fontId="40" fillId="0" borderId="7" xfId="3" applyNumberFormat="1" applyFont="1" applyBorder="1"/>
    <xf numFmtId="9" fontId="5" fillId="0" borderId="0" xfId="3" applyNumberFormat="1"/>
    <xf numFmtId="169" fontId="10" fillId="0" borderId="0" xfId="0" applyNumberFormat="1" applyFont="1" applyAlignment="1">
      <alignment horizontal="center" vertical="center"/>
    </xf>
    <xf numFmtId="165" fontId="14" fillId="0" borderId="0" xfId="1" applyNumberFormat="1" applyFont="1"/>
    <xf numFmtId="169" fontId="0" fillId="0" borderId="0" xfId="0" applyNumberFormat="1"/>
    <xf numFmtId="169" fontId="6" fillId="0" borderId="0" xfId="1" applyNumberFormat="1" applyAlignment="1">
      <alignment vertical="center"/>
    </xf>
    <xf numFmtId="194" fontId="9" fillId="0" borderId="0" xfId="0" applyNumberFormat="1" applyFont="1" applyAlignment="1">
      <alignment horizontal="right" vertical="center"/>
    </xf>
    <xf numFmtId="169" fontId="41" fillId="0" borderId="0" xfId="1" applyNumberFormat="1" applyFont="1"/>
    <xf numFmtId="181" fontId="9" fillId="0" borderId="0" xfId="3" applyNumberFormat="1" applyFont="1" applyAlignment="1">
      <alignment vertical="center"/>
    </xf>
    <xf numFmtId="190" fontId="22" fillId="0" borderId="7" xfId="3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7" fontId="9" fillId="0" borderId="0" xfId="3" applyNumberFormat="1" applyFont="1" applyAlignment="1">
      <alignment vertical="center"/>
    </xf>
    <xf numFmtId="167" fontId="5" fillId="0" borderId="0" xfId="3" applyNumberFormat="1"/>
    <xf numFmtId="0" fontId="7" fillId="0" borderId="4" xfId="7" applyFont="1" applyBorder="1"/>
    <xf numFmtId="0" fontId="1" fillId="0" borderId="4" xfId="7" applyBorder="1"/>
    <xf numFmtId="0" fontId="1" fillId="0" borderId="0" xfId="7"/>
    <xf numFmtId="0" fontId="42" fillId="0" borderId="0" xfId="0" applyFont="1"/>
    <xf numFmtId="49" fontId="37" fillId="0" borderId="0" xfId="0" applyNumberFormat="1" applyFont="1"/>
    <xf numFmtId="0" fontId="16" fillId="0" borderId="2" xfId="0" applyFont="1" applyBorder="1"/>
    <xf numFmtId="0" fontId="13" fillId="0" borderId="2" xfId="0" applyFont="1" applyBorder="1"/>
    <xf numFmtId="4" fontId="43" fillId="0" borderId="0" xfId="0" applyNumberFormat="1" applyFont="1"/>
    <xf numFmtId="4" fontId="37" fillId="0" borderId="0" xfId="0" applyNumberFormat="1" applyFont="1"/>
    <xf numFmtId="49" fontId="42" fillId="0" borderId="0" xfId="0" applyNumberFormat="1" applyFont="1"/>
    <xf numFmtId="197" fontId="43" fillId="0" borderId="0" xfId="0" applyNumberFormat="1" applyFont="1"/>
    <xf numFmtId="197" fontId="37" fillId="0" borderId="0" xfId="0" applyNumberFormat="1" applyFont="1"/>
    <xf numFmtId="197" fontId="16" fillId="0" borderId="0" xfId="0" applyNumberFormat="1" applyFont="1"/>
    <xf numFmtId="197" fontId="16" fillId="0" borderId="26" xfId="0" applyNumberFormat="1" applyFont="1" applyBorder="1"/>
    <xf numFmtId="167" fontId="42" fillId="0" borderId="0" xfId="0" applyNumberFormat="1" applyFont="1"/>
    <xf numFmtId="198" fontId="13" fillId="0" borderId="0" xfId="0" applyNumberFormat="1" applyFont="1"/>
    <xf numFmtId="198" fontId="16" fillId="0" borderId="0" xfId="0" applyNumberFormat="1" applyFont="1"/>
    <xf numFmtId="197" fontId="13" fillId="0" borderId="0" xfId="0" applyNumberFormat="1" applyFont="1"/>
    <xf numFmtId="4" fontId="16" fillId="0" borderId="26" xfId="0" applyNumberFormat="1" applyFont="1" applyBorder="1"/>
    <xf numFmtId="49" fontId="37" fillId="0" borderId="0" xfId="0" applyNumberFormat="1" applyFont="1" applyAlignment="1">
      <alignment horizontal="left"/>
    </xf>
    <xf numFmtId="14" fontId="37" fillId="0" borderId="0" xfId="0" applyNumberFormat="1" applyFont="1"/>
    <xf numFmtId="14" fontId="42" fillId="0" borderId="0" xfId="0" applyNumberFormat="1" applyFont="1"/>
  </cellXfs>
  <cellStyles count="8">
    <cellStyle name="Comma" xfId="1" builtinId="3"/>
    <cellStyle name="Hyperlink" xfId="5" builtinId="8"/>
    <cellStyle name="Normal" xfId="0" builtinId="0"/>
    <cellStyle name="Normal 15" xfId="6" xr:uid="{6DDD7A4B-57F6-404C-BA97-B891B271587B}"/>
    <cellStyle name="Normal 2" xfId="3" xr:uid="{937EC6E3-AE83-4BBC-ACEF-6FAAD38BC45D}"/>
    <cellStyle name="Normal 2 2" xfId="7" xr:uid="{69785CCC-C2BE-44A8-9900-2E031E0A4C9D}"/>
    <cellStyle name="Normal_DCF_Model" xfId="4" xr:uid="{EB47B55B-6DFA-4D8F-B164-61C0BEC4F72F}"/>
    <cellStyle name="Percent" xfId="2" builtinId="5"/>
  </cellStyles>
  <dxfs count="2">
    <dxf>
      <font>
        <b/>
        <i val="0"/>
      </font>
      <fill>
        <patternFill patternType="solid">
          <bgColor theme="2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F4F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DCF Equity Valuation Range </a:t>
            </a:r>
          </a:p>
        </c:rich>
      </c:tx>
      <c:layout>
        <c:manualLayout>
          <c:xMode val="edge"/>
          <c:yMode val="edge"/>
          <c:x val="0.312916268926998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7.4x-9.4x Exit EBITDA Range at 19.1% WACC</c:v>
                </c:pt>
                <c:pt idx="1">
                  <c:v>DCF Value at 9.0%-11.0% Perpetuity Range at 19.1%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DCF!$C$128:$C$130</c:f>
              <c:numCache>
                <c:formatCode>#,##0.00_);\(#,##0.00\)</c:formatCode>
                <c:ptCount val="3"/>
                <c:pt idx="0">
                  <c:v>15.111262233444371</c:v>
                </c:pt>
                <c:pt idx="1">
                  <c:v>13.241776456306441</c:v>
                </c:pt>
                <c:pt idx="2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83-4E91-8D66-944AAAC33F38}"/>
            </c:ext>
          </c:extLst>
        </c:ser>
        <c:ser>
          <c:idx val="1"/>
          <c:order val="1"/>
          <c:invertIfNegative val="0"/>
          <c:cat>
            <c:strRef>
              <c:f>DCF!$B$128:$B$130</c:f>
              <c:strCache>
                <c:ptCount val="3"/>
                <c:pt idx="0">
                  <c:v>DCF Value at 7.4x-9.4x Exit EBITDA Range at 19.1% WACC</c:v>
                </c:pt>
                <c:pt idx="1">
                  <c:v>DCF Value at 9.0%-11.0% Perpetuity Range at 19.1%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DCF!$D$128:$D$130</c:f>
              <c:numCache>
                <c:formatCode>#,##0.00_);\(#,##0.00\)</c:formatCode>
                <c:ptCount val="3"/>
                <c:pt idx="0">
                  <c:v>1.2150146703686637</c:v>
                </c:pt>
                <c:pt idx="1">
                  <c:v>0.85517652793150667</c:v>
                </c:pt>
                <c:pt idx="2">
                  <c:v>5.740000000000002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83-4E91-8D66-944AAAC33F38}"/>
            </c:ext>
          </c:extLst>
        </c:ser>
        <c:ser>
          <c:idx val="2"/>
          <c:order val="2"/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7.4x-9.4x Exit EBITDA Range at 19.1% WACC</c:v>
                </c:pt>
                <c:pt idx="1">
                  <c:v>DCF Value at 9.0%-11.0% Perpetuity Range at 19.1%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DCF!$E$128:$E$130</c:f>
              <c:numCache>
                <c:formatCode>#,##0.00_);\(#,##0.00\)</c:formatCode>
                <c:ptCount val="3"/>
                <c:pt idx="0">
                  <c:v>16.326276903813035</c:v>
                </c:pt>
                <c:pt idx="1">
                  <c:v>14.096952984237948</c:v>
                </c:pt>
                <c:pt idx="2">
                  <c:v>19.940000000000001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83-4E91-8D66-944AAAC33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400"/>
          <c:min val="100"/>
        </c:scaling>
        <c:delete val="0"/>
        <c:axPos val="l"/>
        <c:numFmt formatCode="#,##0.00_);\(#,##0.00\)" sourceLinked="1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LTM EBITDA Multiple Range</a:t>
            </a:r>
          </a:p>
        </c:rich>
      </c:tx>
      <c:layout>
        <c:manualLayout>
          <c:xMode val="edge"/>
          <c:yMode val="edge"/>
          <c:x val="0.312916268926998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numFmt formatCode="#,##0.0\x;\-#,##0.0\x" sourceLinked="0"/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9.0%-11.0% Perpetuity Growth at 19.1% WACC</c:v>
                </c:pt>
                <c:pt idx="1">
                  <c:v>LTM EBITDA Purchase Multiple at 10.6x-11.6x Exit EBITDA Multiple at 19.1% WACC</c:v>
                </c:pt>
                <c:pt idx="2">
                  <c:v>LTM EBITDA Purchase Multiple at 17.1%-21.1% WACC at 8.4x Exit EBITDA</c:v>
                </c:pt>
              </c:strCache>
            </c:strRef>
          </c:cat>
          <c:val>
            <c:numRef>
              <c:f>DCF!$O$128:$O$130</c:f>
              <c:numCache>
                <c:formatCode>#,##0.00_);\(#,##0.00\)</c:formatCode>
                <c:ptCount val="3"/>
                <c:pt idx="0">
                  <c:v>9.084787972969675</c:v>
                </c:pt>
                <c:pt idx="1">
                  <c:v>10.608300252939573</c:v>
                </c:pt>
                <c:pt idx="2">
                  <c:v>9.5742073258227922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D5-4FE9-8BD7-0E0161403D7A}"/>
            </c:ext>
          </c:extLst>
        </c:ser>
        <c:ser>
          <c:idx val="1"/>
          <c:order val="1"/>
          <c:spPr>
            <a:solidFill>
              <a:schemeClr val="tx2"/>
            </a:solidFill>
          </c:spPr>
          <c:invertIfNegative val="0"/>
          <c:cat>
            <c:strRef>
              <c:f>DCF!$G$128:$G$130</c:f>
              <c:strCache>
                <c:ptCount val="3"/>
                <c:pt idx="0">
                  <c:v>LTM EBITDA Purchase Multiple at 9.0%-11.0% Perpetuity Growth at 19.1% WACC</c:v>
                </c:pt>
                <c:pt idx="1">
                  <c:v>LTM EBITDA Purchase Multiple at 10.6x-11.6x Exit EBITDA Multiple at 19.1% WACC</c:v>
                </c:pt>
                <c:pt idx="2">
                  <c:v>LTM EBITDA Purchase Multiple at 17.1%-21.1% WACC at 8.4x Exit EBITDA</c:v>
                </c:pt>
              </c:strCache>
            </c:strRef>
          </c:cat>
          <c:val>
            <c:numRef>
              <c:f>DCF!$P$128:$P$130</c:f>
              <c:numCache>
                <c:formatCode>#,##0.00_);\(#,##0.00\)</c:formatCode>
                <c:ptCount val="3"/>
                <c:pt idx="0">
                  <c:v>0.69691460495639035</c:v>
                </c:pt>
                <c:pt idx="1">
                  <c:v>0.99015985747917412</c:v>
                </c:pt>
                <c:pt idx="2">
                  <c:v>1.1229910454218572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D5-4FE9-8BD7-0E0161403D7A}"/>
            </c:ext>
          </c:extLst>
        </c:ser>
        <c:ser>
          <c:idx val="2"/>
          <c:order val="2"/>
          <c:spPr>
            <a:noFill/>
          </c:spPr>
          <c:invertIfNegative val="0"/>
          <c:dLbls>
            <c:numFmt formatCode="#,##0.0\x;\-#,##0.0\x" sourceLinked="0"/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9.0%-11.0% Perpetuity Growth at 19.1% WACC</c:v>
                </c:pt>
                <c:pt idx="1">
                  <c:v>LTM EBITDA Purchase Multiple at 10.6x-11.6x Exit EBITDA Multiple at 19.1% WACC</c:v>
                </c:pt>
                <c:pt idx="2">
                  <c:v>LTM EBITDA Purchase Multiple at 17.1%-21.1% WACC at 8.4x Exit EBITDA</c:v>
                </c:pt>
              </c:strCache>
            </c:strRef>
          </c:cat>
          <c:val>
            <c:numRef>
              <c:f>DCF!$Q$128:$Q$130</c:f>
              <c:numCache>
                <c:formatCode>#,##0.00_);\(#,##0.00\)</c:formatCode>
                <c:ptCount val="3"/>
                <c:pt idx="0">
                  <c:v>9.7817025779260653</c:v>
                </c:pt>
                <c:pt idx="1">
                  <c:v>11.598460110418747</c:v>
                </c:pt>
                <c:pt idx="2">
                  <c:v>10.697198371244649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D5-4FE9-8BD7-0E0161403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20"/>
          <c:min val="10"/>
        </c:scaling>
        <c:delete val="0"/>
        <c:axPos val="l"/>
        <c:numFmt formatCode="#,##0.0\x;\-#,##0.0\x" sourceLinked="0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53578</xdr:colOff>
      <xdr:row>106</xdr:row>
      <xdr:rowOff>149424</xdr:rowOff>
    </xdr:from>
    <xdr:to>
      <xdr:col>4</xdr:col>
      <xdr:colOff>654844</xdr:colOff>
      <xdr:row>125</xdr:row>
      <xdr:rowOff>53578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529BCA-2888-434E-AC7E-5B03FCA5B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47228</xdr:colOff>
      <xdr:row>106</xdr:row>
      <xdr:rowOff>149424</xdr:rowOff>
    </xdr:from>
    <xdr:to>
      <xdr:col>16</xdr:col>
      <xdr:colOff>1121</xdr:colOff>
      <xdr:row>125</xdr:row>
      <xdr:rowOff>47228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38233F-A324-4062-8E99-2AF6A530E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973C-64E9-46C3-8015-F083BA56F634}">
  <dimension ref="A1:L235"/>
  <sheetViews>
    <sheetView showGridLines="0" zoomScale="90" zoomScaleNormal="90" workbookViewId="0">
      <selection activeCell="C2" sqref="C2"/>
    </sheetView>
  </sheetViews>
  <sheetFormatPr defaultColWidth="9.140625" defaultRowHeight="15" x14ac:dyDescent="0.25"/>
  <cols>
    <col min="1" max="2" width="1.7109375" style="5" customWidth="1"/>
    <col min="3" max="3" width="66.42578125" style="5" bestFit="1" customWidth="1"/>
    <col min="4" max="4" width="17.140625" style="27" customWidth="1"/>
    <col min="5" max="11" width="17.140625" style="5" customWidth="1"/>
    <col min="12" max="12" width="2.7109375" style="5" customWidth="1"/>
    <col min="13" max="16384" width="9.140625" style="5"/>
  </cols>
  <sheetData>
    <row r="1" spans="1:11" ht="15" customHeight="1" thickBot="1" x14ac:dyDescent="0.3"/>
    <row r="2" spans="1:11" ht="15.75" thickBot="1" x14ac:dyDescent="0.3">
      <c r="C2" s="276" t="str">
        <f>Company_Name&amp;" - Financial Statement Model"</f>
        <v>Sidi Kerir Petrochemicals - SIDPEC - Financial Statement Model</v>
      </c>
      <c r="D2" s="7"/>
      <c r="E2" s="7"/>
      <c r="F2" s="7"/>
      <c r="G2" s="7"/>
      <c r="H2" s="7"/>
      <c r="I2" s="7"/>
      <c r="J2" s="7"/>
      <c r="K2" s="7"/>
    </row>
    <row r="3" spans="1:11" x14ac:dyDescent="0.25">
      <c r="C3" s="233" t="s">
        <v>196</v>
      </c>
      <c r="D3" s="8"/>
      <c r="E3" s="8"/>
      <c r="F3" s="8"/>
      <c r="G3" s="8"/>
      <c r="H3" s="8"/>
    </row>
    <row r="4" spans="1:11" ht="15" customHeight="1" x14ac:dyDescent="0.25"/>
    <row r="5" spans="1:11" x14ac:dyDescent="0.25">
      <c r="C5" s="2" t="s">
        <v>0</v>
      </c>
      <c r="D5" s="275" t="s">
        <v>306</v>
      </c>
    </row>
    <row r="6" spans="1:11" x14ac:dyDescent="0.25">
      <c r="C6" s="2" t="s">
        <v>1</v>
      </c>
      <c r="D6" s="3" t="s">
        <v>248</v>
      </c>
    </row>
    <row r="7" spans="1:11" x14ac:dyDescent="0.25">
      <c r="C7" s="5" t="s">
        <v>28</v>
      </c>
      <c r="D7" s="253">
        <v>16</v>
      </c>
    </row>
    <row r="8" spans="1:11" x14ac:dyDescent="0.25">
      <c r="C8" s="5" t="s">
        <v>29</v>
      </c>
      <c r="D8" s="4">
        <v>46197</v>
      </c>
    </row>
    <row r="9" spans="1:11" x14ac:dyDescent="0.25">
      <c r="C9" s="2" t="s">
        <v>2</v>
      </c>
      <c r="D9" s="4">
        <v>46022</v>
      </c>
    </row>
    <row r="10" spans="1:11" ht="15" customHeight="1" x14ac:dyDescent="0.25">
      <c r="C10" s="5" t="s">
        <v>30</v>
      </c>
      <c r="D10" s="244">
        <v>1134000000</v>
      </c>
    </row>
    <row r="11" spans="1:11" ht="15" customHeight="1" x14ac:dyDescent="0.25"/>
    <row r="12" spans="1:11" customFormat="1" x14ac:dyDescent="0.25">
      <c r="A12" t="s">
        <v>215</v>
      </c>
      <c r="C12" s="38" t="s">
        <v>41</v>
      </c>
      <c r="D12" s="245"/>
      <c r="E12" s="39"/>
      <c r="F12" s="39"/>
      <c r="G12" s="39"/>
      <c r="H12" s="39"/>
      <c r="I12" s="39"/>
      <c r="J12" s="39"/>
      <c r="K12" s="39"/>
    </row>
    <row r="13" spans="1:11" customFormat="1" x14ac:dyDescent="0.25">
      <c r="C13" t="s">
        <v>42</v>
      </c>
      <c r="D13" s="40">
        <f>E13-1</f>
        <v>2023</v>
      </c>
      <c r="E13" s="40">
        <f>F13-1</f>
        <v>2024</v>
      </c>
      <c r="F13" s="40">
        <f>YEAR(D9)</f>
        <v>2025</v>
      </c>
      <c r="G13" s="41">
        <f>F13+1</f>
        <v>2026</v>
      </c>
      <c r="H13" s="41">
        <f>G13+1</f>
        <v>2027</v>
      </c>
      <c r="I13" s="41">
        <f>H13+1</f>
        <v>2028</v>
      </c>
      <c r="J13" s="41">
        <f>I13+1</f>
        <v>2029</v>
      </c>
      <c r="K13" s="41">
        <f>J13+1</f>
        <v>2030</v>
      </c>
    </row>
    <row r="14" spans="1:11" customFormat="1" x14ac:dyDescent="0.25">
      <c r="C14" s="42" t="s">
        <v>43</v>
      </c>
      <c r="D14" s="246">
        <f>EOMONTH(E14,-12)</f>
        <v>45291</v>
      </c>
      <c r="E14" s="230">
        <f>EOMONTH(F14,-12)</f>
        <v>45657</v>
      </c>
      <c r="F14" s="230">
        <f>D9</f>
        <v>46022</v>
      </c>
      <c r="G14" s="230">
        <f>EOMONTH(F14,12)</f>
        <v>46387</v>
      </c>
      <c r="H14" s="230">
        <f>EOMONTH(G14,12)</f>
        <v>46752</v>
      </c>
      <c r="I14" s="230">
        <f>EOMONTH(H14,12)</f>
        <v>47118</v>
      </c>
      <c r="J14" s="230">
        <f>EOMONTH(I14,12)</f>
        <v>47483</v>
      </c>
      <c r="K14" s="230">
        <f>EOMONTH(J14,12)</f>
        <v>47848</v>
      </c>
    </row>
    <row r="15" spans="1:11" ht="15" customHeight="1" x14ac:dyDescent="0.25"/>
    <row r="16" spans="1:11" ht="15" customHeight="1" x14ac:dyDescent="0.25">
      <c r="C16" s="274" t="s">
        <v>216</v>
      </c>
      <c r="D16" s="9">
        <v>13191529700</v>
      </c>
      <c r="E16" s="9">
        <v>14152609425</v>
      </c>
      <c r="F16" s="9">
        <v>14412587014</v>
      </c>
      <c r="G16" s="234">
        <f>G164</f>
        <v>14983834110.000002</v>
      </c>
      <c r="H16" s="234">
        <f t="shared" ref="H16:K16" si="0">H164</f>
        <v>16243753717.200005</v>
      </c>
      <c r="I16" s="234">
        <f t="shared" si="0"/>
        <v>17169132355.830006</v>
      </c>
      <c r="J16" s="234">
        <f t="shared" si="0"/>
        <v>18147640796.495647</v>
      </c>
      <c r="K16" s="234">
        <f t="shared" si="0"/>
        <v>19182347342.1231</v>
      </c>
    </row>
    <row r="17" spans="3:11" ht="15" customHeight="1" x14ac:dyDescent="0.25">
      <c r="C17" s="5" t="s">
        <v>217</v>
      </c>
      <c r="D17" s="9">
        <v>-9429740924</v>
      </c>
      <c r="E17" s="9">
        <v>-10761654976</v>
      </c>
      <c r="F17" s="9">
        <v>-12325635159</v>
      </c>
      <c r="G17" s="234">
        <f>G18-G16</f>
        <v>-11639607817.86389</v>
      </c>
      <c r="H17" s="234">
        <f t="shared" ref="H17:K17" si="1">H18-H16</f>
        <v>-12618327283.268139</v>
      </c>
      <c r="I17" s="234">
        <f t="shared" si="1"/>
        <v>-13337171629.622292</v>
      </c>
      <c r="J17" s="234">
        <f t="shared" si="1"/>
        <v>-14097287792.962383</v>
      </c>
      <c r="K17" s="234">
        <f t="shared" si="1"/>
        <v>-14901059264.887753</v>
      </c>
    </row>
    <row r="18" spans="3:11" s="12" customFormat="1" ht="15" customHeight="1" x14ac:dyDescent="0.25">
      <c r="C18" s="12" t="s">
        <v>208</v>
      </c>
      <c r="D18" s="13">
        <f>SUM(D16:D17)</f>
        <v>3761788776</v>
      </c>
      <c r="E18" s="13">
        <f t="shared" ref="E18:F18" si="2">SUM(E16:E17)</f>
        <v>3390954449</v>
      </c>
      <c r="F18" s="13">
        <f t="shared" si="2"/>
        <v>2086951855</v>
      </c>
      <c r="G18" s="13">
        <f>G16*G40</f>
        <v>3344226292.1361122</v>
      </c>
      <c r="H18" s="13">
        <f t="shared" ref="H18:K18" si="3">H16*H40</f>
        <v>3625426433.9318657</v>
      </c>
      <c r="I18" s="13">
        <f t="shared" si="3"/>
        <v>3831960726.2077146</v>
      </c>
      <c r="J18" s="13">
        <f t="shared" si="3"/>
        <v>4050353003.5332637</v>
      </c>
      <c r="K18" s="13">
        <f t="shared" si="3"/>
        <v>4281288077.2353487</v>
      </c>
    </row>
    <row r="19" spans="3:11" s="14" customFormat="1" ht="15" customHeight="1" x14ac:dyDescent="0.25">
      <c r="C19" s="225" t="s">
        <v>218</v>
      </c>
      <c r="D19" s="238">
        <v>-131374089</v>
      </c>
      <c r="E19" s="187">
        <v>-151547931</v>
      </c>
      <c r="F19" s="187">
        <v>-194487910</v>
      </c>
      <c r="G19" s="223">
        <f>G$16*G41</f>
        <v>-170622961.82804319</v>
      </c>
      <c r="H19" s="223">
        <f t="shared" ref="H19:K19" si="4">H$16*H41</f>
        <v>-184969838.16607076</v>
      </c>
      <c r="I19" s="223">
        <f t="shared" si="4"/>
        <v>-195507250.88542801</v>
      </c>
      <c r="J19" s="223">
        <f t="shared" si="4"/>
        <v>-206649659.9040041</v>
      </c>
      <c r="K19" s="223">
        <f t="shared" si="4"/>
        <v>-218432004.40553564</v>
      </c>
    </row>
    <row r="20" spans="3:11" s="14" customFormat="1" ht="15" customHeight="1" x14ac:dyDescent="0.25">
      <c r="C20" s="225" t="s">
        <v>210</v>
      </c>
      <c r="D20" s="238">
        <v>-409418146</v>
      </c>
      <c r="E20" s="187">
        <v>-552539433</v>
      </c>
      <c r="F20" s="187">
        <v>-664642468</v>
      </c>
      <c r="G20" s="223">
        <f t="shared" ref="G20:K20" si="5">G$16*G42</f>
        <v>-580340791.73580432</v>
      </c>
      <c r="H20" s="223">
        <f t="shared" si="5"/>
        <v>-629138898.8823545</v>
      </c>
      <c r="I20" s="223">
        <f t="shared" si="5"/>
        <v>-664979857.06805182</v>
      </c>
      <c r="J20" s="223">
        <f t="shared" si="5"/>
        <v>-702878592.3988893</v>
      </c>
      <c r="K20" s="223">
        <f t="shared" si="5"/>
        <v>-742953943.70719707</v>
      </c>
    </row>
    <row r="21" spans="3:11" s="14" customFormat="1" ht="15" customHeight="1" x14ac:dyDescent="0.25">
      <c r="C21" s="225" t="s">
        <v>197</v>
      </c>
      <c r="D21" s="238">
        <v>-95945395</v>
      </c>
      <c r="E21" s="187">
        <v>-61605174</v>
      </c>
      <c r="F21" s="187">
        <v>-17684701</v>
      </c>
      <c r="G21" s="223">
        <f t="shared" ref="G21:K21" si="6">G$16*G43</f>
        <v>-64196784.849037461</v>
      </c>
      <c r="H21" s="223">
        <f t="shared" si="6"/>
        <v>-69594788.281051055</v>
      </c>
      <c r="I21" s="223">
        <f t="shared" si="6"/>
        <v>-73559483.360555336</v>
      </c>
      <c r="J21" s="223">
        <f t="shared" si="6"/>
        <v>-77751807.92696628</v>
      </c>
      <c r="K21" s="223">
        <f t="shared" si="6"/>
        <v>-82184907.826757982</v>
      </c>
    </row>
    <row r="22" spans="3:11" s="14" customFormat="1" ht="15" customHeight="1" x14ac:dyDescent="0.25">
      <c r="C22" s="225" t="s">
        <v>219</v>
      </c>
      <c r="D22" s="238">
        <v>-83533879</v>
      </c>
      <c r="E22" s="187">
        <v>-48040079</v>
      </c>
      <c r="F22" s="187">
        <v>-254559788</v>
      </c>
      <c r="G22" s="223">
        <f t="shared" ref="G22:K22" si="7">G$16*G44</f>
        <v>-136798133.3128548</v>
      </c>
      <c r="H22" s="223">
        <f t="shared" si="7"/>
        <v>-148300840.10498342</v>
      </c>
      <c r="I22" s="223">
        <f t="shared" si="7"/>
        <v>-156749283.23661757</v>
      </c>
      <c r="J22" s="223">
        <f t="shared" si="7"/>
        <v>-165682786.31274927</v>
      </c>
      <c r="K22" s="223">
        <f t="shared" si="7"/>
        <v>-175129362.06427619</v>
      </c>
    </row>
    <row r="23" spans="3:11" s="14" customFormat="1" ht="15" customHeight="1" x14ac:dyDescent="0.25">
      <c r="C23" s="225" t="s">
        <v>220</v>
      </c>
      <c r="D23" s="238">
        <v>-279396123</v>
      </c>
      <c r="E23" s="187">
        <v>-283885234</v>
      </c>
      <c r="F23" s="187">
        <v>-374823610</v>
      </c>
      <c r="G23" s="223">
        <f>G221</f>
        <v>-390866090.28953487</v>
      </c>
      <c r="H23" s="223">
        <f t="shared" ref="H23:K23" si="8">H221</f>
        <v>-390866090.28953487</v>
      </c>
      <c r="I23" s="223">
        <f t="shared" si="8"/>
        <v>-390866090.28953487</v>
      </c>
      <c r="J23" s="223">
        <f t="shared" si="8"/>
        <v>-390866090.28953487</v>
      </c>
      <c r="K23" s="223">
        <f t="shared" si="8"/>
        <v>-390866090.28953487</v>
      </c>
    </row>
    <row r="24" spans="3:11" ht="15" customHeight="1" x14ac:dyDescent="0.25">
      <c r="C24" s="197" t="s">
        <v>207</v>
      </c>
      <c r="D24" s="216">
        <f>SUM(D18:D23)</f>
        <v>2762121144</v>
      </c>
      <c r="E24" s="216">
        <f t="shared" ref="E24:K24" si="9">SUM(E18:E23)</f>
        <v>2293336598</v>
      </c>
      <c r="F24" s="216">
        <f t="shared" si="9"/>
        <v>580753378</v>
      </c>
      <c r="G24" s="216">
        <f t="shared" si="9"/>
        <v>2001401530.1208375</v>
      </c>
      <c r="H24" s="216">
        <f t="shared" si="9"/>
        <v>2202555978.2078705</v>
      </c>
      <c r="I24" s="216">
        <f t="shared" si="9"/>
        <v>2350298761.367527</v>
      </c>
      <c r="J24" s="216">
        <f t="shared" si="9"/>
        <v>2506524066.7011199</v>
      </c>
      <c r="K24" s="216">
        <f t="shared" si="9"/>
        <v>2671721768.9420466</v>
      </c>
    </row>
    <row r="25" spans="3:11" ht="15" customHeight="1" x14ac:dyDescent="0.25">
      <c r="C25" s="226" t="s">
        <v>221</v>
      </c>
      <c r="D25" s="238">
        <v>122497995</v>
      </c>
      <c r="E25" s="187">
        <v>360919254</v>
      </c>
      <c r="F25" s="187">
        <v>211623018</v>
      </c>
      <c r="G25" s="223">
        <f>F25</f>
        <v>211623018</v>
      </c>
      <c r="H25" s="223">
        <f t="shared" ref="H25:K25" si="10">G25</f>
        <v>211623018</v>
      </c>
      <c r="I25" s="223">
        <f t="shared" si="10"/>
        <v>211623018</v>
      </c>
      <c r="J25" s="223">
        <f t="shared" si="10"/>
        <v>211623018</v>
      </c>
      <c r="K25" s="223">
        <f t="shared" si="10"/>
        <v>211623018</v>
      </c>
    </row>
    <row r="26" spans="3:11" ht="15" customHeight="1" x14ac:dyDescent="0.25">
      <c r="C26" s="226" t="s">
        <v>222</v>
      </c>
      <c r="D26" s="238">
        <v>20808776</v>
      </c>
      <c r="E26" s="187">
        <v>43587303</v>
      </c>
      <c r="F26" s="187">
        <v>37561852</v>
      </c>
      <c r="G26" s="223">
        <f>F26</f>
        <v>37561852</v>
      </c>
      <c r="H26" s="223">
        <f t="shared" ref="H26:K26" si="11">G26</f>
        <v>37561852</v>
      </c>
      <c r="I26" s="223">
        <f t="shared" si="11"/>
        <v>37561852</v>
      </c>
      <c r="J26" s="223">
        <f t="shared" si="11"/>
        <v>37561852</v>
      </c>
      <c r="K26" s="223">
        <f t="shared" si="11"/>
        <v>37561852</v>
      </c>
    </row>
    <row r="27" spans="3:11" ht="15" customHeight="1" x14ac:dyDescent="0.25">
      <c r="C27" s="226" t="s">
        <v>211</v>
      </c>
      <c r="D27" s="238">
        <v>6711265</v>
      </c>
      <c r="E27" s="187">
        <v>6723512</v>
      </c>
      <c r="F27" s="187">
        <v>21746476</v>
      </c>
      <c r="G27" s="223">
        <v>0</v>
      </c>
      <c r="H27" s="223">
        <v>0</v>
      </c>
      <c r="I27" s="223">
        <v>0</v>
      </c>
      <c r="J27" s="223">
        <v>0</v>
      </c>
      <c r="K27" s="223">
        <v>0</v>
      </c>
    </row>
    <row r="28" spans="3:11" ht="15" customHeight="1" x14ac:dyDescent="0.25">
      <c r="C28" s="226" t="s">
        <v>223</v>
      </c>
      <c r="D28" s="238">
        <v>343271142</v>
      </c>
      <c r="E28" s="187">
        <v>508915843</v>
      </c>
      <c r="F28" s="187">
        <v>463499421</v>
      </c>
      <c r="G28" s="223">
        <f>G222</f>
        <v>420745769.69762903</v>
      </c>
      <c r="H28" s="223">
        <f t="shared" ref="H28:K28" si="12">H222</f>
        <v>643977163.30996764</v>
      </c>
      <c r="I28" s="223">
        <f t="shared" si="12"/>
        <v>702383744.48055089</v>
      </c>
      <c r="J28" s="223">
        <f t="shared" si="12"/>
        <v>771688618.12450373</v>
      </c>
      <c r="K28" s="223">
        <f t="shared" si="12"/>
        <v>846560947.28042269</v>
      </c>
    </row>
    <row r="29" spans="3:11" ht="15" customHeight="1" x14ac:dyDescent="0.25">
      <c r="C29" s="226" t="s">
        <v>224</v>
      </c>
      <c r="D29" s="238">
        <v>0</v>
      </c>
      <c r="E29" s="187">
        <v>1692388</v>
      </c>
      <c r="F29" s="187">
        <v>69737568</v>
      </c>
      <c r="G29" s="223">
        <v>0</v>
      </c>
      <c r="H29" s="223">
        <v>0</v>
      </c>
      <c r="I29" s="223">
        <v>0</v>
      </c>
      <c r="J29" s="223">
        <v>0</v>
      </c>
      <c r="K29" s="223">
        <v>0</v>
      </c>
    </row>
    <row r="30" spans="3:11" s="12" customFormat="1" ht="15" customHeight="1" x14ac:dyDescent="0.25">
      <c r="C30" s="12" t="s">
        <v>206</v>
      </c>
      <c r="D30" s="216">
        <f>SUM(D24:D29)</f>
        <v>3255410322</v>
      </c>
      <c r="E30" s="216">
        <f t="shared" ref="E30:K30" si="13">SUM(E24:E29)</f>
        <v>3215174898</v>
      </c>
      <c r="F30" s="216">
        <f t="shared" si="13"/>
        <v>1384921713</v>
      </c>
      <c r="G30" s="216">
        <f t="shared" si="13"/>
        <v>2671332169.8184662</v>
      </c>
      <c r="H30" s="216">
        <f t="shared" si="13"/>
        <v>3095718011.517838</v>
      </c>
      <c r="I30" s="216">
        <f t="shared" si="13"/>
        <v>3301867375.8480778</v>
      </c>
      <c r="J30" s="216">
        <f t="shared" si="13"/>
        <v>3527397554.8256235</v>
      </c>
      <c r="K30" s="216">
        <f t="shared" si="13"/>
        <v>3767467586.2224693</v>
      </c>
    </row>
    <row r="31" spans="3:11" ht="15" customHeight="1" x14ac:dyDescent="0.25">
      <c r="C31" s="5" t="s">
        <v>225</v>
      </c>
      <c r="D31" s="238">
        <v>-735512833</v>
      </c>
      <c r="E31" s="238">
        <v>-660223882</v>
      </c>
      <c r="F31" s="238">
        <v>-275024868</v>
      </c>
      <c r="G31" s="271">
        <f>G30*G45</f>
        <v>-601049738.20915496</v>
      </c>
      <c r="H31" s="271">
        <f t="shared" ref="H31:K31" si="14">H30*H45</f>
        <v>-696536552.59151351</v>
      </c>
      <c r="I31" s="271">
        <f t="shared" si="14"/>
        <v>-742920159.56581748</v>
      </c>
      <c r="J31" s="271">
        <f t="shared" si="14"/>
        <v>-793664449.83576536</v>
      </c>
      <c r="K31" s="271">
        <f t="shared" si="14"/>
        <v>-847680206.90005565</v>
      </c>
    </row>
    <row r="32" spans="3:11" ht="15" customHeight="1" x14ac:dyDescent="0.25">
      <c r="C32" s="5" t="s">
        <v>226</v>
      </c>
      <c r="D32" s="238">
        <v>-61200343</v>
      </c>
      <c r="E32" s="238">
        <v>-15561457</v>
      </c>
      <c r="F32" s="238">
        <v>28498466</v>
      </c>
      <c r="G32" s="271">
        <v>0</v>
      </c>
      <c r="H32" s="271">
        <v>0</v>
      </c>
      <c r="I32" s="271">
        <v>0</v>
      </c>
      <c r="J32" s="271">
        <v>0</v>
      </c>
      <c r="K32" s="271">
        <v>0</v>
      </c>
    </row>
    <row r="33" spans="1:11" ht="15" customHeight="1" x14ac:dyDescent="0.25">
      <c r="C33" s="12" t="s">
        <v>205</v>
      </c>
      <c r="D33" s="216">
        <f>SUM(D30:D32)</f>
        <v>2458697146</v>
      </c>
      <c r="E33" s="216">
        <f t="shared" ref="E33:K33" si="15">SUM(E30:E32)</f>
        <v>2539389559</v>
      </c>
      <c r="F33" s="216">
        <f t="shared" si="15"/>
        <v>1138395311</v>
      </c>
      <c r="G33" s="216">
        <f t="shared" si="15"/>
        <v>2070282431.6093111</v>
      </c>
      <c r="H33" s="216">
        <f t="shared" si="15"/>
        <v>2399181458.9263244</v>
      </c>
      <c r="I33" s="216">
        <f t="shared" si="15"/>
        <v>2558947216.2822604</v>
      </c>
      <c r="J33" s="216">
        <f t="shared" si="15"/>
        <v>2733733104.9898582</v>
      </c>
      <c r="K33" s="216">
        <f t="shared" si="15"/>
        <v>2919787379.3224134</v>
      </c>
    </row>
    <row r="34" spans="1:11" ht="15" customHeight="1" x14ac:dyDescent="0.25">
      <c r="D34" s="13"/>
      <c r="E34" s="13"/>
      <c r="F34" s="13"/>
      <c r="G34" s="224"/>
      <c r="H34" s="227"/>
      <c r="I34" s="227"/>
      <c r="J34" s="227"/>
      <c r="K34" s="227"/>
    </row>
    <row r="35" spans="1:11" s="12" customFormat="1" ht="15" customHeight="1" x14ac:dyDescent="0.25">
      <c r="C35" s="228" t="s">
        <v>24</v>
      </c>
      <c r="D35" s="13">
        <f t="shared" ref="D35:K35" si="16">D24+D149</f>
        <v>2821578892</v>
      </c>
      <c r="E35" s="13">
        <f t="shared" si="16"/>
        <v>2360389120</v>
      </c>
      <c r="F35" s="13">
        <f t="shared" si="16"/>
        <v>660627360</v>
      </c>
      <c r="G35" s="13">
        <f t="shared" si="16"/>
        <v>2075257086.3282766</v>
      </c>
      <c r="H35" s="13">
        <f t="shared" si="16"/>
        <v>2282621698.1613374</v>
      </c>
      <c r="I35" s="13">
        <f t="shared" si="16"/>
        <v>2434925687.3218589</v>
      </c>
      <c r="J35" s="13">
        <f t="shared" si="16"/>
        <v>2595974076.2940249</v>
      </c>
      <c r="K35" s="13">
        <f t="shared" si="16"/>
        <v>2766271863.5250673</v>
      </c>
    </row>
    <row r="36" spans="1:11" ht="15" customHeight="1" x14ac:dyDescent="0.25">
      <c r="C36" s="229" t="s">
        <v>149</v>
      </c>
      <c r="D36" s="14">
        <f>D35/D16</f>
        <v>0.21389322968359006</v>
      </c>
      <c r="E36" s="14">
        <f t="shared" ref="E36:K36" si="17">E35/E16</f>
        <v>0.1667811955462058</v>
      </c>
      <c r="F36" s="14">
        <f t="shared" si="17"/>
        <v>4.5836834106068834E-2</v>
      </c>
      <c r="G36" s="14">
        <f t="shared" si="17"/>
        <v>0.13849973718964753</v>
      </c>
      <c r="H36" s="14">
        <f t="shared" si="17"/>
        <v>0.14052304275854297</v>
      </c>
      <c r="I36" s="14">
        <f t="shared" si="17"/>
        <v>0.14181996136194081</v>
      </c>
      <c r="J36" s="14">
        <f t="shared" si="17"/>
        <v>0.14304746856105471</v>
      </c>
      <c r="K36" s="14">
        <f t="shared" si="17"/>
        <v>0.14420924687619052</v>
      </c>
    </row>
    <row r="37" spans="1:11" ht="15" customHeight="1" x14ac:dyDescent="0.25">
      <c r="C37" s="16"/>
      <c r="D37" s="13"/>
      <c r="E37" s="13"/>
      <c r="F37" s="13"/>
      <c r="G37" s="196"/>
      <c r="H37" s="13"/>
      <c r="I37" s="13"/>
      <c r="J37" s="13"/>
      <c r="K37" s="13"/>
    </row>
    <row r="38" spans="1:11" ht="15" customHeight="1" x14ac:dyDescent="0.25">
      <c r="C38" s="19" t="s">
        <v>27</v>
      </c>
      <c r="D38" s="20"/>
      <c r="E38" s="20"/>
      <c r="F38" s="13"/>
      <c r="H38" s="20"/>
      <c r="I38" s="20"/>
      <c r="J38" s="20"/>
      <c r="K38" s="20"/>
    </row>
    <row r="39" spans="1:11" ht="15" customHeight="1" x14ac:dyDescent="0.25">
      <c r="C39" s="16" t="s">
        <v>25</v>
      </c>
      <c r="D39" s="209"/>
      <c r="E39" s="209">
        <f>E16/D16-1</f>
        <v>7.2855820883305222E-2</v>
      </c>
      <c r="F39" s="209">
        <f t="shared" ref="F39:K39" si="18">F16/E16-1</f>
        <v>1.8369586921600511E-2</v>
      </c>
      <c r="G39" s="209">
        <f t="shared" si="18"/>
        <v>3.9635292084974516E-2</v>
      </c>
      <c r="H39" s="209">
        <f t="shared" si="18"/>
        <v>8.4085261352376373E-2</v>
      </c>
      <c r="I39" s="209">
        <f t="shared" si="18"/>
        <v>5.6968275605542296E-2</v>
      </c>
      <c r="J39" s="209">
        <f t="shared" si="18"/>
        <v>5.699230574883285E-2</v>
      </c>
      <c r="K39" s="209">
        <f t="shared" si="18"/>
        <v>5.7016036256748892E-2</v>
      </c>
    </row>
    <row r="40" spans="1:11" ht="15" customHeight="1" x14ac:dyDescent="0.25">
      <c r="C40" s="16" t="s">
        <v>180</v>
      </c>
      <c r="D40" s="243">
        <f>D18/D$16</f>
        <v>0.28516698681275759</v>
      </c>
      <c r="E40" s="243">
        <f t="shared" ref="E40:F40" si="19">E18/E$16</f>
        <v>0.23959923906400038</v>
      </c>
      <c r="F40" s="243">
        <f t="shared" si="19"/>
        <v>0.14480064217290006</v>
      </c>
      <c r="G40" s="243">
        <f>AVERAGE(D40:F40)</f>
        <v>0.22318895601655267</v>
      </c>
      <c r="H40" s="243">
        <f>G40</f>
        <v>0.22318895601655267</v>
      </c>
      <c r="I40" s="243">
        <f t="shared" ref="I40:K40" si="20">H40</f>
        <v>0.22318895601655267</v>
      </c>
      <c r="J40" s="243">
        <f t="shared" si="20"/>
        <v>0.22318895601655267</v>
      </c>
      <c r="K40" s="243">
        <f t="shared" si="20"/>
        <v>0.22318895601655267</v>
      </c>
    </row>
    <row r="41" spans="1:11" ht="15" customHeight="1" x14ac:dyDescent="0.25">
      <c r="C41" s="16" t="s">
        <v>218</v>
      </c>
      <c r="D41" s="243">
        <f t="shared" ref="D41:F41" si="21">D19/D$16</f>
        <v>-9.9589730673918728E-3</v>
      </c>
      <c r="E41" s="243">
        <f t="shared" si="21"/>
        <v>-1.0708126427363764E-2</v>
      </c>
      <c r="F41" s="243">
        <f t="shared" si="21"/>
        <v>-1.3494309509533554E-2</v>
      </c>
      <c r="G41" s="243">
        <f t="shared" ref="G41:G43" si="22">AVERAGE(D41:F41)</f>
        <v>-1.1387136334763064E-2</v>
      </c>
      <c r="H41" s="243">
        <f t="shared" ref="H41:K41" si="23">G41</f>
        <v>-1.1387136334763064E-2</v>
      </c>
      <c r="I41" s="243">
        <f t="shared" si="23"/>
        <v>-1.1387136334763064E-2</v>
      </c>
      <c r="J41" s="243">
        <f t="shared" si="23"/>
        <v>-1.1387136334763064E-2</v>
      </c>
      <c r="K41" s="243">
        <f t="shared" si="23"/>
        <v>-1.1387136334763064E-2</v>
      </c>
    </row>
    <row r="42" spans="1:11" ht="15" customHeight="1" x14ac:dyDescent="0.25">
      <c r="C42" s="16" t="s">
        <v>210</v>
      </c>
      <c r="D42" s="243">
        <f t="shared" ref="D42:F42" si="24">D20/D$16</f>
        <v>-3.1036441967757539E-2</v>
      </c>
      <c r="E42" s="243">
        <f t="shared" si="24"/>
        <v>-3.9041523468029998E-2</v>
      </c>
      <c r="F42" s="243">
        <f t="shared" si="24"/>
        <v>-4.6115417541235597E-2</v>
      </c>
      <c r="G42" s="243">
        <f t="shared" si="22"/>
        <v>-3.8731127659007714E-2</v>
      </c>
      <c r="H42" s="243">
        <f t="shared" ref="H42:K42" si="25">G42</f>
        <v>-3.8731127659007714E-2</v>
      </c>
      <c r="I42" s="243">
        <f t="shared" si="25"/>
        <v>-3.8731127659007714E-2</v>
      </c>
      <c r="J42" s="243">
        <f t="shared" si="25"/>
        <v>-3.8731127659007714E-2</v>
      </c>
      <c r="K42" s="243">
        <f t="shared" si="25"/>
        <v>-3.8731127659007714E-2</v>
      </c>
    </row>
    <row r="43" spans="1:11" ht="15" customHeight="1" x14ac:dyDescent="0.25">
      <c r="C43" s="16" t="s">
        <v>197</v>
      </c>
      <c r="D43" s="243">
        <f t="shared" ref="D43:F43" si="26">D21/D$16</f>
        <v>-7.2732577026301962E-3</v>
      </c>
      <c r="E43" s="243">
        <f t="shared" si="26"/>
        <v>-4.3529198149972964E-3</v>
      </c>
      <c r="F43" s="243">
        <f t="shared" si="26"/>
        <v>-1.2270316899264204E-3</v>
      </c>
      <c r="G43" s="243">
        <f t="shared" si="22"/>
        <v>-4.2844030691846372E-3</v>
      </c>
      <c r="H43" s="243">
        <f t="shared" ref="H43:K43" si="27">G43</f>
        <v>-4.2844030691846372E-3</v>
      </c>
      <c r="I43" s="243">
        <f t="shared" si="27"/>
        <v>-4.2844030691846372E-3</v>
      </c>
      <c r="J43" s="243">
        <f t="shared" si="27"/>
        <v>-4.2844030691846372E-3</v>
      </c>
      <c r="K43" s="243">
        <f t="shared" si="27"/>
        <v>-4.2844030691846372E-3</v>
      </c>
    </row>
    <row r="44" spans="1:11" ht="15" customHeight="1" x14ac:dyDescent="0.25">
      <c r="C44" s="16" t="s">
        <v>219</v>
      </c>
      <c r="D44" s="243">
        <f t="shared" ref="D44:F44" si="28">D22/D$16</f>
        <v>-6.3323875926231668E-3</v>
      </c>
      <c r="E44" s="243">
        <f t="shared" si="28"/>
        <v>-3.3944326136167643E-3</v>
      </c>
      <c r="F44" s="243">
        <f t="shared" si="28"/>
        <v>-1.7662324449644429E-2</v>
      </c>
      <c r="G44" s="243">
        <f>AVERAGE(D44:F44)</f>
        <v>-9.1297148852947877E-3</v>
      </c>
      <c r="H44" s="243">
        <f t="shared" ref="H44:K44" si="29">G44</f>
        <v>-9.1297148852947877E-3</v>
      </c>
      <c r="I44" s="243">
        <f t="shared" si="29"/>
        <v>-9.1297148852947877E-3</v>
      </c>
      <c r="J44" s="243">
        <f t="shared" si="29"/>
        <v>-9.1297148852947877E-3</v>
      </c>
      <c r="K44" s="243">
        <f t="shared" si="29"/>
        <v>-9.1297148852947877E-3</v>
      </c>
    </row>
    <row r="45" spans="1:11" ht="15" customHeight="1" x14ac:dyDescent="0.25">
      <c r="C45" s="16" t="s">
        <v>26</v>
      </c>
      <c r="D45" s="1">
        <f>D31/D30</f>
        <v>-0.22593552279091164</v>
      </c>
      <c r="E45" s="1">
        <f t="shared" ref="E45:F45" si="30">E31/E30</f>
        <v>-0.20534617958441151</v>
      </c>
      <c r="F45" s="1">
        <f t="shared" si="30"/>
        <v>-0.19858513692029897</v>
      </c>
      <c r="G45" s="243">
        <v>-0.22500000000000001</v>
      </c>
      <c r="H45" s="243">
        <f t="shared" ref="H45:K45" si="31">G45</f>
        <v>-0.22500000000000001</v>
      </c>
      <c r="I45" s="243">
        <f t="shared" si="31"/>
        <v>-0.22500000000000001</v>
      </c>
      <c r="J45" s="243">
        <f t="shared" si="31"/>
        <v>-0.22500000000000001</v>
      </c>
      <c r="K45" s="243">
        <f t="shared" si="31"/>
        <v>-0.22500000000000001</v>
      </c>
    </row>
    <row r="46" spans="1:11" ht="15" customHeight="1" x14ac:dyDescent="0.25">
      <c r="C46" s="16"/>
      <c r="D46" s="22"/>
      <c r="E46" s="22"/>
      <c r="F46" s="22"/>
      <c r="G46" s="22"/>
      <c r="H46" s="22"/>
      <c r="I46" s="22"/>
      <c r="J46" s="22"/>
      <c r="K46" s="22"/>
    </row>
    <row r="47" spans="1:11" customFormat="1" x14ac:dyDescent="0.25">
      <c r="A47" t="s">
        <v>215</v>
      </c>
      <c r="C47" s="38" t="s">
        <v>44</v>
      </c>
      <c r="D47" s="247"/>
      <c r="E47" s="45"/>
      <c r="F47" s="45"/>
      <c r="G47" s="39"/>
      <c r="H47" s="39"/>
      <c r="I47" s="39"/>
      <c r="J47" s="39"/>
      <c r="K47" s="39"/>
    </row>
    <row r="48" spans="1:11" customFormat="1" x14ac:dyDescent="0.25">
      <c r="C48" t="s">
        <v>42</v>
      </c>
      <c r="D48" s="40">
        <f>D$13</f>
        <v>2023</v>
      </c>
      <c r="E48" s="40">
        <f t="shared" ref="E48:K48" si="32">E$13</f>
        <v>2024</v>
      </c>
      <c r="F48" s="40">
        <f t="shared" si="32"/>
        <v>2025</v>
      </c>
      <c r="G48" s="41">
        <f t="shared" si="32"/>
        <v>2026</v>
      </c>
      <c r="H48" s="41">
        <f t="shared" si="32"/>
        <v>2027</v>
      </c>
      <c r="I48" s="41">
        <f t="shared" si="32"/>
        <v>2028</v>
      </c>
      <c r="J48" s="41">
        <f t="shared" si="32"/>
        <v>2029</v>
      </c>
      <c r="K48" s="41">
        <f t="shared" si="32"/>
        <v>2030</v>
      </c>
    </row>
    <row r="49" spans="2:11" customFormat="1" x14ac:dyDescent="0.25">
      <c r="C49" s="42" t="s">
        <v>43</v>
      </c>
      <c r="D49" s="246">
        <f>D$14</f>
        <v>45291</v>
      </c>
      <c r="E49" s="230">
        <f t="shared" ref="E49:K49" si="33">E$14</f>
        <v>45657</v>
      </c>
      <c r="F49" s="230">
        <f t="shared" si="33"/>
        <v>46022</v>
      </c>
      <c r="G49" s="230">
        <f t="shared" si="33"/>
        <v>46387</v>
      </c>
      <c r="H49" s="230">
        <f t="shared" si="33"/>
        <v>46752</v>
      </c>
      <c r="I49" s="230">
        <f t="shared" si="33"/>
        <v>47118</v>
      </c>
      <c r="J49" s="230">
        <f t="shared" si="33"/>
        <v>47483</v>
      </c>
      <c r="K49" s="230">
        <f t="shared" si="33"/>
        <v>47848</v>
      </c>
    </row>
    <row r="50" spans="2:11" s="34" customFormat="1" ht="15" customHeight="1" x14ac:dyDescent="0.25">
      <c r="C50" s="44" t="s">
        <v>3</v>
      </c>
    </row>
    <row r="51" spans="2:11" ht="15" customHeight="1" x14ac:dyDescent="0.25"/>
    <row r="52" spans="2:11" ht="15" customHeight="1" x14ac:dyDescent="0.25">
      <c r="B52" s="5" t="s">
        <v>215</v>
      </c>
      <c r="C52" s="12" t="s">
        <v>4</v>
      </c>
    </row>
    <row r="53" spans="2:11" ht="15" customHeight="1" x14ac:dyDescent="0.25">
      <c r="C53" s="16" t="s">
        <v>232</v>
      </c>
      <c r="D53" s="9">
        <v>1336341362</v>
      </c>
      <c r="E53" s="9">
        <v>2242488120</v>
      </c>
      <c r="F53" s="9">
        <v>3458396543</v>
      </c>
      <c r="G53" s="184">
        <f>G183</f>
        <v>2446951640.6005368</v>
      </c>
      <c r="H53" s="184">
        <f t="shared" ref="H53:K53" si="34">H183</f>
        <v>2652704208.8170595</v>
      </c>
      <c r="I53" s="184">
        <f t="shared" si="34"/>
        <v>2803824193.2849317</v>
      </c>
      <c r="J53" s="184">
        <f t="shared" si="34"/>
        <v>2963620598.9746008</v>
      </c>
      <c r="K53" s="184">
        <f t="shared" si="34"/>
        <v>3132594498.496985</v>
      </c>
    </row>
    <row r="54" spans="2:11" ht="15" customHeight="1" x14ac:dyDescent="0.25">
      <c r="C54" s="16" t="s">
        <v>233</v>
      </c>
      <c r="D54" s="9">
        <v>304632624</v>
      </c>
      <c r="E54" s="9">
        <v>237420720</v>
      </c>
      <c r="F54" s="9">
        <v>326901650</v>
      </c>
      <c r="G54" s="184">
        <f t="shared" ref="G54:K57" si="35">G184</f>
        <v>312415343.2946173</v>
      </c>
      <c r="H54" s="184">
        <f t="shared" si="35"/>
        <v>338684869.08603764</v>
      </c>
      <c r="I54" s="184">
        <f t="shared" si="35"/>
        <v>357979162.05155802</v>
      </c>
      <c r="J54" s="184">
        <f t="shared" si="35"/>
        <v>378381219.90691137</v>
      </c>
      <c r="K54" s="184">
        <f t="shared" si="35"/>
        <v>399955017.25999671</v>
      </c>
    </row>
    <row r="55" spans="2:11" ht="15" customHeight="1" x14ac:dyDescent="0.25">
      <c r="C55" s="16" t="s">
        <v>212</v>
      </c>
      <c r="D55" s="9">
        <v>1442058240</v>
      </c>
      <c r="E55" s="9">
        <v>1980332142</v>
      </c>
      <c r="F55" s="9">
        <v>894016029</v>
      </c>
      <c r="G55" s="184">
        <f t="shared" si="35"/>
        <v>929450615.4380641</v>
      </c>
      <c r="H55" s="184">
        <f t="shared" si="35"/>
        <v>1007603713.3513008</v>
      </c>
      <c r="I55" s="184">
        <f t="shared" si="35"/>
        <v>1065005159.3946655</v>
      </c>
      <c r="J55" s="184">
        <f t="shared" si="35"/>
        <v>1125702259.0629706</v>
      </c>
      <c r="K55" s="184">
        <f t="shared" si="35"/>
        <v>1189885339.8800092</v>
      </c>
    </row>
    <row r="56" spans="2:11" ht="15" customHeight="1" x14ac:dyDescent="0.25">
      <c r="C56" s="16" t="s">
        <v>234</v>
      </c>
      <c r="D56" s="9">
        <v>43334343</v>
      </c>
      <c r="E56" s="9">
        <v>25282301</v>
      </c>
      <c r="F56" s="9">
        <v>50133526</v>
      </c>
      <c r="G56" s="184">
        <f t="shared" si="35"/>
        <v>52120582.94625967</v>
      </c>
      <c r="H56" s="184">
        <f t="shared" si="35"/>
        <v>56503155.785134122</v>
      </c>
      <c r="I56" s="184">
        <f t="shared" si="35"/>
        <v>59722043.136484534</v>
      </c>
      <c r="J56" s="184">
        <f t="shared" si="35"/>
        <v>63125740.078864045</v>
      </c>
      <c r="K56" s="184">
        <f t="shared" si="35"/>
        <v>66724919.563934669</v>
      </c>
    </row>
    <row r="57" spans="2:11" ht="15" customHeight="1" x14ac:dyDescent="0.25">
      <c r="C57" s="16" t="s">
        <v>235</v>
      </c>
      <c r="D57" s="9">
        <v>766728161</v>
      </c>
      <c r="E57" s="9">
        <v>1108649074</v>
      </c>
      <c r="F57" s="9">
        <v>1657914957</v>
      </c>
      <c r="G57" s="184">
        <f t="shared" si="35"/>
        <v>1723626900.5727432</v>
      </c>
      <c r="H57" s="184">
        <f t="shared" si="35"/>
        <v>1868558518.9813888</v>
      </c>
      <c r="I57" s="184">
        <f t="shared" si="35"/>
        <v>1975007075.6758044</v>
      </c>
      <c r="J57" s="184">
        <f t="shared" si="35"/>
        <v>2087567282.7888279</v>
      </c>
      <c r="K57" s="184">
        <f t="shared" si="35"/>
        <v>2206592094.6727185</v>
      </c>
    </row>
    <row r="58" spans="2:11" ht="15" customHeight="1" x14ac:dyDescent="0.25">
      <c r="C58" s="16" t="s">
        <v>236</v>
      </c>
      <c r="D58" s="9">
        <v>2311383283</v>
      </c>
      <c r="E58" s="9">
        <v>455684491</v>
      </c>
      <c r="F58" s="9">
        <v>185565012</v>
      </c>
      <c r="G58" s="18">
        <f>F58</f>
        <v>185565012</v>
      </c>
      <c r="H58" s="18">
        <f t="shared" ref="H58:K58" si="36">G58</f>
        <v>185565012</v>
      </c>
      <c r="I58" s="18">
        <f t="shared" si="36"/>
        <v>185565012</v>
      </c>
      <c r="J58" s="18">
        <f t="shared" si="36"/>
        <v>185565012</v>
      </c>
      <c r="K58" s="18">
        <f t="shared" si="36"/>
        <v>185565012</v>
      </c>
    </row>
    <row r="59" spans="2:11" ht="15" customHeight="1" x14ac:dyDescent="0.25">
      <c r="C59" s="16" t="s">
        <v>237</v>
      </c>
      <c r="D59" s="9">
        <v>684977841</v>
      </c>
      <c r="E59" s="9">
        <v>3264653813</v>
      </c>
      <c r="F59" s="9">
        <v>2696930971</v>
      </c>
      <c r="G59" s="18">
        <f>G129</f>
        <v>4226271588.8022566</v>
      </c>
      <c r="H59" s="18">
        <f t="shared" ref="H59:K59" si="37">H129</f>
        <v>4626410455.8572006</v>
      </c>
      <c r="I59" s="18">
        <f t="shared" si="37"/>
        <v>5101212662.4832659</v>
      </c>
      <c r="J59" s="18">
        <f t="shared" si="37"/>
        <v>5614157066.3803978</v>
      </c>
      <c r="K59" s="18">
        <f t="shared" si="37"/>
        <v>6167905152.0443363</v>
      </c>
    </row>
    <row r="60" spans="2:11" ht="15" customHeight="1" x14ac:dyDescent="0.25">
      <c r="C60" s="10" t="s">
        <v>5</v>
      </c>
      <c r="D60" s="11">
        <f>SUM(D53:D59)</f>
        <v>6889455854</v>
      </c>
      <c r="E60" s="11">
        <f t="shared" ref="E60:G60" si="38">SUM(E53:E59)</f>
        <v>9314510661</v>
      </c>
      <c r="F60" s="11">
        <f t="shared" si="38"/>
        <v>9269858688</v>
      </c>
      <c r="G60" s="11">
        <f t="shared" si="38"/>
        <v>9876401683.6544762</v>
      </c>
      <c r="H60" s="11">
        <f t="shared" ref="H60" si="39">SUM(H53:H59)</f>
        <v>10736029933.87812</v>
      </c>
      <c r="I60" s="11">
        <f t="shared" ref="I60" si="40">SUM(I53:I59)</f>
        <v>11548315308.026711</v>
      </c>
      <c r="J60" s="11">
        <f t="shared" ref="J60" si="41">SUM(J53:J59)</f>
        <v>12418119179.192574</v>
      </c>
      <c r="K60" s="11">
        <f t="shared" ref="K60" si="42">SUM(K53:K59)</f>
        <v>13349222033.91798</v>
      </c>
    </row>
    <row r="61" spans="2:11" ht="15" customHeight="1" x14ac:dyDescent="0.25">
      <c r="E61" s="17"/>
      <c r="F61" s="17"/>
      <c r="G61" s="17"/>
      <c r="H61" s="17"/>
      <c r="I61" s="17"/>
      <c r="J61" s="17"/>
      <c r="K61" s="17"/>
    </row>
    <row r="62" spans="2:11" ht="15" customHeight="1" x14ac:dyDescent="0.25">
      <c r="B62" s="5" t="s">
        <v>215</v>
      </c>
      <c r="C62" s="12" t="s">
        <v>6</v>
      </c>
      <c r="E62" s="17"/>
      <c r="F62" s="17"/>
      <c r="G62" s="17"/>
      <c r="H62" s="17"/>
      <c r="I62" s="17"/>
      <c r="J62" s="17"/>
      <c r="K62" s="17"/>
    </row>
    <row r="63" spans="2:11" ht="15" customHeight="1" x14ac:dyDescent="0.25">
      <c r="C63" s="23" t="s">
        <v>227</v>
      </c>
      <c r="D63" s="9">
        <v>1179630842</v>
      </c>
      <c r="E63" s="9">
        <v>1319935066</v>
      </c>
      <c r="F63" s="9">
        <v>1377804149</v>
      </c>
      <c r="G63" s="18">
        <f>G140</f>
        <v>1736184579.8964434</v>
      </c>
      <c r="H63" s="18">
        <f t="shared" ref="H63:K63" si="43">H140</f>
        <v>2124699522.9883916</v>
      </c>
      <c r="I63" s="18">
        <f t="shared" si="43"/>
        <v>2535347492.4352736</v>
      </c>
      <c r="J63" s="18">
        <f t="shared" si="43"/>
        <v>2969399236.5120096</v>
      </c>
      <c r="K63" s="18">
        <f t="shared" si="43"/>
        <v>3428198890.5663295</v>
      </c>
    </row>
    <row r="64" spans="2:11" ht="15" customHeight="1" x14ac:dyDescent="0.25">
      <c r="C64" s="16" t="s">
        <v>228</v>
      </c>
      <c r="D64" s="9">
        <v>1670995</v>
      </c>
      <c r="E64" s="9">
        <v>784461</v>
      </c>
      <c r="F64" s="9">
        <v>230857</v>
      </c>
      <c r="G64" s="18">
        <f>F64</f>
        <v>230857</v>
      </c>
      <c r="H64" s="18">
        <f t="shared" ref="H64:K64" si="44">G64</f>
        <v>230857</v>
      </c>
      <c r="I64" s="18">
        <f t="shared" si="44"/>
        <v>230857</v>
      </c>
      <c r="J64" s="18">
        <f t="shared" si="44"/>
        <v>230857</v>
      </c>
      <c r="K64" s="18">
        <f t="shared" si="44"/>
        <v>230857</v>
      </c>
    </row>
    <row r="65" spans="2:11" ht="15" customHeight="1" x14ac:dyDescent="0.25">
      <c r="C65" s="16" t="s">
        <v>229</v>
      </c>
      <c r="D65" s="9">
        <v>501959792</v>
      </c>
      <c r="E65" s="9">
        <v>862165030</v>
      </c>
      <c r="F65" s="9">
        <v>897116100</v>
      </c>
      <c r="G65" s="18">
        <f>F65</f>
        <v>897116100</v>
      </c>
      <c r="H65" s="18">
        <f t="shared" ref="H65:K65" si="45">G65</f>
        <v>897116100</v>
      </c>
      <c r="I65" s="18">
        <f t="shared" si="45"/>
        <v>897116100</v>
      </c>
      <c r="J65" s="18">
        <f t="shared" si="45"/>
        <v>897116100</v>
      </c>
      <c r="K65" s="18">
        <f t="shared" si="45"/>
        <v>897116100</v>
      </c>
    </row>
    <row r="66" spans="2:11" ht="15" customHeight="1" x14ac:dyDescent="0.25">
      <c r="C66" s="16" t="s">
        <v>230</v>
      </c>
      <c r="D66" s="9">
        <v>13396214</v>
      </c>
      <c r="E66" s="9">
        <v>13396214</v>
      </c>
      <c r="F66" s="9">
        <v>97512429</v>
      </c>
      <c r="G66" s="18">
        <f>F66</f>
        <v>97512429</v>
      </c>
      <c r="H66" s="18">
        <f t="shared" ref="H66:K66" si="46">G66</f>
        <v>97512429</v>
      </c>
      <c r="I66" s="18">
        <f t="shared" si="46"/>
        <v>97512429</v>
      </c>
      <c r="J66" s="18">
        <f t="shared" si="46"/>
        <v>97512429</v>
      </c>
      <c r="K66" s="18">
        <f t="shared" si="46"/>
        <v>97512429</v>
      </c>
    </row>
    <row r="67" spans="2:11" ht="15" customHeight="1" x14ac:dyDescent="0.25">
      <c r="C67" s="16" t="s">
        <v>231</v>
      </c>
      <c r="D67" s="9">
        <v>2213838269</v>
      </c>
      <c r="E67" s="9">
        <v>2603482526</v>
      </c>
      <c r="F67" s="9">
        <v>2711790626</v>
      </c>
      <c r="G67" s="18">
        <f>F67</f>
        <v>2711790626</v>
      </c>
      <c r="H67" s="18">
        <f t="shared" ref="H67:K67" si="47">G67</f>
        <v>2711790626</v>
      </c>
      <c r="I67" s="18">
        <f t="shared" si="47"/>
        <v>2711790626</v>
      </c>
      <c r="J67" s="18">
        <f t="shared" si="47"/>
        <v>2711790626</v>
      </c>
      <c r="K67" s="18">
        <f t="shared" si="47"/>
        <v>2711790626</v>
      </c>
    </row>
    <row r="68" spans="2:11" ht="15" customHeight="1" x14ac:dyDescent="0.25">
      <c r="C68" s="10" t="s">
        <v>7</v>
      </c>
      <c r="D68" s="11">
        <f>SUM(D63:D67)</f>
        <v>3910496112</v>
      </c>
      <c r="E68" s="11">
        <f t="shared" ref="E68:G68" si="48">SUM(E63:E67)</f>
        <v>4799763297</v>
      </c>
      <c r="F68" s="11">
        <f t="shared" si="48"/>
        <v>5084454161</v>
      </c>
      <c r="G68" s="11">
        <f t="shared" si="48"/>
        <v>5442834591.8964434</v>
      </c>
      <c r="H68" s="11">
        <f t="shared" ref="H68" si="49">SUM(H63:H67)</f>
        <v>5831349534.9883919</v>
      </c>
      <c r="I68" s="11">
        <f t="shared" ref="I68" si="50">SUM(I63:I67)</f>
        <v>6241997504.4352741</v>
      </c>
      <c r="J68" s="11">
        <f t="shared" ref="J68" si="51">SUM(J63:J67)</f>
        <v>6676049248.5120096</v>
      </c>
      <c r="K68" s="11">
        <f t="shared" ref="K68" si="52">SUM(K63:K67)</f>
        <v>7134848902.56633</v>
      </c>
    </row>
    <row r="69" spans="2:11" ht="15" customHeight="1" x14ac:dyDescent="0.25">
      <c r="E69" s="18"/>
      <c r="F69" s="18"/>
      <c r="G69" s="18"/>
      <c r="H69" s="18"/>
      <c r="I69" s="18"/>
      <c r="J69" s="18"/>
      <c r="K69" s="18"/>
    </row>
    <row r="70" spans="2:11" ht="15" customHeight="1" x14ac:dyDescent="0.25">
      <c r="C70" s="12" t="s">
        <v>8</v>
      </c>
      <c r="D70" s="13">
        <f>D60+D68</f>
        <v>10799951966</v>
      </c>
      <c r="E70" s="13">
        <f t="shared" ref="E70:G70" si="53">E60+E68</f>
        <v>14114273958</v>
      </c>
      <c r="F70" s="13">
        <f t="shared" si="53"/>
        <v>14354312849</v>
      </c>
      <c r="G70" s="13">
        <f t="shared" si="53"/>
        <v>15319236275.550919</v>
      </c>
      <c r="H70" s="13">
        <f t="shared" ref="H70:K70" si="54">H60+H68</f>
        <v>16567379468.866512</v>
      </c>
      <c r="I70" s="13">
        <f t="shared" si="54"/>
        <v>17790312812.461983</v>
      </c>
      <c r="J70" s="13">
        <f t="shared" si="54"/>
        <v>19094168427.704582</v>
      </c>
      <c r="K70" s="13">
        <f t="shared" si="54"/>
        <v>20484070936.48431</v>
      </c>
    </row>
    <row r="71" spans="2:11" ht="15" customHeight="1" x14ac:dyDescent="0.25">
      <c r="E71" s="17"/>
      <c r="F71" s="17"/>
      <c r="G71" s="17"/>
      <c r="H71" s="17"/>
      <c r="I71" s="17"/>
      <c r="J71" s="17"/>
      <c r="K71" s="17"/>
    </row>
    <row r="72" spans="2:11" s="34" customFormat="1" ht="15" customHeight="1" x14ac:dyDescent="0.25">
      <c r="C72" s="44" t="s">
        <v>9</v>
      </c>
      <c r="D72" s="248"/>
      <c r="E72" s="46"/>
      <c r="F72" s="46"/>
      <c r="G72" s="215"/>
      <c r="H72" s="215"/>
      <c r="I72" s="215"/>
      <c r="J72" s="215"/>
      <c r="K72" s="215"/>
    </row>
    <row r="73" spans="2:11" ht="15" customHeight="1" x14ac:dyDescent="0.25">
      <c r="E73" s="17"/>
      <c r="F73" s="17"/>
      <c r="G73" s="17"/>
      <c r="H73" s="17"/>
      <c r="I73" s="17"/>
      <c r="J73" s="17"/>
      <c r="K73" s="17"/>
    </row>
    <row r="74" spans="2:11" ht="15" customHeight="1" x14ac:dyDescent="0.25">
      <c r="B74" s="5" t="s">
        <v>215</v>
      </c>
      <c r="C74" s="12" t="s">
        <v>10</v>
      </c>
      <c r="E74" s="17"/>
      <c r="F74" s="17"/>
      <c r="G74" s="17"/>
      <c r="H74" s="17"/>
      <c r="I74" s="17"/>
      <c r="J74" s="17"/>
      <c r="K74" s="17"/>
    </row>
    <row r="75" spans="2:11" ht="15" customHeight="1" x14ac:dyDescent="0.25">
      <c r="C75" s="16" t="s">
        <v>241</v>
      </c>
      <c r="D75" s="9">
        <v>325075562</v>
      </c>
      <c r="E75" s="9">
        <v>536211467</v>
      </c>
      <c r="F75" s="9">
        <v>1133779134</v>
      </c>
      <c r="G75" s="18">
        <f>F75</f>
        <v>1133779134</v>
      </c>
      <c r="H75" s="18">
        <f t="shared" ref="H75:K75" si="55">G75</f>
        <v>1133779134</v>
      </c>
      <c r="I75" s="18">
        <f t="shared" si="55"/>
        <v>1133779134</v>
      </c>
      <c r="J75" s="18">
        <f t="shared" si="55"/>
        <v>1133779134</v>
      </c>
      <c r="K75" s="18">
        <f t="shared" si="55"/>
        <v>1133779134</v>
      </c>
    </row>
    <row r="76" spans="2:11" ht="15" customHeight="1" x14ac:dyDescent="0.25">
      <c r="C76" s="16" t="s">
        <v>244</v>
      </c>
      <c r="D76" s="9">
        <v>671229857</v>
      </c>
      <c r="E76" s="9">
        <v>1258723755</v>
      </c>
      <c r="F76" s="9">
        <v>1796589147</v>
      </c>
      <c r="G76" s="18">
        <f>F76</f>
        <v>1796589147</v>
      </c>
      <c r="H76" s="18">
        <f t="shared" ref="H76:K76" si="56">G76</f>
        <v>1796589147</v>
      </c>
      <c r="I76" s="18">
        <f t="shared" si="56"/>
        <v>1796589147</v>
      </c>
      <c r="J76" s="18">
        <f t="shared" si="56"/>
        <v>1796589147</v>
      </c>
      <c r="K76" s="18">
        <f t="shared" si="56"/>
        <v>1796589147</v>
      </c>
    </row>
    <row r="77" spans="2:11" ht="15" customHeight="1" x14ac:dyDescent="0.25">
      <c r="C77" s="16" t="s">
        <v>242</v>
      </c>
      <c r="D77" s="9">
        <v>988620</v>
      </c>
      <c r="E77" s="9">
        <v>612491</v>
      </c>
      <c r="F77" s="9">
        <v>372617</v>
      </c>
      <c r="G77" s="18">
        <f>F77</f>
        <v>372617</v>
      </c>
      <c r="H77" s="18">
        <f t="shared" ref="H77:K77" si="57">G77</f>
        <v>372617</v>
      </c>
      <c r="I77" s="18">
        <f t="shared" si="57"/>
        <v>372617</v>
      </c>
      <c r="J77" s="18">
        <f t="shared" si="57"/>
        <v>372617</v>
      </c>
      <c r="K77" s="18">
        <f t="shared" si="57"/>
        <v>372617</v>
      </c>
    </row>
    <row r="78" spans="2:11" ht="15" customHeight="1" x14ac:dyDescent="0.25">
      <c r="C78" s="16" t="s">
        <v>245</v>
      </c>
      <c r="D78" s="9">
        <v>96064753</v>
      </c>
      <c r="E78" s="9">
        <v>129419209</v>
      </c>
      <c r="F78" s="9">
        <v>88127000</v>
      </c>
      <c r="G78" s="18">
        <f>G191</f>
        <v>113925669.84266776</v>
      </c>
      <c r="H78" s="18">
        <f t="shared" ref="H78:K78" si="58">H191</f>
        <v>123505139.56613304</v>
      </c>
      <c r="I78" s="18">
        <f t="shared" si="58"/>
        <v>130541014.39563747</v>
      </c>
      <c r="J78" s="18">
        <f t="shared" si="58"/>
        <v>137980847.80083641</v>
      </c>
      <c r="K78" s="18">
        <f t="shared" si="58"/>
        <v>145847968.82178587</v>
      </c>
    </row>
    <row r="79" spans="2:11" ht="15" customHeight="1" x14ac:dyDescent="0.25">
      <c r="C79" s="16" t="s">
        <v>246</v>
      </c>
      <c r="D79" s="9">
        <v>656059360</v>
      </c>
      <c r="E79" s="9">
        <v>2006352774</v>
      </c>
      <c r="F79" s="9">
        <v>1988784280</v>
      </c>
      <c r="G79" s="18">
        <f t="shared" ref="G79:K81" si="59">G192</f>
        <v>2067610325.8318059</v>
      </c>
      <c r="H79" s="18">
        <f t="shared" si="59"/>
        <v>2241465880.4542456</v>
      </c>
      <c r="I79" s="18">
        <f t="shared" si="59"/>
        <v>2369158326.4923825</v>
      </c>
      <c r="J79" s="18">
        <f t="shared" si="59"/>
        <v>2504182122.2032294</v>
      </c>
      <c r="K79" s="18">
        <f t="shared" si="59"/>
        <v>2646960660.8762712</v>
      </c>
    </row>
    <row r="80" spans="2:11" ht="15" customHeight="1" x14ac:dyDescent="0.25">
      <c r="C80" s="16" t="s">
        <v>247</v>
      </c>
      <c r="D80" s="9">
        <v>792618755</v>
      </c>
      <c r="E80" s="9">
        <v>848287494</v>
      </c>
      <c r="F80" s="9">
        <v>1357733915</v>
      </c>
      <c r="G80" s="18">
        <f t="shared" si="59"/>
        <v>1411548095.2947011</v>
      </c>
      <c r="H80" s="18">
        <f t="shared" si="59"/>
        <v>1530238485.799005</v>
      </c>
      <c r="I80" s="18">
        <f t="shared" si="59"/>
        <v>1617413533.6002104</v>
      </c>
      <c r="J80" s="18">
        <f t="shared" si="59"/>
        <v>1709593660.2294538</v>
      </c>
      <c r="K80" s="18">
        <f t="shared" si="59"/>
        <v>1807067914.3454044</v>
      </c>
    </row>
    <row r="81" spans="2:12" ht="15" customHeight="1" x14ac:dyDescent="0.25">
      <c r="C81" s="16" t="s">
        <v>225</v>
      </c>
      <c r="D81" s="9">
        <v>735512834</v>
      </c>
      <c r="E81" s="9">
        <v>660223882</v>
      </c>
      <c r="F81" s="9">
        <v>275024868</v>
      </c>
      <c r="G81" s="18">
        <f t="shared" si="59"/>
        <v>285925558.97381157</v>
      </c>
      <c r="H81" s="18">
        <f t="shared" si="59"/>
        <v>309967684.32744884</v>
      </c>
      <c r="I81" s="18">
        <f t="shared" si="59"/>
        <v>327626008.79702669</v>
      </c>
      <c r="J81" s="18">
        <f t="shared" si="59"/>
        <v>346298170.46165663</v>
      </c>
      <c r="K81" s="18">
        <f t="shared" si="59"/>
        <v>366042719.50434428</v>
      </c>
    </row>
    <row r="82" spans="2:12" ht="15" customHeight="1" x14ac:dyDescent="0.25">
      <c r="C82" s="10" t="s">
        <v>11</v>
      </c>
      <c r="D82" s="11">
        <f>SUM(D75:D81)</f>
        <v>3277549741</v>
      </c>
      <c r="E82" s="11">
        <f t="shared" ref="E82:G82" si="60">SUM(E75:E81)</f>
        <v>5439831072</v>
      </c>
      <c r="F82" s="11">
        <f t="shared" si="60"/>
        <v>6640410961</v>
      </c>
      <c r="G82" s="11">
        <f t="shared" si="60"/>
        <v>6809750547.9429865</v>
      </c>
      <c r="H82" s="11">
        <f t="shared" ref="H82" si="61">SUM(H75:H81)</f>
        <v>7135918088.1468325</v>
      </c>
      <c r="I82" s="11">
        <f t="shared" ref="I82" si="62">SUM(I75:I81)</f>
        <v>7375479781.2852564</v>
      </c>
      <c r="J82" s="11">
        <f t="shared" ref="J82" si="63">SUM(J75:J81)</f>
        <v>7628795698.6951771</v>
      </c>
      <c r="K82" s="11">
        <f t="shared" ref="K82" si="64">SUM(K75:K81)</f>
        <v>7896660161.5478058</v>
      </c>
      <c r="L82" s="17"/>
    </row>
    <row r="83" spans="2:12" ht="15" customHeight="1" x14ac:dyDescent="0.25">
      <c r="D83" s="262"/>
      <c r="E83" s="262"/>
      <c r="F83" s="262"/>
      <c r="G83" s="263"/>
      <c r="H83" s="263"/>
      <c r="I83" s="263"/>
      <c r="J83" s="263"/>
      <c r="K83" s="263"/>
    </row>
    <row r="84" spans="2:12" ht="15" customHeight="1" x14ac:dyDescent="0.25">
      <c r="B84" s="5" t="s">
        <v>215</v>
      </c>
      <c r="C84" s="12" t="s">
        <v>12</v>
      </c>
      <c r="E84" s="17"/>
      <c r="F84" s="17"/>
      <c r="G84" s="17"/>
      <c r="H84" s="17"/>
      <c r="I84" s="17"/>
      <c r="J84" s="17"/>
      <c r="K84" s="17"/>
    </row>
    <row r="85" spans="2:12" ht="15" customHeight="1" x14ac:dyDescent="0.25">
      <c r="C85" s="16" t="s">
        <v>241</v>
      </c>
      <c r="D85" s="9">
        <v>828943571</v>
      </c>
      <c r="E85" s="9">
        <v>1099853351</v>
      </c>
      <c r="F85" s="9">
        <v>288980401</v>
      </c>
      <c r="G85" s="18">
        <f>F85</f>
        <v>288980401</v>
      </c>
      <c r="H85" s="18">
        <f t="shared" ref="H85:K85" si="65">G85</f>
        <v>288980401</v>
      </c>
      <c r="I85" s="18">
        <f t="shared" si="65"/>
        <v>288980401</v>
      </c>
      <c r="J85" s="18">
        <f t="shared" si="65"/>
        <v>288980401</v>
      </c>
      <c r="K85" s="18">
        <f t="shared" si="65"/>
        <v>288980401</v>
      </c>
    </row>
    <row r="86" spans="2:12" ht="15" customHeight="1" x14ac:dyDescent="0.25">
      <c r="C86" s="16" t="s">
        <v>242</v>
      </c>
      <c r="D86" s="9">
        <v>1030340</v>
      </c>
      <c r="E86" s="9">
        <v>422001</v>
      </c>
      <c r="F86" s="9">
        <v>49384</v>
      </c>
      <c r="G86" s="18">
        <f>F86</f>
        <v>49384</v>
      </c>
      <c r="H86" s="18">
        <f t="shared" ref="H86:K86" si="66">G86</f>
        <v>49384</v>
      </c>
      <c r="I86" s="18">
        <f t="shared" si="66"/>
        <v>49384</v>
      </c>
      <c r="J86" s="18">
        <f t="shared" si="66"/>
        <v>49384</v>
      </c>
      <c r="K86" s="18">
        <f t="shared" si="66"/>
        <v>49384</v>
      </c>
    </row>
    <row r="87" spans="2:12" ht="15" customHeight="1" x14ac:dyDescent="0.25">
      <c r="C87" s="16" t="s">
        <v>243</v>
      </c>
      <c r="D87" s="9">
        <v>246000000</v>
      </c>
      <c r="E87" s="9">
        <v>250000000</v>
      </c>
      <c r="F87" s="9">
        <v>250000000</v>
      </c>
      <c r="G87" s="18">
        <f>F87</f>
        <v>250000000</v>
      </c>
      <c r="H87" s="18">
        <f t="shared" ref="H87:K87" si="67">G87</f>
        <v>250000000</v>
      </c>
      <c r="I87" s="18">
        <f t="shared" si="67"/>
        <v>250000000</v>
      </c>
      <c r="J87" s="18">
        <f t="shared" si="67"/>
        <v>250000000</v>
      </c>
      <c r="K87" s="18">
        <f t="shared" si="67"/>
        <v>250000000</v>
      </c>
    </row>
    <row r="88" spans="2:12" ht="15" customHeight="1" x14ac:dyDescent="0.25">
      <c r="C88" s="16" t="s">
        <v>198</v>
      </c>
      <c r="D88" s="9">
        <v>196382183</v>
      </c>
      <c r="E88" s="9">
        <v>211943640</v>
      </c>
      <c r="F88" s="9">
        <v>183445175</v>
      </c>
      <c r="G88" s="18">
        <f>F88</f>
        <v>183445175</v>
      </c>
      <c r="H88" s="18">
        <f t="shared" ref="H88:K88" si="68">G88</f>
        <v>183445175</v>
      </c>
      <c r="I88" s="18">
        <f t="shared" si="68"/>
        <v>183445175</v>
      </c>
      <c r="J88" s="18">
        <f t="shared" si="68"/>
        <v>183445175</v>
      </c>
      <c r="K88" s="18">
        <f t="shared" si="68"/>
        <v>183445175</v>
      </c>
    </row>
    <row r="89" spans="2:12" ht="15" customHeight="1" x14ac:dyDescent="0.25">
      <c r="C89" s="10" t="s">
        <v>13</v>
      </c>
      <c r="D89" s="11">
        <f>SUM(D85:D88)</f>
        <v>1272356094</v>
      </c>
      <c r="E89" s="11">
        <f t="shared" ref="E89:G89" si="69">SUM(E85:E88)</f>
        <v>1562218992</v>
      </c>
      <c r="F89" s="11">
        <f t="shared" si="69"/>
        <v>722474960</v>
      </c>
      <c r="G89" s="11">
        <f t="shared" si="69"/>
        <v>722474960</v>
      </c>
      <c r="H89" s="11">
        <f t="shared" ref="H89" si="70">SUM(H85:H88)</f>
        <v>722474960</v>
      </c>
      <c r="I89" s="11">
        <f t="shared" ref="I89" si="71">SUM(I85:I88)</f>
        <v>722474960</v>
      </c>
      <c r="J89" s="11">
        <f t="shared" ref="J89" si="72">SUM(J85:J88)</f>
        <v>722474960</v>
      </c>
      <c r="K89" s="11">
        <f t="shared" ref="K89" si="73">SUM(K85:K88)</f>
        <v>722474960</v>
      </c>
    </row>
    <row r="90" spans="2:12" ht="15" customHeight="1" x14ac:dyDescent="0.25">
      <c r="D90" s="1"/>
      <c r="E90" s="1"/>
      <c r="F90" s="1"/>
      <c r="G90" s="210"/>
      <c r="H90" s="210"/>
      <c r="I90" s="210"/>
      <c r="J90" s="210"/>
      <c r="K90" s="210"/>
    </row>
    <row r="91" spans="2:12" ht="15" customHeight="1" x14ac:dyDescent="0.25">
      <c r="C91" s="12" t="s">
        <v>14</v>
      </c>
      <c r="D91" s="24">
        <f>D82+D89</f>
        <v>4549905835</v>
      </c>
      <c r="E91" s="24">
        <f t="shared" ref="E91:G91" si="74">E82+E89</f>
        <v>7002050064</v>
      </c>
      <c r="F91" s="24">
        <f t="shared" si="74"/>
        <v>7362885921</v>
      </c>
      <c r="G91" s="24">
        <f t="shared" si="74"/>
        <v>7532225507.9429865</v>
      </c>
      <c r="H91" s="24">
        <f t="shared" ref="H91:K91" si="75">H82+H89</f>
        <v>7858393048.1468325</v>
      </c>
      <c r="I91" s="24">
        <f t="shared" si="75"/>
        <v>8097954741.2852564</v>
      </c>
      <c r="J91" s="24">
        <f t="shared" si="75"/>
        <v>8351270658.6951771</v>
      </c>
      <c r="K91" s="24">
        <f t="shared" si="75"/>
        <v>8619135121.5478058</v>
      </c>
    </row>
    <row r="92" spans="2:12" ht="15" customHeight="1" x14ac:dyDescent="0.25">
      <c r="E92" s="17"/>
      <c r="F92" s="17"/>
      <c r="G92" s="17"/>
      <c r="H92" s="17"/>
      <c r="I92" s="17"/>
      <c r="J92" s="17"/>
      <c r="K92" s="17"/>
    </row>
    <row r="93" spans="2:12" ht="15" customHeight="1" x14ac:dyDescent="0.25">
      <c r="B93" s="5" t="s">
        <v>215</v>
      </c>
      <c r="C93" s="12" t="s">
        <v>15</v>
      </c>
      <c r="E93" s="17"/>
      <c r="F93" s="17"/>
      <c r="G93" s="17"/>
      <c r="H93" s="17"/>
      <c r="I93" s="17"/>
      <c r="J93" s="17"/>
      <c r="K93" s="17"/>
    </row>
    <row r="94" spans="2:12" ht="15" customHeight="1" x14ac:dyDescent="0.25">
      <c r="C94" s="16" t="s">
        <v>213</v>
      </c>
      <c r="D94" s="9">
        <v>1512000000</v>
      </c>
      <c r="E94" s="9">
        <v>1814400000</v>
      </c>
      <c r="F94" s="9">
        <v>2268000000</v>
      </c>
      <c r="G94" s="18">
        <f>F94</f>
        <v>2268000000</v>
      </c>
      <c r="H94" s="18">
        <f t="shared" ref="H94:K94" si="76">G94</f>
        <v>2268000000</v>
      </c>
      <c r="I94" s="18">
        <f t="shared" si="76"/>
        <v>2268000000</v>
      </c>
      <c r="J94" s="18">
        <f t="shared" si="76"/>
        <v>2268000000</v>
      </c>
      <c r="K94" s="18">
        <f t="shared" si="76"/>
        <v>2268000000</v>
      </c>
    </row>
    <row r="95" spans="2:12" ht="15" customHeight="1" x14ac:dyDescent="0.25">
      <c r="C95" s="16" t="s">
        <v>214</v>
      </c>
      <c r="D95" s="9">
        <v>630000000</v>
      </c>
      <c r="E95" s="9">
        <v>756000000</v>
      </c>
      <c r="F95" s="9">
        <v>907200000</v>
      </c>
      <c r="G95" s="18">
        <f>F95</f>
        <v>907200000</v>
      </c>
      <c r="H95" s="18">
        <f t="shared" ref="H95:K95" si="77">G95</f>
        <v>907200000</v>
      </c>
      <c r="I95" s="18">
        <f t="shared" si="77"/>
        <v>907200000</v>
      </c>
      <c r="J95" s="18">
        <f t="shared" si="77"/>
        <v>907200000</v>
      </c>
      <c r="K95" s="18">
        <f t="shared" si="77"/>
        <v>907200000</v>
      </c>
    </row>
    <row r="96" spans="2:12" ht="15" customHeight="1" x14ac:dyDescent="0.25">
      <c r="C96" s="16" t="s">
        <v>238</v>
      </c>
      <c r="D96" s="9">
        <v>1530350323</v>
      </c>
      <c r="E96" s="9">
        <v>2230417256</v>
      </c>
      <c r="F96" s="9">
        <v>2505417256</v>
      </c>
      <c r="G96" s="18">
        <f>F96</f>
        <v>2505417256</v>
      </c>
      <c r="H96" s="18">
        <f t="shared" ref="H96:K96" si="78">G96</f>
        <v>2505417256</v>
      </c>
      <c r="I96" s="18">
        <f t="shared" si="78"/>
        <v>2505417256</v>
      </c>
      <c r="J96" s="18">
        <f t="shared" si="78"/>
        <v>2505417256</v>
      </c>
      <c r="K96" s="18">
        <f t="shared" si="78"/>
        <v>2505417256</v>
      </c>
    </row>
    <row r="97" spans="1:11" ht="15" customHeight="1" x14ac:dyDescent="0.25">
      <c r="C97" s="16" t="s">
        <v>239</v>
      </c>
      <c r="D97" s="9">
        <v>0</v>
      </c>
      <c r="E97" s="9">
        <v>-451641883</v>
      </c>
      <c r="F97" s="9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</row>
    <row r="98" spans="1:11" ht="15" customHeight="1" x14ac:dyDescent="0.25">
      <c r="C98" s="16" t="s">
        <v>186</v>
      </c>
      <c r="D98" s="9">
        <v>118998662</v>
      </c>
      <c r="E98" s="9">
        <v>223658962</v>
      </c>
      <c r="F98" s="9">
        <v>172414363</v>
      </c>
      <c r="G98" s="18">
        <f>G233</f>
        <v>2106393511.6079338</v>
      </c>
      <c r="H98" s="18">
        <f t="shared" ref="H98:K98" si="79">H233</f>
        <v>3028369164.7196798</v>
      </c>
      <c r="I98" s="18">
        <f t="shared" si="79"/>
        <v>4011740815.1767254</v>
      </c>
      <c r="J98" s="18">
        <f t="shared" si="79"/>
        <v>5062280513.0094051</v>
      </c>
      <c r="K98" s="18">
        <f t="shared" si="79"/>
        <v>6184318558.9365034</v>
      </c>
    </row>
    <row r="99" spans="1:11" ht="15" customHeight="1" x14ac:dyDescent="0.25">
      <c r="C99" s="16" t="s">
        <v>240</v>
      </c>
      <c r="D99" s="9">
        <v>2458697146</v>
      </c>
      <c r="E99" s="9">
        <v>2539389559</v>
      </c>
      <c r="F99" s="9">
        <v>1138395309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</row>
    <row r="100" spans="1:11" ht="15" customHeight="1" x14ac:dyDescent="0.25">
      <c r="C100" s="25" t="s">
        <v>16</v>
      </c>
      <c r="D100" s="11">
        <f>SUM(D94:D99)</f>
        <v>6250046131</v>
      </c>
      <c r="E100" s="11">
        <f t="shared" ref="E100:G100" si="80">SUM(E94:E99)</f>
        <v>7112223894</v>
      </c>
      <c r="F100" s="11">
        <f t="shared" si="80"/>
        <v>6991426928</v>
      </c>
      <c r="G100" s="11">
        <f t="shared" si="80"/>
        <v>7787010767.607934</v>
      </c>
      <c r="H100" s="11">
        <f t="shared" ref="H100" si="81">SUM(H94:H99)</f>
        <v>8708986420.7196808</v>
      </c>
      <c r="I100" s="11">
        <f t="shared" ref="I100" si="82">SUM(I94:I99)</f>
        <v>9692358071.1767254</v>
      </c>
      <c r="J100" s="11">
        <f t="shared" ref="J100" si="83">SUM(J94:J99)</f>
        <v>10742897769.009405</v>
      </c>
      <c r="K100" s="11">
        <f t="shared" ref="K100" si="84">SUM(K94:K99)</f>
        <v>11864935814.936504</v>
      </c>
    </row>
    <row r="101" spans="1:11" ht="15" customHeight="1" x14ac:dyDescent="0.25">
      <c r="E101" s="18"/>
      <c r="F101" s="18"/>
      <c r="G101" s="18"/>
      <c r="H101" s="18"/>
      <c r="I101" s="18"/>
      <c r="J101" s="18"/>
      <c r="K101" s="18"/>
    </row>
    <row r="102" spans="1:11" ht="15" customHeight="1" x14ac:dyDescent="0.25">
      <c r="C102" s="12" t="s">
        <v>17</v>
      </c>
      <c r="D102" s="13">
        <f>D91+D100</f>
        <v>10799951966</v>
      </c>
      <c r="E102" s="13">
        <f t="shared" ref="E102:G102" si="85">E91+E100</f>
        <v>14114273958</v>
      </c>
      <c r="F102" s="13">
        <f t="shared" si="85"/>
        <v>14354312849</v>
      </c>
      <c r="G102" s="13">
        <f t="shared" si="85"/>
        <v>15319236275.55092</v>
      </c>
      <c r="H102" s="13">
        <f t="shared" ref="H102:K102" si="86">H91+H100</f>
        <v>16567379468.866512</v>
      </c>
      <c r="I102" s="13">
        <f t="shared" si="86"/>
        <v>17790312812.461983</v>
      </c>
      <c r="J102" s="13">
        <f t="shared" si="86"/>
        <v>19094168427.704582</v>
      </c>
      <c r="K102" s="13">
        <f t="shared" si="86"/>
        <v>20484070936.48431</v>
      </c>
    </row>
    <row r="103" spans="1:11" ht="15" customHeight="1" x14ac:dyDescent="0.25">
      <c r="E103" s="17"/>
      <c r="F103" s="17"/>
      <c r="G103" s="17"/>
      <c r="H103" s="17"/>
      <c r="I103" s="17"/>
      <c r="J103" s="17"/>
      <c r="K103" s="17"/>
    </row>
    <row r="104" spans="1:11" ht="15" customHeight="1" x14ac:dyDescent="0.25">
      <c r="C104" s="5" t="s">
        <v>18</v>
      </c>
      <c r="D104" s="266">
        <f>D70-D102</f>
        <v>0</v>
      </c>
      <c r="E104" s="266">
        <f t="shared" ref="E104:K104" si="87">E70-E102</f>
        <v>0</v>
      </c>
      <c r="F104" s="266">
        <f t="shared" si="87"/>
        <v>0</v>
      </c>
      <c r="G104" s="266">
        <f t="shared" si="87"/>
        <v>0</v>
      </c>
      <c r="H104" s="266">
        <f t="shared" si="87"/>
        <v>0</v>
      </c>
      <c r="I104" s="266">
        <f t="shared" si="87"/>
        <v>0</v>
      </c>
      <c r="J104" s="266">
        <f t="shared" si="87"/>
        <v>0</v>
      </c>
      <c r="K104" s="266">
        <f t="shared" si="87"/>
        <v>0</v>
      </c>
    </row>
    <row r="105" spans="1:11" ht="15" customHeight="1" x14ac:dyDescent="0.25"/>
    <row r="106" spans="1:11" customFormat="1" x14ac:dyDescent="0.25">
      <c r="A106" t="s">
        <v>215</v>
      </c>
      <c r="C106" s="38" t="s">
        <v>45</v>
      </c>
      <c r="D106" s="247"/>
      <c r="E106" s="45"/>
      <c r="F106" s="45"/>
      <c r="G106" s="45"/>
      <c r="H106" s="45"/>
      <c r="I106" s="45"/>
      <c r="J106" s="45"/>
      <c r="K106" s="45"/>
    </row>
    <row r="107" spans="1:11" customFormat="1" x14ac:dyDescent="0.25">
      <c r="C107" t="s">
        <v>42</v>
      </c>
      <c r="D107" s="40"/>
      <c r="E107" s="40"/>
      <c r="F107" s="41"/>
      <c r="G107" s="41">
        <f t="shared" ref="G107:K107" si="88">G$13</f>
        <v>2026</v>
      </c>
      <c r="H107" s="41">
        <f t="shared" si="88"/>
        <v>2027</v>
      </c>
      <c r="I107" s="41">
        <f t="shared" si="88"/>
        <v>2028</v>
      </c>
      <c r="J107" s="41">
        <f t="shared" si="88"/>
        <v>2029</v>
      </c>
      <c r="K107" s="41">
        <f t="shared" si="88"/>
        <v>2030</v>
      </c>
    </row>
    <row r="108" spans="1:11" customFormat="1" x14ac:dyDescent="0.25">
      <c r="C108" s="42" t="s">
        <v>43</v>
      </c>
      <c r="D108" s="249"/>
      <c r="E108" s="43"/>
      <c r="F108" s="230"/>
      <c r="G108" s="230">
        <f t="shared" ref="G108:K108" si="89">G$14</f>
        <v>46387</v>
      </c>
      <c r="H108" s="230">
        <f t="shared" si="89"/>
        <v>46752</v>
      </c>
      <c r="I108" s="230">
        <f t="shared" si="89"/>
        <v>47118</v>
      </c>
      <c r="J108" s="230">
        <f t="shared" si="89"/>
        <v>47483</v>
      </c>
      <c r="K108" s="230">
        <f t="shared" si="89"/>
        <v>47848</v>
      </c>
    </row>
    <row r="109" spans="1:11" ht="15" customHeight="1" x14ac:dyDescent="0.25"/>
    <row r="110" spans="1:11" s="12" customFormat="1" ht="15" customHeight="1" x14ac:dyDescent="0.25">
      <c r="C110" s="16" t="s">
        <v>191</v>
      </c>
      <c r="D110" s="199"/>
      <c r="E110" s="199"/>
      <c r="F110" s="201"/>
      <c r="G110" s="199">
        <f>G33</f>
        <v>2070282431.6093111</v>
      </c>
      <c r="H110" s="199">
        <f t="shared" ref="H110:K110" si="90">H33</f>
        <v>2399181458.9263244</v>
      </c>
      <c r="I110" s="199">
        <f t="shared" si="90"/>
        <v>2558947216.2822604</v>
      </c>
      <c r="J110" s="199">
        <f t="shared" si="90"/>
        <v>2733733104.9898582</v>
      </c>
      <c r="K110" s="199">
        <f t="shared" si="90"/>
        <v>2919787379.3224134</v>
      </c>
    </row>
    <row r="111" spans="1:11" ht="15" customHeight="1" x14ac:dyDescent="0.25">
      <c r="C111" s="16" t="s">
        <v>187</v>
      </c>
      <c r="D111" s="201"/>
      <c r="E111" s="200"/>
      <c r="F111" s="200"/>
      <c r="G111" s="200">
        <f>G149</f>
        <v>73855556.20743911</v>
      </c>
      <c r="H111" s="200">
        <f t="shared" ref="H111:K111" si="91">H149</f>
        <v>80065719.953466743</v>
      </c>
      <c r="I111" s="200">
        <f t="shared" si="91"/>
        <v>84626925.954332009</v>
      </c>
      <c r="J111" s="200">
        <f t="shared" si="91"/>
        <v>89450009.592905134</v>
      </c>
      <c r="K111" s="200">
        <f t="shared" si="91"/>
        <v>94550094.583020747</v>
      </c>
    </row>
    <row r="112" spans="1:11" s="12" customFormat="1" ht="15" customHeight="1" x14ac:dyDescent="0.25">
      <c r="C112" s="12" t="s">
        <v>173</v>
      </c>
      <c r="D112" s="199"/>
      <c r="E112" s="199"/>
      <c r="F112" s="199"/>
      <c r="G112" s="199">
        <f>SUM(G110:G111)</f>
        <v>2144137987.8167503</v>
      </c>
      <c r="H112" s="199">
        <f t="shared" ref="H112:K112" si="92">SUM(H110:H111)</f>
        <v>2479247178.8797913</v>
      </c>
      <c r="I112" s="199">
        <f t="shared" si="92"/>
        <v>2643574142.2365923</v>
      </c>
      <c r="J112" s="199">
        <f t="shared" si="92"/>
        <v>2823183114.5827632</v>
      </c>
      <c r="K112" s="199">
        <f t="shared" si="92"/>
        <v>3014337473.9054341</v>
      </c>
    </row>
    <row r="113" spans="3:11" s="12" customFormat="1" ht="15" customHeight="1" x14ac:dyDescent="0.25">
      <c r="D113" s="199"/>
      <c r="E113" s="203"/>
      <c r="F113" s="203"/>
      <c r="G113" s="204"/>
      <c r="H113" s="204"/>
      <c r="I113" s="204"/>
      <c r="J113" s="204"/>
      <c r="K113" s="204"/>
    </row>
    <row r="114" spans="3:11" ht="15" customHeight="1" x14ac:dyDescent="0.25">
      <c r="C114" s="197" t="s">
        <v>153</v>
      </c>
      <c r="D114" s="200"/>
      <c r="E114" s="200"/>
      <c r="F114" s="200"/>
      <c r="G114" s="200"/>
      <c r="H114" s="200"/>
      <c r="I114" s="200"/>
      <c r="J114" s="200"/>
      <c r="K114" s="200"/>
    </row>
    <row r="115" spans="3:11" ht="15" customHeight="1" x14ac:dyDescent="0.25">
      <c r="C115" s="16" t="s">
        <v>209</v>
      </c>
      <c r="D115" s="200"/>
      <c r="E115" s="200"/>
      <c r="F115" s="200"/>
      <c r="G115" s="200">
        <f>G199</f>
        <v>1092137209.090766</v>
      </c>
      <c r="H115" s="200">
        <f t="shared" ref="H115:K115" si="93">H199</f>
        <v>-133321842.96485424</v>
      </c>
      <c r="I115" s="200">
        <f t="shared" si="93"/>
        <v>-97921474.384099007</v>
      </c>
      <c r="J115" s="200">
        <f t="shared" si="93"/>
        <v>-103543549.85881138</v>
      </c>
      <c r="K115" s="200">
        <f t="shared" si="93"/>
        <v>-109490306.20883942</v>
      </c>
    </row>
    <row r="116" spans="3:11" s="12" customFormat="1" ht="15" customHeight="1" x14ac:dyDescent="0.25">
      <c r="C116" s="12" t="s">
        <v>19</v>
      </c>
      <c r="D116" s="203"/>
      <c r="E116" s="203"/>
      <c r="F116" s="203"/>
      <c r="G116" s="203">
        <f>SUM(G115)</f>
        <v>1092137209.090766</v>
      </c>
      <c r="H116" s="203">
        <f t="shared" ref="H116:K116" si="94">SUM(H115)</f>
        <v>-133321842.96485424</v>
      </c>
      <c r="I116" s="203">
        <f t="shared" si="94"/>
        <v>-97921474.384099007</v>
      </c>
      <c r="J116" s="203">
        <f t="shared" si="94"/>
        <v>-103543549.85881138</v>
      </c>
      <c r="K116" s="203">
        <f t="shared" si="94"/>
        <v>-109490306.20883942</v>
      </c>
    </row>
    <row r="117" spans="3:11" s="12" customFormat="1" ht="15" customHeight="1" x14ac:dyDescent="0.25">
      <c r="C117" s="12" t="s">
        <v>176</v>
      </c>
      <c r="D117" s="199"/>
      <c r="E117" s="199"/>
      <c r="F117" s="199"/>
      <c r="G117" s="199">
        <f>G112+G116</f>
        <v>3236275196.9075165</v>
      </c>
      <c r="H117" s="199">
        <f t="shared" ref="H117:K117" si="95">H112+H116</f>
        <v>2345925335.914937</v>
      </c>
      <c r="I117" s="199">
        <f t="shared" si="95"/>
        <v>2545652667.8524933</v>
      </c>
      <c r="J117" s="199">
        <f t="shared" si="95"/>
        <v>2719639564.7239518</v>
      </c>
      <c r="K117" s="199">
        <f t="shared" si="95"/>
        <v>2904847167.6965947</v>
      </c>
    </row>
    <row r="118" spans="3:11" ht="15" customHeight="1" x14ac:dyDescent="0.25">
      <c r="D118" s="201"/>
      <c r="E118" s="202"/>
      <c r="F118" s="202"/>
      <c r="G118" s="202"/>
      <c r="H118" s="202"/>
      <c r="I118" s="202"/>
      <c r="J118" s="202"/>
      <c r="K118" s="202"/>
    </row>
    <row r="119" spans="3:11" customFormat="1" x14ac:dyDescent="0.25">
      <c r="C119" s="221" t="s">
        <v>20</v>
      </c>
      <c r="D119" s="250"/>
      <c r="E119" s="222"/>
      <c r="F119" s="222"/>
      <c r="G119" s="222"/>
      <c r="H119" s="222"/>
      <c r="I119" s="222"/>
      <c r="J119" s="222"/>
      <c r="K119" s="222"/>
    </row>
    <row r="120" spans="3:11" ht="15" customHeight="1" x14ac:dyDescent="0.25">
      <c r="C120" s="16" t="s">
        <v>188</v>
      </c>
      <c r="D120" s="201"/>
      <c r="E120" s="200"/>
      <c r="F120" s="200"/>
      <c r="G120" s="200">
        <f>-G138</f>
        <v>-432235987.10388249</v>
      </c>
      <c r="H120" s="200">
        <f t="shared" ref="H120:K120" si="96">-H138</f>
        <v>-468580663.04541481</v>
      </c>
      <c r="I120" s="200">
        <f t="shared" si="96"/>
        <v>-495274895.40121377</v>
      </c>
      <c r="J120" s="200">
        <f t="shared" si="96"/>
        <v>-523501753.6696409</v>
      </c>
      <c r="K120" s="200">
        <f t="shared" si="96"/>
        <v>-553349748.63734078</v>
      </c>
    </row>
    <row r="121" spans="3:11" ht="15" customHeight="1" x14ac:dyDescent="0.25">
      <c r="C121" s="12" t="s">
        <v>175</v>
      </c>
      <c r="D121" s="201"/>
      <c r="E121" s="203"/>
      <c r="F121" s="203"/>
      <c r="G121" s="203">
        <f>SUM(G120)</f>
        <v>-432235987.10388249</v>
      </c>
      <c r="H121" s="203">
        <f t="shared" ref="H121:K121" si="97">SUM(H120)</f>
        <v>-468580663.04541481</v>
      </c>
      <c r="I121" s="203">
        <f t="shared" si="97"/>
        <v>-495274895.40121377</v>
      </c>
      <c r="J121" s="203">
        <f t="shared" si="97"/>
        <v>-523501753.6696409</v>
      </c>
      <c r="K121" s="203">
        <f t="shared" si="97"/>
        <v>-553349748.63734078</v>
      </c>
    </row>
    <row r="122" spans="3:11" ht="15" customHeight="1" x14ac:dyDescent="0.25">
      <c r="D122" s="201"/>
      <c r="E122" s="205"/>
      <c r="F122" s="205"/>
      <c r="G122" s="202"/>
      <c r="H122" s="202"/>
      <c r="I122" s="202"/>
      <c r="J122" s="202"/>
      <c r="K122" s="202"/>
    </row>
    <row r="123" spans="3:11" s="34" customFormat="1" ht="15" customHeight="1" x14ac:dyDescent="0.25">
      <c r="C123" s="44" t="s">
        <v>21</v>
      </c>
      <c r="D123" s="251"/>
      <c r="E123" s="206"/>
      <c r="F123" s="206"/>
      <c r="G123" s="206"/>
      <c r="H123" s="206"/>
      <c r="I123" s="206"/>
      <c r="J123" s="206"/>
      <c r="K123" s="206"/>
    </row>
    <row r="124" spans="3:11" ht="15" customHeight="1" x14ac:dyDescent="0.25">
      <c r="C124" s="16" t="s">
        <v>189</v>
      </c>
      <c r="D124" s="201"/>
      <c r="E124" s="200"/>
      <c r="F124" s="200"/>
      <c r="G124" s="200">
        <f>G232</f>
        <v>-1274698592.0013773</v>
      </c>
      <c r="H124" s="200">
        <f t="shared" ref="H124:K124" si="98">H232</f>
        <v>-1477205805.8145778</v>
      </c>
      <c r="I124" s="200">
        <f t="shared" si="98"/>
        <v>-1575575565.8252146</v>
      </c>
      <c r="J124" s="200">
        <f t="shared" si="98"/>
        <v>-1683193407.1571789</v>
      </c>
      <c r="K124" s="200">
        <f t="shared" si="98"/>
        <v>-1797749333.3953154</v>
      </c>
    </row>
    <row r="125" spans="3:11" ht="15" customHeight="1" x14ac:dyDescent="0.25">
      <c r="C125" s="12" t="s">
        <v>174</v>
      </c>
      <c r="D125" s="199"/>
      <c r="E125" s="203"/>
      <c r="F125" s="203"/>
      <c r="G125" s="203">
        <f>SUM(G124)</f>
        <v>-1274698592.0013773</v>
      </c>
      <c r="H125" s="203">
        <f t="shared" ref="H125:K125" si="99">SUM(H124)</f>
        <v>-1477205805.8145778</v>
      </c>
      <c r="I125" s="203">
        <f t="shared" si="99"/>
        <v>-1575575565.8252146</v>
      </c>
      <c r="J125" s="203">
        <f t="shared" si="99"/>
        <v>-1683193407.1571789</v>
      </c>
      <c r="K125" s="203">
        <f t="shared" si="99"/>
        <v>-1797749333.3953154</v>
      </c>
    </row>
    <row r="126" spans="3:11" ht="15" customHeight="1" x14ac:dyDescent="0.25">
      <c r="C126" s="12"/>
      <c r="D126" s="199"/>
      <c r="E126" s="203"/>
      <c r="F126" s="203"/>
      <c r="G126" s="203"/>
      <c r="H126" s="203"/>
      <c r="I126" s="203"/>
      <c r="J126" s="203"/>
      <c r="K126" s="203"/>
    </row>
    <row r="127" spans="3:11" ht="15" customHeight="1" x14ac:dyDescent="0.25">
      <c r="C127" s="12" t="s">
        <v>154</v>
      </c>
      <c r="D127" s="199"/>
      <c r="E127" s="203"/>
      <c r="F127" s="203"/>
      <c r="G127" s="203">
        <f>G117+G121+G125</f>
        <v>1529340617.8022568</v>
      </c>
      <c r="H127" s="203">
        <f t="shared" ref="H127:K127" si="100">H117+H121+H125</f>
        <v>400138867.05494428</v>
      </c>
      <c r="I127" s="203">
        <f t="shared" si="100"/>
        <v>474802206.62606502</v>
      </c>
      <c r="J127" s="203">
        <f t="shared" si="100"/>
        <v>512944403.89713192</v>
      </c>
      <c r="K127" s="203">
        <f t="shared" si="100"/>
        <v>553748085.66393828</v>
      </c>
    </row>
    <row r="128" spans="3:11" ht="15" customHeight="1" x14ac:dyDescent="0.25">
      <c r="C128" s="5" t="s">
        <v>155</v>
      </c>
      <c r="D128" s="199"/>
      <c r="E128" s="203"/>
      <c r="F128" s="203"/>
      <c r="G128" s="203">
        <f>F59</f>
        <v>2696930971</v>
      </c>
      <c r="H128" s="203">
        <f t="shared" ref="H128:K128" si="101">G59</f>
        <v>4226271588.8022566</v>
      </c>
      <c r="I128" s="203">
        <f t="shared" si="101"/>
        <v>4626410455.8572006</v>
      </c>
      <c r="J128" s="203">
        <f t="shared" si="101"/>
        <v>5101212662.4832659</v>
      </c>
      <c r="K128" s="203">
        <f t="shared" si="101"/>
        <v>5614157066.3803978</v>
      </c>
    </row>
    <row r="129" spans="1:11" ht="15" customHeight="1" x14ac:dyDescent="0.25">
      <c r="C129" s="12" t="s">
        <v>156</v>
      </c>
      <c r="D129" s="201"/>
      <c r="E129" s="203"/>
      <c r="F129" s="203"/>
      <c r="G129" s="203">
        <f>SUM(G127:G128)</f>
        <v>4226271588.8022566</v>
      </c>
      <c r="H129" s="203">
        <f t="shared" ref="H129:K129" si="102">SUM(H127:H128)</f>
        <v>4626410455.8572006</v>
      </c>
      <c r="I129" s="203">
        <f t="shared" si="102"/>
        <v>5101212662.4832659</v>
      </c>
      <c r="J129" s="203">
        <f t="shared" si="102"/>
        <v>5614157066.3803978</v>
      </c>
      <c r="K129" s="203">
        <f t="shared" si="102"/>
        <v>6167905152.0443363</v>
      </c>
    </row>
    <row r="130" spans="1:11" ht="15" customHeight="1" x14ac:dyDescent="0.25">
      <c r="C130" s="12"/>
      <c r="D130" s="201"/>
      <c r="E130" s="204"/>
      <c r="F130" s="203"/>
      <c r="G130" s="204"/>
      <c r="H130" s="204"/>
      <c r="I130" s="204"/>
      <c r="J130" s="204"/>
      <c r="K130" s="204"/>
    </row>
    <row r="131" spans="1:11" ht="15" customHeight="1" x14ac:dyDescent="0.25">
      <c r="C131" s="12" t="s">
        <v>22</v>
      </c>
      <c r="D131" s="235"/>
      <c r="E131" s="235"/>
      <c r="F131" s="200"/>
      <c r="G131" s="200"/>
      <c r="H131" s="200"/>
      <c r="I131" s="200"/>
      <c r="J131" s="200"/>
      <c r="K131" s="200"/>
    </row>
    <row r="132" spans="1:11" ht="15" customHeight="1" x14ac:dyDescent="0.25"/>
    <row r="133" spans="1:11" customFormat="1" x14ac:dyDescent="0.25">
      <c r="A133" t="s">
        <v>215</v>
      </c>
      <c r="C133" s="38" t="s">
        <v>31</v>
      </c>
      <c r="D133" s="245"/>
      <c r="E133" s="39"/>
      <c r="F133" s="39"/>
      <c r="G133" s="39"/>
      <c r="H133" s="39"/>
      <c r="I133" s="39"/>
      <c r="J133" s="39"/>
      <c r="K133" s="39"/>
    </row>
    <row r="134" spans="1:11" customFormat="1" x14ac:dyDescent="0.25">
      <c r="C134" t="s">
        <v>42</v>
      </c>
      <c r="D134" s="40">
        <f t="shared" ref="D134:K134" si="103">D$13</f>
        <v>2023</v>
      </c>
      <c r="E134" s="40">
        <f t="shared" si="103"/>
        <v>2024</v>
      </c>
      <c r="F134" s="40">
        <f t="shared" si="103"/>
        <v>2025</v>
      </c>
      <c r="G134" s="41">
        <f t="shared" si="103"/>
        <v>2026</v>
      </c>
      <c r="H134" s="41">
        <f t="shared" si="103"/>
        <v>2027</v>
      </c>
      <c r="I134" s="41">
        <f t="shared" si="103"/>
        <v>2028</v>
      </c>
      <c r="J134" s="41">
        <f t="shared" si="103"/>
        <v>2029</v>
      </c>
      <c r="K134" s="41">
        <f t="shared" si="103"/>
        <v>2030</v>
      </c>
    </row>
    <row r="135" spans="1:11" customFormat="1" x14ac:dyDescent="0.25">
      <c r="C135" s="42" t="s">
        <v>43</v>
      </c>
      <c r="D135" s="246">
        <f t="shared" ref="D135:K135" si="104">D$14</f>
        <v>45291</v>
      </c>
      <c r="E135" s="230">
        <f t="shared" si="104"/>
        <v>45657</v>
      </c>
      <c r="F135" s="230">
        <f t="shared" si="104"/>
        <v>46022</v>
      </c>
      <c r="G135" s="230">
        <f t="shared" si="104"/>
        <v>46387</v>
      </c>
      <c r="H135" s="230">
        <f t="shared" si="104"/>
        <v>46752</v>
      </c>
      <c r="I135" s="230">
        <f t="shared" si="104"/>
        <v>47118</v>
      </c>
      <c r="J135" s="230">
        <f t="shared" si="104"/>
        <v>47483</v>
      </c>
      <c r="K135" s="230">
        <f t="shared" si="104"/>
        <v>47848</v>
      </c>
    </row>
    <row r="136" spans="1:11" ht="15" customHeight="1" x14ac:dyDescent="0.25"/>
    <row r="137" spans="1:11" ht="15" customHeight="1" x14ac:dyDescent="0.25">
      <c r="C137" s="16" t="s">
        <v>32</v>
      </c>
      <c r="D137" s="185"/>
      <c r="E137" s="186">
        <f>D140</f>
        <v>1179630842</v>
      </c>
      <c r="F137" s="186">
        <f t="shared" ref="F137:G137" si="105">E140</f>
        <v>1319935066</v>
      </c>
      <c r="G137" s="186">
        <f t="shared" si="105"/>
        <v>1377804149</v>
      </c>
      <c r="H137" s="186">
        <f t="shared" ref="H137:K137" si="106">G140</f>
        <v>1736184579.8964434</v>
      </c>
      <c r="I137" s="186">
        <f t="shared" si="106"/>
        <v>2124699522.9883916</v>
      </c>
      <c r="J137" s="186">
        <f t="shared" si="106"/>
        <v>2535347492.4352736</v>
      </c>
      <c r="K137" s="186">
        <f t="shared" si="106"/>
        <v>2969399236.5120096</v>
      </c>
    </row>
    <row r="138" spans="1:11" ht="15" customHeight="1" x14ac:dyDescent="0.25">
      <c r="C138" s="28" t="s">
        <v>33</v>
      </c>
      <c r="D138" s="198">
        <v>196715740</v>
      </c>
      <c r="E138" s="198">
        <v>566675450</v>
      </c>
      <c r="F138" s="198">
        <v>455262444</v>
      </c>
      <c r="G138" s="184">
        <f>G142*G16</f>
        <v>432235987.10388249</v>
      </c>
      <c r="H138" s="184">
        <f>H142*H16</f>
        <v>468580663.04541481</v>
      </c>
      <c r="I138" s="184">
        <f>I142*I16</f>
        <v>495274895.40121377</v>
      </c>
      <c r="J138" s="184">
        <f>J142*J16</f>
        <v>523501753.6696409</v>
      </c>
      <c r="K138" s="184">
        <f>K142*K16</f>
        <v>553349748.63734078</v>
      </c>
    </row>
    <row r="139" spans="1:11" ht="15" customHeight="1" x14ac:dyDescent="0.25">
      <c r="C139" s="28" t="s">
        <v>34</v>
      </c>
      <c r="D139" s="198">
        <v>59457748</v>
      </c>
      <c r="E139" s="198">
        <v>67052522</v>
      </c>
      <c r="F139" s="198">
        <v>79873982</v>
      </c>
      <c r="G139" s="184">
        <f>G143*G16</f>
        <v>73855556.20743911</v>
      </c>
      <c r="H139" s="184">
        <f>H143*H16</f>
        <v>80065719.953466743</v>
      </c>
      <c r="I139" s="184">
        <f>I143*I16</f>
        <v>84626925.954332009</v>
      </c>
      <c r="J139" s="184">
        <f>J143*J16</f>
        <v>89450009.592905134</v>
      </c>
      <c r="K139" s="184">
        <f>K143*K16</f>
        <v>94550094.583020747</v>
      </c>
    </row>
    <row r="140" spans="1:11" ht="15" customHeight="1" x14ac:dyDescent="0.25">
      <c r="C140" s="15" t="s">
        <v>35</v>
      </c>
      <c r="D140" s="232">
        <f>D63</f>
        <v>1179630842</v>
      </c>
      <c r="E140" s="232">
        <f>E63</f>
        <v>1319935066</v>
      </c>
      <c r="F140" s="232">
        <f>F63</f>
        <v>1377804149</v>
      </c>
      <c r="G140" s="232">
        <f>G137+G138-G139</f>
        <v>1736184579.8964434</v>
      </c>
      <c r="H140" s="232">
        <f t="shared" ref="H140:K140" si="107">H137+H138-H139</f>
        <v>2124699522.9883916</v>
      </c>
      <c r="I140" s="232">
        <f t="shared" si="107"/>
        <v>2535347492.4352736</v>
      </c>
      <c r="J140" s="232">
        <f t="shared" si="107"/>
        <v>2969399236.5120096</v>
      </c>
      <c r="K140" s="232">
        <f t="shared" si="107"/>
        <v>3428198890.5663295</v>
      </c>
    </row>
    <row r="141" spans="1:11" ht="15" customHeight="1" x14ac:dyDescent="0.25">
      <c r="C141" s="12"/>
      <c r="D141" s="9"/>
      <c r="E141" s="157"/>
      <c r="F141" s="157"/>
      <c r="G141" s="158"/>
      <c r="H141" s="158"/>
      <c r="I141" s="158"/>
      <c r="J141" s="158"/>
      <c r="K141" s="158"/>
    </row>
    <row r="142" spans="1:11" ht="15" customHeight="1" x14ac:dyDescent="0.25">
      <c r="C142" s="5" t="s">
        <v>148</v>
      </c>
      <c r="D142" s="21">
        <f>D138/D16</f>
        <v>1.4912276625507655E-2</v>
      </c>
      <c r="E142" s="21">
        <f>E138/E16</f>
        <v>4.0040351074692365E-2</v>
      </c>
      <c r="F142" s="21">
        <f>F138/F16</f>
        <v>3.1587836629036151E-2</v>
      </c>
      <c r="G142" s="210">
        <f>AVERAGE(D142:F142)</f>
        <v>2.8846821443078725E-2</v>
      </c>
      <c r="H142" s="210">
        <f>G142</f>
        <v>2.8846821443078725E-2</v>
      </c>
      <c r="I142" s="210">
        <f t="shared" ref="I142:K142" si="108">H142</f>
        <v>2.8846821443078725E-2</v>
      </c>
      <c r="J142" s="210">
        <f t="shared" si="108"/>
        <v>2.8846821443078725E-2</v>
      </c>
      <c r="K142" s="210">
        <f t="shared" si="108"/>
        <v>2.8846821443078725E-2</v>
      </c>
    </row>
    <row r="143" spans="1:11" ht="15" customHeight="1" x14ac:dyDescent="0.25">
      <c r="C143" s="5" t="s">
        <v>177</v>
      </c>
      <c r="D143" s="21">
        <f>D139/D16</f>
        <v>4.5072671139875465E-3</v>
      </c>
      <c r="E143" s="21">
        <f>E139/E16</f>
        <v>4.73782042494259E-3</v>
      </c>
      <c r="F143" s="21">
        <f>F139/F16</f>
        <v>5.5419600882487341E-3</v>
      </c>
      <c r="G143" s="210">
        <f>AVERAGE(D143:F143)</f>
        <v>4.9290158757262894E-3</v>
      </c>
      <c r="H143" s="210">
        <f t="shared" ref="H143:K143" si="109">G143</f>
        <v>4.9290158757262894E-3</v>
      </c>
      <c r="I143" s="210">
        <f t="shared" si="109"/>
        <v>4.9290158757262894E-3</v>
      </c>
      <c r="J143" s="210">
        <f t="shared" si="109"/>
        <v>4.9290158757262894E-3</v>
      </c>
      <c r="K143" s="210">
        <f t="shared" si="109"/>
        <v>4.9290158757262894E-3</v>
      </c>
    </row>
    <row r="144" spans="1:11" ht="15" customHeight="1" x14ac:dyDescent="0.25">
      <c r="E144" s="1"/>
      <c r="F144" s="1"/>
      <c r="G144" s="1"/>
      <c r="H144" s="1"/>
      <c r="I144" s="1"/>
      <c r="J144" s="1"/>
      <c r="K144" s="1"/>
    </row>
    <row r="145" spans="1:11" s="34" customFormat="1" ht="15" customHeight="1" x14ac:dyDescent="0.25">
      <c r="A145" s="34" t="s">
        <v>215</v>
      </c>
      <c r="C145" s="44" t="s">
        <v>36</v>
      </c>
      <c r="D145" s="46"/>
      <c r="E145" s="46"/>
      <c r="F145" s="46"/>
      <c r="G145" s="46"/>
      <c r="H145" s="46"/>
      <c r="I145" s="46"/>
      <c r="J145" s="46"/>
      <c r="K145" s="46"/>
    </row>
    <row r="146" spans="1:11" s="30" customFormat="1" ht="15" customHeight="1" x14ac:dyDescent="0.25">
      <c r="C146" s="31"/>
      <c r="D146" s="32"/>
      <c r="E146" s="33"/>
      <c r="F146" s="33"/>
      <c r="G146" s="33"/>
      <c r="H146" s="33"/>
      <c r="I146" s="33"/>
      <c r="J146" s="33"/>
      <c r="K146" s="33"/>
    </row>
    <row r="147" spans="1:11" s="30" customFormat="1" ht="15" customHeight="1" x14ac:dyDescent="0.25">
      <c r="C147" s="34" t="s">
        <v>37</v>
      </c>
      <c r="D147" s="9"/>
      <c r="E147" s="9"/>
      <c r="F147" s="9"/>
      <c r="G147" s="35"/>
      <c r="H147" s="35"/>
      <c r="I147" s="35"/>
      <c r="J147" s="35"/>
      <c r="K147" s="35"/>
    </row>
    <row r="148" spans="1:11" s="30" customFormat="1" ht="15" customHeight="1" x14ac:dyDescent="0.25">
      <c r="A148" s="31"/>
      <c r="B148" s="31"/>
      <c r="C148" s="23" t="s">
        <v>38</v>
      </c>
      <c r="D148" s="36"/>
      <c r="E148" s="36"/>
      <c r="F148" s="36"/>
      <c r="G148" s="36"/>
      <c r="H148" s="36"/>
      <c r="I148" s="36"/>
      <c r="J148" s="36"/>
      <c r="K148" s="36"/>
    </row>
    <row r="149" spans="1:11" ht="15" customHeight="1" x14ac:dyDescent="0.25">
      <c r="C149" s="37" t="s">
        <v>39</v>
      </c>
      <c r="D149" s="29">
        <f>D139</f>
        <v>59457748</v>
      </c>
      <c r="E149" s="29">
        <f t="shared" ref="E149:K149" si="110">E139</f>
        <v>67052522</v>
      </c>
      <c r="F149" s="29">
        <f t="shared" si="110"/>
        <v>79873982</v>
      </c>
      <c r="G149" s="29">
        <f t="shared" si="110"/>
        <v>73855556.20743911</v>
      </c>
      <c r="H149" s="29">
        <f t="shared" si="110"/>
        <v>80065719.953466743</v>
      </c>
      <c r="I149" s="29">
        <f t="shared" si="110"/>
        <v>84626925.954332009</v>
      </c>
      <c r="J149" s="29">
        <f t="shared" si="110"/>
        <v>89450009.592905134</v>
      </c>
      <c r="K149" s="29">
        <f t="shared" si="110"/>
        <v>94550094.583020747</v>
      </c>
    </row>
    <row r="151" spans="1:11" x14ac:dyDescent="0.25">
      <c r="A151" s="5" t="s">
        <v>215</v>
      </c>
      <c r="C151" s="12" t="s">
        <v>195</v>
      </c>
      <c r="D151" s="256"/>
      <c r="E151" s="12"/>
      <c r="F151" s="12"/>
      <c r="G151" s="12"/>
      <c r="H151" s="12"/>
      <c r="I151" s="12"/>
      <c r="J151" s="12"/>
      <c r="K151" s="12"/>
    </row>
    <row r="152" spans="1:11" x14ac:dyDescent="0.25">
      <c r="C152" s="47" t="s">
        <v>42</v>
      </c>
      <c r="D152" s="48">
        <f t="shared" ref="D152:K152" si="111">D$13</f>
        <v>2023</v>
      </c>
      <c r="E152" s="48">
        <f t="shared" si="111"/>
        <v>2024</v>
      </c>
      <c r="F152" s="48">
        <f t="shared" si="111"/>
        <v>2025</v>
      </c>
      <c r="G152" s="49">
        <f t="shared" si="111"/>
        <v>2026</v>
      </c>
      <c r="H152" s="49">
        <f t="shared" si="111"/>
        <v>2027</v>
      </c>
      <c r="I152" s="49">
        <f t="shared" si="111"/>
        <v>2028</v>
      </c>
      <c r="J152" s="49">
        <f t="shared" si="111"/>
        <v>2029</v>
      </c>
      <c r="K152" s="49">
        <f t="shared" si="111"/>
        <v>2030</v>
      </c>
    </row>
    <row r="153" spans="1:11" x14ac:dyDescent="0.25">
      <c r="C153" s="42" t="s">
        <v>43</v>
      </c>
      <c r="D153" s="43">
        <f t="shared" ref="D153:K153" si="112">D$14</f>
        <v>45291</v>
      </c>
      <c r="E153" s="43">
        <f t="shared" si="112"/>
        <v>45657</v>
      </c>
      <c r="F153" s="43">
        <f t="shared" si="112"/>
        <v>46022</v>
      </c>
      <c r="G153" s="43">
        <f t="shared" si="112"/>
        <v>46387</v>
      </c>
      <c r="H153" s="43">
        <f t="shared" si="112"/>
        <v>46752</v>
      </c>
      <c r="I153" s="43">
        <f t="shared" si="112"/>
        <v>47118</v>
      </c>
      <c r="J153" s="43">
        <f t="shared" si="112"/>
        <v>47483</v>
      </c>
      <c r="K153" s="43">
        <f t="shared" si="112"/>
        <v>47848</v>
      </c>
    </row>
    <row r="154" spans="1:11" x14ac:dyDescent="0.25">
      <c r="C154" s="34"/>
      <c r="D154" s="257"/>
      <c r="E154" s="34"/>
      <c r="F154" s="196"/>
      <c r="G154" s="260"/>
      <c r="H154" s="34"/>
    </row>
    <row r="155" spans="1:11" x14ac:dyDescent="0.25">
      <c r="C155" s="16" t="s">
        <v>249</v>
      </c>
      <c r="D155" s="267">
        <v>1136.896</v>
      </c>
      <c r="E155" s="267">
        <v>1446.607</v>
      </c>
      <c r="F155" s="267">
        <v>1630.694</v>
      </c>
      <c r="G155" s="200">
        <f>F155*(1+G168)</f>
        <v>1712.2287000000001</v>
      </c>
      <c r="H155" s="200">
        <f t="shared" ref="H155:K155" si="113">G155*(1+H168)</f>
        <v>1883.4515700000002</v>
      </c>
      <c r="I155" s="200">
        <f t="shared" si="113"/>
        <v>1977.6241485000003</v>
      </c>
      <c r="J155" s="200">
        <f t="shared" si="113"/>
        <v>2076.5053559250005</v>
      </c>
      <c r="K155" s="200">
        <f t="shared" si="113"/>
        <v>2180.3306237212505</v>
      </c>
    </row>
    <row r="156" spans="1:11" x14ac:dyDescent="0.25">
      <c r="C156" s="16" t="s">
        <v>257</v>
      </c>
      <c r="D156" s="267">
        <v>8621.9889999999996</v>
      </c>
      <c r="E156" s="267">
        <v>9860.5650000000005</v>
      </c>
      <c r="F156" s="267">
        <v>10095.013000000001</v>
      </c>
      <c r="G156" s="200">
        <f t="shared" ref="G156:K156" si="114">F156*(1+G169)</f>
        <v>10498.813520000002</v>
      </c>
      <c r="H156" s="200">
        <f t="shared" si="114"/>
        <v>11443.706736800003</v>
      </c>
      <c r="I156" s="200">
        <f t="shared" si="114"/>
        <v>12130.329141008004</v>
      </c>
      <c r="J156" s="200">
        <f t="shared" si="114"/>
        <v>12858.148889468484</v>
      </c>
      <c r="K156" s="200">
        <f t="shared" si="114"/>
        <v>13629.637822836594</v>
      </c>
    </row>
    <row r="157" spans="1:11" x14ac:dyDescent="0.25">
      <c r="C157" s="16" t="s">
        <v>250</v>
      </c>
      <c r="D157" s="267">
        <v>563.16300000000001</v>
      </c>
      <c r="E157" s="267">
        <v>816.19100000000003</v>
      </c>
      <c r="F157" s="267">
        <v>687.63800000000003</v>
      </c>
      <c r="G157" s="200">
        <f t="shared" ref="G157:K157" si="115">F157*(1+G170)</f>
        <v>722.01990000000012</v>
      </c>
      <c r="H157" s="200">
        <f t="shared" si="115"/>
        <v>758.12089500000013</v>
      </c>
      <c r="I157" s="200">
        <f t="shared" si="115"/>
        <v>796.02693975000022</v>
      </c>
      <c r="J157" s="200">
        <f t="shared" si="115"/>
        <v>835.82828673750032</v>
      </c>
      <c r="K157" s="200">
        <f t="shared" si="115"/>
        <v>877.61970107437537</v>
      </c>
    </row>
    <row r="158" spans="1:11" x14ac:dyDescent="0.25">
      <c r="C158" s="16" t="s">
        <v>251</v>
      </c>
      <c r="D158" s="267">
        <v>210.78700000000001</v>
      </c>
      <c r="E158" s="267">
        <v>220.14400000000001</v>
      </c>
      <c r="F158" s="267">
        <v>240.30699999999999</v>
      </c>
      <c r="G158" s="200">
        <f t="shared" ref="G158:K158" si="116">F158*(1+G171)</f>
        <v>252.32235</v>
      </c>
      <c r="H158" s="200">
        <f t="shared" si="116"/>
        <v>264.9384675</v>
      </c>
      <c r="I158" s="200">
        <f t="shared" si="116"/>
        <v>278.185390875</v>
      </c>
      <c r="J158" s="200">
        <f t="shared" si="116"/>
        <v>292.09466041874998</v>
      </c>
      <c r="K158" s="200">
        <f t="shared" si="116"/>
        <v>306.69939343968747</v>
      </c>
    </row>
    <row r="159" spans="1:11" x14ac:dyDescent="0.25">
      <c r="C159" s="16" t="s">
        <v>252</v>
      </c>
      <c r="D159" s="267">
        <v>49.255000000000003</v>
      </c>
      <c r="E159" s="267">
        <v>43.345999999999997</v>
      </c>
      <c r="F159" s="267">
        <v>19.600999999999999</v>
      </c>
      <c r="G159" s="200">
        <f t="shared" ref="G159:K159" si="117">F159*(1+G172)</f>
        <v>19.600999999999999</v>
      </c>
      <c r="H159" s="200">
        <f t="shared" si="117"/>
        <v>19.600999999999999</v>
      </c>
      <c r="I159" s="200">
        <f t="shared" si="117"/>
        <v>19.600999999999999</v>
      </c>
      <c r="J159" s="200">
        <f t="shared" si="117"/>
        <v>19.600999999999999</v>
      </c>
      <c r="K159" s="200">
        <f t="shared" si="117"/>
        <v>19.600999999999999</v>
      </c>
    </row>
    <row r="160" spans="1:11" x14ac:dyDescent="0.25">
      <c r="C160" s="16" t="s">
        <v>253</v>
      </c>
      <c r="D160" s="267">
        <v>225.53700000000001</v>
      </c>
      <c r="E160" s="267">
        <v>13.86</v>
      </c>
      <c r="F160" s="267">
        <v>1.752</v>
      </c>
      <c r="G160" s="200">
        <f t="shared" ref="G160:K160" si="118">F160*(1+G173)</f>
        <v>1.752</v>
      </c>
      <c r="H160" s="200">
        <f t="shared" si="118"/>
        <v>1.752</v>
      </c>
      <c r="I160" s="200">
        <f t="shared" si="118"/>
        <v>1.752</v>
      </c>
      <c r="J160" s="200">
        <f t="shared" si="118"/>
        <v>1.752</v>
      </c>
      <c r="K160" s="200">
        <f t="shared" si="118"/>
        <v>1.752</v>
      </c>
    </row>
    <row r="161" spans="3:11" x14ac:dyDescent="0.25">
      <c r="C161" s="16" t="s">
        <v>254</v>
      </c>
      <c r="D161" s="267">
        <v>7.2859999999999996</v>
      </c>
      <c r="E161" s="267">
        <v>7.6289999999999996</v>
      </c>
      <c r="F161" s="267">
        <v>8.4109999999999996</v>
      </c>
      <c r="G161" s="200">
        <f t="shared" ref="G161:K161" si="119">F161*(1+G174)</f>
        <v>8.6633300000000002</v>
      </c>
      <c r="H161" s="200">
        <f t="shared" si="119"/>
        <v>8.9232299000000008</v>
      </c>
      <c r="I161" s="200">
        <f t="shared" si="119"/>
        <v>9.1909267970000013</v>
      </c>
      <c r="J161" s="200">
        <f t="shared" si="119"/>
        <v>9.466654600910001</v>
      </c>
      <c r="K161" s="200">
        <f t="shared" si="119"/>
        <v>9.750654238937301</v>
      </c>
    </row>
    <row r="162" spans="3:11" x14ac:dyDescent="0.25">
      <c r="C162" s="16" t="s">
        <v>255</v>
      </c>
      <c r="D162" s="267">
        <v>46.491999999999997</v>
      </c>
      <c r="E162" s="267">
        <v>72.587999999999994</v>
      </c>
      <c r="F162" s="267">
        <v>121.997</v>
      </c>
      <c r="G162" s="200">
        <f t="shared" ref="G162:K162" si="120">F162*(1+G175)</f>
        <v>128.09685000000002</v>
      </c>
      <c r="H162" s="200">
        <f t="shared" si="120"/>
        <v>140.90653500000002</v>
      </c>
      <c r="I162" s="200">
        <f t="shared" si="120"/>
        <v>147.95186175000003</v>
      </c>
      <c r="J162" s="200">
        <f t="shared" si="120"/>
        <v>155.34945483750005</v>
      </c>
      <c r="K162" s="200">
        <f t="shared" si="120"/>
        <v>163.11692757937504</v>
      </c>
    </row>
    <row r="163" spans="3:11" x14ac:dyDescent="0.25">
      <c r="C163" s="16" t="s">
        <v>256</v>
      </c>
      <c r="D163" s="267">
        <v>2330.125</v>
      </c>
      <c r="E163" s="267">
        <v>1671.68</v>
      </c>
      <c r="F163" s="267">
        <v>1608.173</v>
      </c>
      <c r="G163" s="200">
        <f t="shared" ref="G163:K163" si="121">F163*(1+G176)</f>
        <v>1640.33646</v>
      </c>
      <c r="H163" s="200">
        <f t="shared" si="121"/>
        <v>1722.3532830000001</v>
      </c>
      <c r="I163" s="200">
        <f t="shared" si="121"/>
        <v>1808.4709471500003</v>
      </c>
      <c r="J163" s="200">
        <f t="shared" si="121"/>
        <v>1898.8944945075004</v>
      </c>
      <c r="K163" s="200">
        <f t="shared" si="121"/>
        <v>1993.8392192328756</v>
      </c>
    </row>
    <row r="164" spans="3:11" x14ac:dyDescent="0.25">
      <c r="C164" s="37" t="s">
        <v>193</v>
      </c>
      <c r="D164" s="258">
        <f>SUM(D155:D163)*1000000</f>
        <v>13191530000</v>
      </c>
      <c r="E164" s="258">
        <f>SUM(E155:E163)*1000000</f>
        <v>14152610000.000002</v>
      </c>
      <c r="F164" s="258">
        <f>SUM(F155:F163)*1000000</f>
        <v>14413586000.000004</v>
      </c>
      <c r="G164" s="258">
        <f t="shared" ref="G164:K164" si="122">SUM(G155:G163)*1000000</f>
        <v>14983834110.000002</v>
      </c>
      <c r="H164" s="258">
        <f t="shared" si="122"/>
        <v>16243753717.200005</v>
      </c>
      <c r="I164" s="258">
        <f t="shared" si="122"/>
        <v>17169132355.830006</v>
      </c>
      <c r="J164" s="258">
        <f t="shared" si="122"/>
        <v>18147640796.495647</v>
      </c>
      <c r="K164" s="258">
        <f t="shared" si="122"/>
        <v>19182347342.1231</v>
      </c>
    </row>
    <row r="165" spans="3:11" x14ac:dyDescent="0.25">
      <c r="C165" s="259"/>
      <c r="D165" s="200"/>
      <c r="E165" s="200"/>
      <c r="F165" s="200"/>
      <c r="G165" s="200"/>
      <c r="H165" s="200"/>
      <c r="I165" s="200"/>
      <c r="J165" s="200"/>
      <c r="K165" s="200"/>
    </row>
    <row r="166" spans="3:11" x14ac:dyDescent="0.25">
      <c r="C166" s="5" t="s">
        <v>194</v>
      </c>
      <c r="D166" s="200">
        <f>D164-D16</f>
        <v>300</v>
      </c>
      <c r="E166" s="200">
        <f>E164-E16</f>
        <v>575.00000190734863</v>
      </c>
      <c r="F166" s="200">
        <f>F164-F16</f>
        <v>998986.0000038147</v>
      </c>
      <c r="G166" s="200"/>
      <c r="H166" s="200"/>
      <c r="I166" s="200"/>
      <c r="J166" s="200"/>
      <c r="K166" s="200"/>
    </row>
    <row r="167" spans="3:11" x14ac:dyDescent="0.25">
      <c r="D167" s="200"/>
      <c r="E167" s="200"/>
      <c r="F167" s="200"/>
      <c r="G167" s="200"/>
      <c r="H167" s="200"/>
      <c r="I167" s="200"/>
      <c r="J167" s="200"/>
      <c r="K167" s="200"/>
    </row>
    <row r="168" spans="3:11" x14ac:dyDescent="0.25">
      <c r="C168" s="16" t="s">
        <v>249</v>
      </c>
      <c r="D168" s="6"/>
      <c r="E168" s="1">
        <f>E155/D155-1</f>
        <v>0.272418057588381</v>
      </c>
      <c r="F168" s="1">
        <f t="shared" ref="F168:F176" si="123">F155/E155-1</f>
        <v>0.12725432684896454</v>
      </c>
      <c r="G168" s="210">
        <v>0.05</v>
      </c>
      <c r="H168" s="210">
        <v>0.1</v>
      </c>
      <c r="I168" s="210">
        <v>0.05</v>
      </c>
      <c r="J168" s="210">
        <f>I168</f>
        <v>0.05</v>
      </c>
      <c r="K168" s="210">
        <f t="shared" ref="K168:K176" si="124">J168</f>
        <v>0.05</v>
      </c>
    </row>
    <row r="169" spans="3:11" x14ac:dyDescent="0.25">
      <c r="C169" s="16" t="s">
        <v>257</v>
      </c>
      <c r="D169" s="6"/>
      <c r="E169" s="1">
        <f t="shared" ref="E169" si="125">E156/D156-1</f>
        <v>0.14365316402050632</v>
      </c>
      <c r="F169" s="1">
        <f t="shared" si="123"/>
        <v>2.3776325190290937E-2</v>
      </c>
      <c r="G169" s="210">
        <v>0.04</v>
      </c>
      <c r="H169" s="210">
        <v>0.09</v>
      </c>
      <c r="I169" s="210">
        <v>0.06</v>
      </c>
      <c r="J169" s="210">
        <f t="shared" ref="J169" si="126">I169</f>
        <v>0.06</v>
      </c>
      <c r="K169" s="210">
        <f t="shared" si="124"/>
        <v>0.06</v>
      </c>
    </row>
    <row r="170" spans="3:11" x14ac:dyDescent="0.25">
      <c r="C170" s="16" t="s">
        <v>250</v>
      </c>
      <c r="D170" s="6"/>
      <c r="E170" s="1">
        <f t="shared" ref="E170" si="127">E157/D157-1</f>
        <v>0.44929798299959334</v>
      </c>
      <c r="F170" s="1">
        <f t="shared" si="123"/>
        <v>-0.15750357453096153</v>
      </c>
      <c r="G170" s="210">
        <v>0.05</v>
      </c>
      <c r="H170" s="210">
        <v>0.05</v>
      </c>
      <c r="I170" s="210">
        <v>0.05</v>
      </c>
      <c r="J170" s="210">
        <f t="shared" ref="J170" si="128">I170</f>
        <v>0.05</v>
      </c>
      <c r="K170" s="210">
        <f t="shared" si="124"/>
        <v>0.05</v>
      </c>
    </row>
    <row r="171" spans="3:11" x14ac:dyDescent="0.25">
      <c r="C171" s="16" t="s">
        <v>251</v>
      </c>
      <c r="D171" s="6"/>
      <c r="E171" s="1">
        <f t="shared" ref="E171" si="129">E158/D158-1</f>
        <v>4.4390783112810528E-2</v>
      </c>
      <c r="F171" s="1">
        <f t="shared" si="123"/>
        <v>9.1590050148993241E-2</v>
      </c>
      <c r="G171" s="210">
        <v>0.05</v>
      </c>
      <c r="H171" s="210">
        <v>0.05</v>
      </c>
      <c r="I171" s="210">
        <v>0.05</v>
      </c>
      <c r="J171" s="210">
        <f t="shared" ref="J171" si="130">I171</f>
        <v>0.05</v>
      </c>
      <c r="K171" s="210">
        <f t="shared" si="124"/>
        <v>0.05</v>
      </c>
    </row>
    <row r="172" spans="3:11" x14ac:dyDescent="0.25">
      <c r="C172" s="16" t="s">
        <v>252</v>
      </c>
      <c r="D172" s="6"/>
      <c r="E172" s="1">
        <f t="shared" ref="E172" si="131">E159/D159-1</f>
        <v>-0.11996751598822464</v>
      </c>
      <c r="F172" s="1">
        <f t="shared" si="123"/>
        <v>-0.54780141189498455</v>
      </c>
      <c r="G172" s="210">
        <v>0</v>
      </c>
      <c r="H172" s="210">
        <v>0</v>
      </c>
      <c r="I172" s="210">
        <v>0</v>
      </c>
      <c r="J172" s="210">
        <f t="shared" ref="J172" si="132">I172</f>
        <v>0</v>
      </c>
      <c r="K172" s="210">
        <f t="shared" si="124"/>
        <v>0</v>
      </c>
    </row>
    <row r="173" spans="3:11" x14ac:dyDescent="0.25">
      <c r="C173" s="16" t="s">
        <v>253</v>
      </c>
      <c r="D173" s="6"/>
      <c r="E173" s="1">
        <f t="shared" ref="E173" si="133">E160/D160-1</f>
        <v>-0.93854666861756608</v>
      </c>
      <c r="F173" s="1">
        <f t="shared" si="123"/>
        <v>-0.87359307359307359</v>
      </c>
      <c r="G173" s="210">
        <v>0</v>
      </c>
      <c r="H173" s="210">
        <v>0</v>
      </c>
      <c r="I173" s="210">
        <v>0</v>
      </c>
      <c r="J173" s="210">
        <f t="shared" ref="J173" si="134">I173</f>
        <v>0</v>
      </c>
      <c r="K173" s="210">
        <f t="shared" si="124"/>
        <v>0</v>
      </c>
    </row>
    <row r="174" spans="3:11" x14ac:dyDescent="0.25">
      <c r="C174" s="16" t="s">
        <v>254</v>
      </c>
      <c r="D174" s="6"/>
      <c r="E174" s="1">
        <f t="shared" ref="E174" si="135">E161/D161-1</f>
        <v>4.7076585231951684E-2</v>
      </c>
      <c r="F174" s="1">
        <f t="shared" si="123"/>
        <v>0.10250360466640451</v>
      </c>
      <c r="G174" s="210">
        <v>0.03</v>
      </c>
      <c r="H174" s="210">
        <v>0.03</v>
      </c>
      <c r="I174" s="210">
        <v>0.03</v>
      </c>
      <c r="J174" s="210">
        <f t="shared" ref="J174" si="136">I174</f>
        <v>0.03</v>
      </c>
      <c r="K174" s="210">
        <f t="shared" si="124"/>
        <v>0.03</v>
      </c>
    </row>
    <row r="175" spans="3:11" x14ac:dyDescent="0.25">
      <c r="C175" s="16" t="s">
        <v>255</v>
      </c>
      <c r="D175" s="6"/>
      <c r="E175" s="1">
        <f t="shared" ref="E175" si="137">E162/D162-1</f>
        <v>0.56130086896670384</v>
      </c>
      <c r="F175" s="1">
        <f t="shared" si="123"/>
        <v>0.68067724692786702</v>
      </c>
      <c r="G175" s="210">
        <v>0.05</v>
      </c>
      <c r="H175" s="210">
        <v>0.1</v>
      </c>
      <c r="I175" s="210">
        <v>0.05</v>
      </c>
      <c r="J175" s="210">
        <f t="shared" ref="J175" si="138">I175</f>
        <v>0.05</v>
      </c>
      <c r="K175" s="210">
        <f t="shared" si="124"/>
        <v>0.05</v>
      </c>
    </row>
    <row r="176" spans="3:11" x14ac:dyDescent="0.25">
      <c r="C176" s="16" t="s">
        <v>256</v>
      </c>
      <c r="D176" s="6"/>
      <c r="E176" s="1">
        <f t="shared" ref="E176" si="139">E163/D163-1</f>
        <v>-0.28257926076927198</v>
      </c>
      <c r="F176" s="1">
        <f t="shared" si="123"/>
        <v>-3.7989926301684518E-2</v>
      </c>
      <c r="G176" s="210">
        <v>0.02</v>
      </c>
      <c r="H176" s="210">
        <v>0.05</v>
      </c>
      <c r="I176" s="210">
        <v>0.05</v>
      </c>
      <c r="J176" s="210">
        <f t="shared" ref="J176" si="140">I176</f>
        <v>0.05</v>
      </c>
      <c r="K176" s="210">
        <f t="shared" si="124"/>
        <v>0.05</v>
      </c>
    </row>
    <row r="177" spans="1:11" x14ac:dyDescent="0.25">
      <c r="C177" s="226"/>
      <c r="D177" s="6"/>
      <c r="E177" s="1"/>
      <c r="F177" s="1"/>
      <c r="G177" s="1"/>
      <c r="H177" s="1"/>
      <c r="I177" s="1"/>
      <c r="J177" s="1"/>
      <c r="K177" s="1"/>
    </row>
    <row r="178" spans="1:11" x14ac:dyDescent="0.25">
      <c r="A178" s="5" t="s">
        <v>215</v>
      </c>
      <c r="C178" s="12" t="s">
        <v>157</v>
      </c>
    </row>
    <row r="179" spans="1:11" x14ac:dyDescent="0.25">
      <c r="C179" s="47" t="s">
        <v>42</v>
      </c>
      <c r="D179" s="48">
        <f>D$13</f>
        <v>2023</v>
      </c>
      <c r="E179" s="48">
        <f t="shared" ref="E179:K179" si="141">E$13</f>
        <v>2024</v>
      </c>
      <c r="F179" s="48">
        <f t="shared" si="141"/>
        <v>2025</v>
      </c>
      <c r="G179" s="49">
        <f t="shared" si="141"/>
        <v>2026</v>
      </c>
      <c r="H179" s="49">
        <f t="shared" si="141"/>
        <v>2027</v>
      </c>
      <c r="I179" s="49">
        <f t="shared" si="141"/>
        <v>2028</v>
      </c>
      <c r="J179" s="49">
        <f t="shared" si="141"/>
        <v>2029</v>
      </c>
      <c r="K179" s="49">
        <f t="shared" si="141"/>
        <v>2030</v>
      </c>
    </row>
    <row r="180" spans="1:11" x14ac:dyDescent="0.25">
      <c r="C180" s="42" t="s">
        <v>43</v>
      </c>
      <c r="D180" s="246">
        <f>D$14</f>
        <v>45291</v>
      </c>
      <c r="E180" s="230">
        <f t="shared" ref="E180:K180" si="142">E$14</f>
        <v>45657</v>
      </c>
      <c r="F180" s="230">
        <f t="shared" si="142"/>
        <v>46022</v>
      </c>
      <c r="G180" s="230">
        <f t="shared" si="142"/>
        <v>46387</v>
      </c>
      <c r="H180" s="230">
        <f t="shared" si="142"/>
        <v>46752</v>
      </c>
      <c r="I180" s="230">
        <f t="shared" si="142"/>
        <v>47118</v>
      </c>
      <c r="J180" s="230">
        <f t="shared" si="142"/>
        <v>47483</v>
      </c>
      <c r="K180" s="230">
        <f t="shared" si="142"/>
        <v>47848</v>
      </c>
    </row>
    <row r="181" spans="1:11" x14ac:dyDescent="0.25">
      <c r="D181" s="5"/>
    </row>
    <row r="182" spans="1:11" x14ac:dyDescent="0.25">
      <c r="C182" s="12" t="s">
        <v>158</v>
      </c>
      <c r="D182" s="5"/>
    </row>
    <row r="183" spans="1:11" x14ac:dyDescent="0.25">
      <c r="C183" s="16" t="s">
        <v>232</v>
      </c>
      <c r="D183" s="26">
        <f t="shared" ref="D183:F187" si="143">D53</f>
        <v>1336341362</v>
      </c>
      <c r="E183" s="26">
        <f t="shared" si="143"/>
        <v>2242488120</v>
      </c>
      <c r="F183" s="26">
        <f t="shared" si="143"/>
        <v>3458396543</v>
      </c>
      <c r="G183" s="26">
        <f>G202/365*-G17</f>
        <v>2446951640.6005368</v>
      </c>
      <c r="H183" s="26">
        <f t="shared" ref="H183:K183" si="144">H202/365*-H17</f>
        <v>2652704208.8170595</v>
      </c>
      <c r="I183" s="26">
        <f t="shared" si="144"/>
        <v>2803824193.2849317</v>
      </c>
      <c r="J183" s="26">
        <f t="shared" si="144"/>
        <v>2963620598.9746008</v>
      </c>
      <c r="K183" s="26">
        <f t="shared" si="144"/>
        <v>3132594498.496985</v>
      </c>
    </row>
    <row r="184" spans="1:11" x14ac:dyDescent="0.25">
      <c r="C184" s="16" t="s">
        <v>233</v>
      </c>
      <c r="D184" s="26">
        <f t="shared" si="143"/>
        <v>304632624</v>
      </c>
      <c r="E184" s="26">
        <f t="shared" si="143"/>
        <v>237420720</v>
      </c>
      <c r="F184" s="26">
        <f t="shared" si="143"/>
        <v>326901650</v>
      </c>
      <c r="G184" s="26">
        <f>G203/365*G16</f>
        <v>312415343.2946173</v>
      </c>
      <c r="H184" s="26">
        <f t="shared" ref="H184:K184" si="145">H203/365*H16</f>
        <v>338684869.08603764</v>
      </c>
      <c r="I184" s="26">
        <f t="shared" si="145"/>
        <v>357979162.05155802</v>
      </c>
      <c r="J184" s="26">
        <f t="shared" si="145"/>
        <v>378381219.90691137</v>
      </c>
      <c r="K184" s="26">
        <f t="shared" si="145"/>
        <v>399955017.25999671</v>
      </c>
    </row>
    <row r="185" spans="1:11" x14ac:dyDescent="0.25">
      <c r="C185" s="16" t="s">
        <v>212</v>
      </c>
      <c r="D185" s="26">
        <f t="shared" si="143"/>
        <v>1442058240</v>
      </c>
      <c r="E185" s="26">
        <f t="shared" si="143"/>
        <v>1980332142</v>
      </c>
      <c r="F185" s="26">
        <f t="shared" si="143"/>
        <v>894016029</v>
      </c>
      <c r="G185" s="26">
        <f>$F185/$F$16*G$16</f>
        <v>929450615.4380641</v>
      </c>
      <c r="H185" s="26">
        <f t="shared" ref="H185:K187" si="146">$F185/$F$16*H$16</f>
        <v>1007603713.3513008</v>
      </c>
      <c r="I185" s="26">
        <f t="shared" si="146"/>
        <v>1065005159.3946655</v>
      </c>
      <c r="J185" s="26">
        <f t="shared" si="146"/>
        <v>1125702259.0629706</v>
      </c>
      <c r="K185" s="26">
        <f t="shared" si="146"/>
        <v>1189885339.8800092</v>
      </c>
    </row>
    <row r="186" spans="1:11" x14ac:dyDescent="0.25">
      <c r="C186" s="16" t="s">
        <v>234</v>
      </c>
      <c r="D186" s="26">
        <f t="shared" si="143"/>
        <v>43334343</v>
      </c>
      <c r="E186" s="26">
        <f t="shared" si="143"/>
        <v>25282301</v>
      </c>
      <c r="F186" s="26">
        <f t="shared" si="143"/>
        <v>50133526</v>
      </c>
      <c r="G186" s="26">
        <f>$F186/$F$16*G$16</f>
        <v>52120582.94625967</v>
      </c>
      <c r="H186" s="26">
        <f t="shared" si="146"/>
        <v>56503155.785134122</v>
      </c>
      <c r="I186" s="26">
        <f t="shared" si="146"/>
        <v>59722043.136484534</v>
      </c>
      <c r="J186" s="26">
        <f t="shared" si="146"/>
        <v>63125740.078864045</v>
      </c>
      <c r="K186" s="26">
        <f t="shared" si="146"/>
        <v>66724919.563934669</v>
      </c>
    </row>
    <row r="187" spans="1:11" x14ac:dyDescent="0.25">
      <c r="C187" s="16" t="s">
        <v>235</v>
      </c>
      <c r="D187" s="26">
        <f t="shared" si="143"/>
        <v>766728161</v>
      </c>
      <c r="E187" s="26">
        <f t="shared" si="143"/>
        <v>1108649074</v>
      </c>
      <c r="F187" s="26">
        <f t="shared" si="143"/>
        <v>1657914957</v>
      </c>
      <c r="G187" s="26">
        <f>$F187/$F$16*G$16</f>
        <v>1723626900.5727432</v>
      </c>
      <c r="H187" s="26">
        <f t="shared" si="146"/>
        <v>1868558518.9813888</v>
      </c>
      <c r="I187" s="26">
        <f t="shared" si="146"/>
        <v>1975007075.6758044</v>
      </c>
      <c r="J187" s="26">
        <f t="shared" si="146"/>
        <v>2087567282.7888279</v>
      </c>
      <c r="K187" s="26">
        <f t="shared" si="146"/>
        <v>2206592094.6727185</v>
      </c>
    </row>
    <row r="188" spans="1:11" x14ac:dyDescent="0.25">
      <c r="C188" s="12" t="s">
        <v>159</v>
      </c>
      <c r="D188" s="211">
        <f>SUM(D183:D187)</f>
        <v>3893094730</v>
      </c>
      <c r="E188" s="211">
        <f t="shared" ref="E188:F188" si="147">SUM(E183:E187)</f>
        <v>5594172357</v>
      </c>
      <c r="F188" s="211">
        <f t="shared" si="147"/>
        <v>6387362705</v>
      </c>
      <c r="G188" s="211">
        <f t="shared" ref="G188" si="148">SUM(G183:G187)</f>
        <v>5464565082.8522205</v>
      </c>
      <c r="H188" s="211">
        <f t="shared" ref="H188" si="149">SUM(H183:H187)</f>
        <v>5924054466.0209208</v>
      </c>
      <c r="I188" s="211">
        <f t="shared" ref="I188" si="150">SUM(I183:I187)</f>
        <v>6261537633.5434446</v>
      </c>
      <c r="J188" s="211">
        <f t="shared" ref="J188" si="151">SUM(J183:J187)</f>
        <v>6618397100.8121748</v>
      </c>
      <c r="K188" s="211">
        <f t="shared" ref="K188" si="152">SUM(K183:K187)</f>
        <v>6995751869.8736439</v>
      </c>
    </row>
    <row r="189" spans="1:11" x14ac:dyDescent="0.25">
      <c r="C189" s="12"/>
      <c r="E189" s="27"/>
      <c r="F189" s="27"/>
      <c r="G189" s="6"/>
      <c r="H189" s="6"/>
      <c r="I189" s="6"/>
      <c r="J189" s="6"/>
      <c r="K189" s="6"/>
    </row>
    <row r="190" spans="1:11" x14ac:dyDescent="0.25">
      <c r="C190" s="12" t="s">
        <v>163</v>
      </c>
      <c r="E190" s="27"/>
      <c r="F190" s="27"/>
      <c r="G190" s="6"/>
      <c r="H190" s="6"/>
      <c r="I190" s="6"/>
      <c r="J190" s="6"/>
      <c r="K190" s="6"/>
    </row>
    <row r="191" spans="1:11" x14ac:dyDescent="0.25">
      <c r="C191" s="16" t="s">
        <v>245</v>
      </c>
      <c r="D191" s="18">
        <f t="shared" ref="D191:F194" si="153">D78</f>
        <v>96064753</v>
      </c>
      <c r="E191" s="18">
        <f t="shared" si="153"/>
        <v>129419209</v>
      </c>
      <c r="F191" s="18">
        <f t="shared" si="153"/>
        <v>88127000</v>
      </c>
      <c r="G191" s="26">
        <f>G204/365*-G17</f>
        <v>113925669.84266776</v>
      </c>
      <c r="H191" s="26">
        <f t="shared" ref="H191:K191" si="154">H204/365*-H17</f>
        <v>123505139.56613304</v>
      </c>
      <c r="I191" s="26">
        <f t="shared" si="154"/>
        <v>130541014.39563747</v>
      </c>
      <c r="J191" s="26">
        <f t="shared" si="154"/>
        <v>137980847.80083641</v>
      </c>
      <c r="K191" s="26">
        <f t="shared" si="154"/>
        <v>145847968.82178587</v>
      </c>
    </row>
    <row r="192" spans="1:11" x14ac:dyDescent="0.25">
      <c r="C192" s="16" t="s">
        <v>246</v>
      </c>
      <c r="D192" s="18">
        <f t="shared" si="153"/>
        <v>656059360</v>
      </c>
      <c r="E192" s="18">
        <f t="shared" si="153"/>
        <v>2006352774</v>
      </c>
      <c r="F192" s="18">
        <f t="shared" si="153"/>
        <v>1988784280</v>
      </c>
      <c r="G192" s="26">
        <f>$F192/$F$16*G$16</f>
        <v>2067610325.8318059</v>
      </c>
      <c r="H192" s="26">
        <f t="shared" ref="H192:K194" si="155">$F192/$F$16*H$16</f>
        <v>2241465880.4542456</v>
      </c>
      <c r="I192" s="26">
        <f t="shared" si="155"/>
        <v>2369158326.4923825</v>
      </c>
      <c r="J192" s="26">
        <f t="shared" si="155"/>
        <v>2504182122.2032294</v>
      </c>
      <c r="K192" s="26">
        <f t="shared" si="155"/>
        <v>2646960660.8762712</v>
      </c>
    </row>
    <row r="193" spans="1:11" x14ac:dyDescent="0.25">
      <c r="C193" s="16" t="s">
        <v>247</v>
      </c>
      <c r="D193" s="18">
        <f t="shared" si="153"/>
        <v>792618755</v>
      </c>
      <c r="E193" s="18">
        <f t="shared" si="153"/>
        <v>848287494</v>
      </c>
      <c r="F193" s="18">
        <f t="shared" si="153"/>
        <v>1357733915</v>
      </c>
      <c r="G193" s="26">
        <f>$F193/$F$16*G$16</f>
        <v>1411548095.2947011</v>
      </c>
      <c r="H193" s="26">
        <f t="shared" si="155"/>
        <v>1530238485.799005</v>
      </c>
      <c r="I193" s="26">
        <f t="shared" si="155"/>
        <v>1617413533.6002104</v>
      </c>
      <c r="J193" s="26">
        <f t="shared" si="155"/>
        <v>1709593660.2294538</v>
      </c>
      <c r="K193" s="26">
        <f t="shared" si="155"/>
        <v>1807067914.3454044</v>
      </c>
    </row>
    <row r="194" spans="1:11" x14ac:dyDescent="0.25">
      <c r="C194" s="16" t="s">
        <v>225</v>
      </c>
      <c r="D194" s="18">
        <f t="shared" si="153"/>
        <v>735512834</v>
      </c>
      <c r="E194" s="18">
        <f t="shared" si="153"/>
        <v>660223882</v>
      </c>
      <c r="F194" s="18">
        <f t="shared" si="153"/>
        <v>275024868</v>
      </c>
      <c r="G194" s="26">
        <f>$F194/$F$16*G$16</f>
        <v>285925558.97381157</v>
      </c>
      <c r="H194" s="26">
        <f t="shared" si="155"/>
        <v>309967684.32744884</v>
      </c>
      <c r="I194" s="26">
        <f t="shared" si="155"/>
        <v>327626008.79702669</v>
      </c>
      <c r="J194" s="26">
        <f t="shared" si="155"/>
        <v>346298170.46165663</v>
      </c>
      <c r="K194" s="26">
        <f t="shared" si="155"/>
        <v>366042719.50434428</v>
      </c>
    </row>
    <row r="195" spans="1:11" x14ac:dyDescent="0.25">
      <c r="C195" s="12" t="s">
        <v>164</v>
      </c>
      <c r="D195" s="214">
        <f>SUM(D191:D194)</f>
        <v>2280255702</v>
      </c>
      <c r="E195" s="214">
        <f t="shared" ref="E195:F195" si="156">SUM(E191:E194)</f>
        <v>3644283359</v>
      </c>
      <c r="F195" s="214">
        <f t="shared" si="156"/>
        <v>3709670063</v>
      </c>
      <c r="G195" s="214">
        <f t="shared" ref="G195" si="157">SUM(G191:G194)</f>
        <v>3879009649.9429865</v>
      </c>
      <c r="H195" s="214">
        <f t="shared" ref="H195" si="158">SUM(H191:H194)</f>
        <v>4205177190.1468325</v>
      </c>
      <c r="I195" s="214">
        <f t="shared" ref="I195" si="159">SUM(I191:I194)</f>
        <v>4444738883.2852573</v>
      </c>
      <c r="J195" s="214">
        <f t="shared" ref="J195" si="160">SUM(J191:J194)</f>
        <v>4698054800.6951761</v>
      </c>
      <c r="K195" s="214">
        <f t="shared" ref="K195" si="161">SUM(K191:K194)</f>
        <v>4965919263.5478058</v>
      </c>
    </row>
    <row r="196" spans="1:11" x14ac:dyDescent="0.25">
      <c r="E196" s="27"/>
      <c r="F196" s="27"/>
      <c r="G196" s="6"/>
      <c r="H196" s="6"/>
      <c r="I196" s="6"/>
      <c r="J196" s="6"/>
      <c r="K196" s="6"/>
    </row>
    <row r="197" spans="1:11" x14ac:dyDescent="0.25">
      <c r="C197" s="5" t="s">
        <v>160</v>
      </c>
      <c r="D197" s="18">
        <f>D188-D195</f>
        <v>1612839028</v>
      </c>
      <c r="E197" s="18">
        <f t="shared" ref="E197:K197" si="162">E188-E195</f>
        <v>1949888998</v>
      </c>
      <c r="F197" s="18">
        <f t="shared" si="162"/>
        <v>2677692642</v>
      </c>
      <c r="G197" s="18">
        <f t="shared" si="162"/>
        <v>1585555432.909234</v>
      </c>
      <c r="H197" s="18">
        <f t="shared" si="162"/>
        <v>1718877275.8740883</v>
      </c>
      <c r="I197" s="18">
        <f t="shared" si="162"/>
        <v>1816798750.2581873</v>
      </c>
      <c r="J197" s="18">
        <f t="shared" si="162"/>
        <v>1920342300.1169987</v>
      </c>
      <c r="K197" s="18">
        <f t="shared" si="162"/>
        <v>2029832606.3258381</v>
      </c>
    </row>
    <row r="198" spans="1:11" x14ac:dyDescent="0.25">
      <c r="C198" s="5" t="s">
        <v>161</v>
      </c>
      <c r="D198" s="21">
        <f t="shared" ref="D198:K198" si="163">D197/D16</f>
        <v>0.12226322986635886</v>
      </c>
      <c r="E198" s="21">
        <f t="shared" si="163"/>
        <v>0.13777593512582928</v>
      </c>
      <c r="F198" s="21">
        <f t="shared" si="163"/>
        <v>0.18578848054127697</v>
      </c>
      <c r="G198" s="21">
        <f t="shared" si="163"/>
        <v>0.10581773805484515</v>
      </c>
      <c r="H198" s="21">
        <f t="shared" si="163"/>
        <v>0.10581773805484521</v>
      </c>
      <c r="I198" s="21">
        <f t="shared" si="163"/>
        <v>0.10581773805484523</v>
      </c>
      <c r="J198" s="21">
        <f t="shared" si="163"/>
        <v>0.10581773805484519</v>
      </c>
      <c r="K198" s="21">
        <f t="shared" si="163"/>
        <v>0.10581773805484519</v>
      </c>
    </row>
    <row r="199" spans="1:11" x14ac:dyDescent="0.25">
      <c r="C199" s="5" t="s">
        <v>162</v>
      </c>
      <c r="D199" s="18"/>
      <c r="E199" s="184">
        <f>D197-E197</f>
        <v>-337049970</v>
      </c>
      <c r="F199" s="184">
        <f t="shared" ref="F199:K199" si="164">E197-F197</f>
        <v>-727803644</v>
      </c>
      <c r="G199" s="184">
        <f t="shared" si="164"/>
        <v>1092137209.090766</v>
      </c>
      <c r="H199" s="184">
        <f t="shared" si="164"/>
        <v>-133321842.96485424</v>
      </c>
      <c r="I199" s="184">
        <f t="shared" si="164"/>
        <v>-97921474.384099007</v>
      </c>
      <c r="J199" s="184">
        <f t="shared" si="164"/>
        <v>-103543549.85881138</v>
      </c>
      <c r="K199" s="184">
        <f t="shared" si="164"/>
        <v>-109490306.20883942</v>
      </c>
    </row>
    <row r="200" spans="1:11" x14ac:dyDescent="0.25">
      <c r="D200" s="18"/>
      <c r="E200" s="184"/>
      <c r="F200" s="184"/>
      <c r="G200" s="184"/>
      <c r="H200" s="184"/>
      <c r="I200" s="184"/>
      <c r="J200" s="184"/>
      <c r="K200" s="184"/>
    </row>
    <row r="201" spans="1:11" x14ac:dyDescent="0.25">
      <c r="C201" s="12" t="s">
        <v>182</v>
      </c>
      <c r="G201" s="239"/>
      <c r="H201" s="239"/>
      <c r="I201" s="239"/>
      <c r="J201" s="239"/>
      <c r="K201" s="239"/>
    </row>
    <row r="202" spans="1:11" x14ac:dyDescent="0.25">
      <c r="C202" s="16" t="s">
        <v>183</v>
      </c>
      <c r="D202" s="241">
        <f>D183/-D17*365</f>
        <v>51.72619280436129</v>
      </c>
      <c r="E202" s="241">
        <f>E183/-E17*365</f>
        <v>76.057833634825499</v>
      </c>
      <c r="F202" s="241">
        <f>F183/-F17*365</f>
        <v>102.41376788386246</v>
      </c>
      <c r="G202" s="261">
        <f>AVERAGE(D202:F202)</f>
        <v>76.732598107683089</v>
      </c>
      <c r="H202" s="261">
        <f>G202</f>
        <v>76.732598107683089</v>
      </c>
      <c r="I202" s="261">
        <f t="shared" ref="I202:K202" si="165">H202</f>
        <v>76.732598107683089</v>
      </c>
      <c r="J202" s="261">
        <f t="shared" si="165"/>
        <v>76.732598107683089</v>
      </c>
      <c r="K202" s="261">
        <f t="shared" si="165"/>
        <v>76.732598107683089</v>
      </c>
    </row>
    <row r="203" spans="1:11" x14ac:dyDescent="0.25">
      <c r="C203" s="16" t="s">
        <v>184</v>
      </c>
      <c r="D203" s="241">
        <f>D184/D16*365</f>
        <v>8.4289623939519309</v>
      </c>
      <c r="E203" s="241">
        <f>E184/E16*365</f>
        <v>6.1231508761148472</v>
      </c>
      <c r="F203" s="241">
        <f>F184/F16*365</f>
        <v>8.2788122725015736</v>
      </c>
      <c r="G203" s="261">
        <f t="shared" ref="G203:G204" si="166">AVERAGE(D203:F203)</f>
        <v>7.6103085141894509</v>
      </c>
      <c r="H203" s="261">
        <f t="shared" ref="H203:K203" si="167">G203</f>
        <v>7.6103085141894509</v>
      </c>
      <c r="I203" s="261">
        <f t="shared" si="167"/>
        <v>7.6103085141894509</v>
      </c>
      <c r="J203" s="261">
        <f t="shared" si="167"/>
        <v>7.6103085141894509</v>
      </c>
      <c r="K203" s="261">
        <f t="shared" si="167"/>
        <v>7.6103085141894509</v>
      </c>
    </row>
    <row r="204" spans="1:11" x14ac:dyDescent="0.25">
      <c r="C204" s="16" t="s">
        <v>185</v>
      </c>
      <c r="D204" s="241">
        <f>D191/-D17*365</f>
        <v>3.7184091405690878</v>
      </c>
      <c r="E204" s="241">
        <f>E191/-E17*365</f>
        <v>4.3894746105824236</v>
      </c>
      <c r="F204" s="241">
        <f>F191/-F17*365</f>
        <v>2.6097117580599969</v>
      </c>
      <c r="G204" s="261">
        <f t="shared" si="166"/>
        <v>3.5725318364038365</v>
      </c>
      <c r="H204" s="261">
        <f t="shared" ref="H204:K204" si="168">G204</f>
        <v>3.5725318364038365</v>
      </c>
      <c r="I204" s="261">
        <f t="shared" si="168"/>
        <v>3.5725318364038365</v>
      </c>
      <c r="J204" s="261">
        <f t="shared" si="168"/>
        <v>3.5725318364038365</v>
      </c>
      <c r="K204" s="261">
        <f t="shared" si="168"/>
        <v>3.5725318364038365</v>
      </c>
    </row>
    <row r="205" spans="1:11" x14ac:dyDescent="0.25">
      <c r="D205" s="240"/>
      <c r="E205" s="240"/>
      <c r="F205" s="240"/>
      <c r="G205" s="239"/>
      <c r="H205" s="239"/>
      <c r="I205" s="239"/>
      <c r="J205" s="239"/>
      <c r="K205" s="239"/>
    </row>
    <row r="206" spans="1:11" x14ac:dyDescent="0.25">
      <c r="A206" s="5" t="s">
        <v>215</v>
      </c>
      <c r="C206" s="12" t="s">
        <v>165</v>
      </c>
    </row>
    <row r="207" spans="1:11" x14ac:dyDescent="0.25">
      <c r="C207" s="47" t="s">
        <v>42</v>
      </c>
      <c r="D207" s="48">
        <f t="shared" ref="D207:K207" si="169">D$13</f>
        <v>2023</v>
      </c>
      <c r="E207" s="48">
        <f t="shared" si="169"/>
        <v>2024</v>
      </c>
      <c r="F207" s="48">
        <f t="shared" si="169"/>
        <v>2025</v>
      </c>
      <c r="G207" s="49">
        <f t="shared" si="169"/>
        <v>2026</v>
      </c>
      <c r="H207" s="49">
        <f t="shared" si="169"/>
        <v>2027</v>
      </c>
      <c r="I207" s="49">
        <f t="shared" si="169"/>
        <v>2028</v>
      </c>
      <c r="J207" s="49">
        <f t="shared" si="169"/>
        <v>2029</v>
      </c>
      <c r="K207" s="49">
        <f t="shared" si="169"/>
        <v>2030</v>
      </c>
    </row>
    <row r="208" spans="1:11" x14ac:dyDescent="0.25">
      <c r="C208" s="42" t="s">
        <v>43</v>
      </c>
      <c r="D208" s="246">
        <f t="shared" ref="D208:K208" si="170">D$14</f>
        <v>45291</v>
      </c>
      <c r="E208" s="230">
        <f t="shared" si="170"/>
        <v>45657</v>
      </c>
      <c r="F208" s="230">
        <f t="shared" si="170"/>
        <v>46022</v>
      </c>
      <c r="G208" s="230">
        <f t="shared" si="170"/>
        <v>46387</v>
      </c>
      <c r="H208" s="230">
        <f t="shared" si="170"/>
        <v>46752</v>
      </c>
      <c r="I208" s="230">
        <f t="shared" si="170"/>
        <v>47118</v>
      </c>
      <c r="J208" s="230">
        <f t="shared" si="170"/>
        <v>47483</v>
      </c>
      <c r="K208" s="230">
        <f t="shared" si="170"/>
        <v>47848</v>
      </c>
    </row>
    <row r="210" spans="3:11" x14ac:dyDescent="0.25">
      <c r="C210" s="12" t="s">
        <v>192</v>
      </c>
      <c r="D210" s="18"/>
      <c r="E210" s="184"/>
      <c r="F210" s="184"/>
      <c r="G210" s="184"/>
      <c r="H210" s="184"/>
      <c r="I210" s="184"/>
      <c r="J210" s="184"/>
      <c r="K210" s="184"/>
    </row>
    <row r="211" spans="3:11" x14ac:dyDescent="0.25">
      <c r="C211" s="28" t="s">
        <v>32</v>
      </c>
      <c r="D211" s="18"/>
      <c r="E211" s="184">
        <f>D212</f>
        <v>1827267950</v>
      </c>
      <c r="F211" s="184">
        <f t="shared" ref="F211:K211" si="171">E212</f>
        <v>2895823065</v>
      </c>
      <c r="G211" s="184">
        <f t="shared" si="171"/>
        <v>3219770683</v>
      </c>
      <c r="H211" s="184">
        <f t="shared" si="171"/>
        <v>3219770683</v>
      </c>
      <c r="I211" s="184">
        <f t="shared" si="171"/>
        <v>3219770683</v>
      </c>
      <c r="J211" s="184">
        <f t="shared" si="171"/>
        <v>3219770683</v>
      </c>
      <c r="K211" s="184">
        <f t="shared" si="171"/>
        <v>3219770683</v>
      </c>
    </row>
    <row r="212" spans="3:11" x14ac:dyDescent="0.25">
      <c r="C212" s="28" t="s">
        <v>35</v>
      </c>
      <c r="D212" s="18">
        <f>D75+D76+D85+D77+D86</f>
        <v>1827267950</v>
      </c>
      <c r="E212" s="18">
        <f t="shared" ref="E212:K212" si="172">E75+E76+E85+E77+E86</f>
        <v>2895823065</v>
      </c>
      <c r="F212" s="18">
        <f t="shared" si="172"/>
        <v>3219770683</v>
      </c>
      <c r="G212" s="18">
        <f t="shared" si="172"/>
        <v>3219770683</v>
      </c>
      <c r="H212" s="18">
        <f t="shared" si="172"/>
        <v>3219770683</v>
      </c>
      <c r="I212" s="18">
        <f t="shared" si="172"/>
        <v>3219770683</v>
      </c>
      <c r="J212" s="18">
        <f t="shared" si="172"/>
        <v>3219770683</v>
      </c>
      <c r="K212" s="18">
        <f t="shared" si="172"/>
        <v>3219770683</v>
      </c>
    </row>
    <row r="213" spans="3:11" x14ac:dyDescent="0.25">
      <c r="C213" s="28" t="s">
        <v>166</v>
      </c>
      <c r="D213" s="18"/>
      <c r="E213" s="184">
        <f>AVERAGE(E211,E212)</f>
        <v>2361545507.5</v>
      </c>
      <c r="F213" s="184">
        <f t="shared" ref="F213:K213" si="173">AVERAGE(F211,F212)</f>
        <v>3057796874</v>
      </c>
      <c r="G213" s="184">
        <f t="shared" si="173"/>
        <v>3219770683</v>
      </c>
      <c r="H213" s="184">
        <f t="shared" si="173"/>
        <v>3219770683</v>
      </c>
      <c r="I213" s="184">
        <f t="shared" si="173"/>
        <v>3219770683</v>
      </c>
      <c r="J213" s="184">
        <f t="shared" si="173"/>
        <v>3219770683</v>
      </c>
      <c r="K213" s="184">
        <f t="shared" si="173"/>
        <v>3219770683</v>
      </c>
    </row>
    <row r="214" spans="3:11" x14ac:dyDescent="0.25">
      <c r="C214" s="28" t="s">
        <v>167</v>
      </c>
      <c r="D214" s="21"/>
      <c r="E214" s="1">
        <f>E221/E213</f>
        <v>-0.12021162967150656</v>
      </c>
      <c r="F214" s="1">
        <f t="shared" ref="F214" si="174">F221/F213</f>
        <v>-0.12257963018638367</v>
      </c>
      <c r="G214" s="210">
        <f>AVERAGE(E214:F214)</f>
        <v>-0.12139562992894512</v>
      </c>
      <c r="H214" s="210">
        <f>G214</f>
        <v>-0.12139562992894512</v>
      </c>
      <c r="I214" s="210">
        <f t="shared" ref="I214:K214" si="175">H214</f>
        <v>-0.12139562992894512</v>
      </c>
      <c r="J214" s="210">
        <f t="shared" si="175"/>
        <v>-0.12139562992894512</v>
      </c>
      <c r="K214" s="210">
        <f t="shared" si="175"/>
        <v>-0.12139562992894512</v>
      </c>
    </row>
    <row r="215" spans="3:11" x14ac:dyDescent="0.25">
      <c r="C215" s="16"/>
      <c r="D215" s="252"/>
      <c r="E215" s="207"/>
      <c r="F215" s="207"/>
      <c r="G215" s="208"/>
      <c r="H215" s="208"/>
      <c r="I215" s="208"/>
      <c r="J215" s="208"/>
      <c r="K215" s="208"/>
    </row>
    <row r="216" spans="3:11" x14ac:dyDescent="0.25">
      <c r="C216" s="12" t="s">
        <v>199</v>
      </c>
      <c r="D216" s="6"/>
    </row>
    <row r="217" spans="3:11" x14ac:dyDescent="0.25">
      <c r="C217" s="16" t="s">
        <v>204</v>
      </c>
      <c r="D217" s="184">
        <f t="shared" ref="D217:K217" si="176">D58+D59</f>
        <v>2996361124</v>
      </c>
      <c r="E217" s="184">
        <f t="shared" si="176"/>
        <v>3720338304</v>
      </c>
      <c r="F217" s="184">
        <f t="shared" si="176"/>
        <v>2882495983</v>
      </c>
      <c r="G217" s="184">
        <f t="shared" si="176"/>
        <v>4411836600.8022566</v>
      </c>
      <c r="H217" s="184">
        <f t="shared" si="176"/>
        <v>4811975467.8572006</v>
      </c>
      <c r="I217" s="184">
        <f t="shared" si="176"/>
        <v>5286777674.4832659</v>
      </c>
      <c r="J217" s="184">
        <f t="shared" si="176"/>
        <v>5799722078.3803978</v>
      </c>
      <c r="K217" s="184">
        <f t="shared" si="176"/>
        <v>6353470164.0443363</v>
      </c>
    </row>
    <row r="218" spans="3:11" x14ac:dyDescent="0.25">
      <c r="C218" s="16" t="s">
        <v>200</v>
      </c>
      <c r="D218" s="184"/>
      <c r="E218" s="184">
        <f>AVERAGE(D217,E217)</f>
        <v>3358349714</v>
      </c>
      <c r="F218" s="184">
        <f t="shared" ref="F218:K218" si="177">AVERAGE(E217,F217)</f>
        <v>3301417143.5</v>
      </c>
      <c r="G218" s="184">
        <f t="shared" si="177"/>
        <v>3647166291.9011283</v>
      </c>
      <c r="H218" s="184">
        <f t="shared" si="177"/>
        <v>4611906034.3297291</v>
      </c>
      <c r="I218" s="184">
        <f t="shared" si="177"/>
        <v>5049376571.1702328</v>
      </c>
      <c r="J218" s="184">
        <f t="shared" si="177"/>
        <v>5543249876.4318314</v>
      </c>
      <c r="K218" s="184">
        <f t="shared" si="177"/>
        <v>6076596121.2123671</v>
      </c>
    </row>
    <row r="219" spans="3:11" x14ac:dyDescent="0.25">
      <c r="C219" s="16" t="s">
        <v>201</v>
      </c>
      <c r="D219" s="184"/>
      <c r="E219" s="1">
        <f>E222/E218</f>
        <v>0.15153747713600979</v>
      </c>
      <c r="F219" s="1">
        <f t="shared" ref="F219" si="178">F222/F218</f>
        <v>0.14039407952810856</v>
      </c>
      <c r="G219" s="210">
        <f>AVERAGE(E219:F219)</f>
        <v>0.14596577833205918</v>
      </c>
      <c r="H219" s="210">
        <f>G219</f>
        <v>0.14596577833205918</v>
      </c>
      <c r="I219" s="210">
        <f t="shared" ref="I219:K219" si="179">H219</f>
        <v>0.14596577833205918</v>
      </c>
      <c r="J219" s="210">
        <f t="shared" si="179"/>
        <v>0.14596577833205918</v>
      </c>
      <c r="K219" s="210">
        <f t="shared" si="179"/>
        <v>0.14596577833205918</v>
      </c>
    </row>
    <row r="220" spans="3:11" x14ac:dyDescent="0.25">
      <c r="C220" s="16"/>
      <c r="D220" s="252"/>
      <c r="E220" s="207"/>
      <c r="F220" s="207"/>
      <c r="G220" s="208"/>
      <c r="H220" s="208"/>
      <c r="I220" s="208"/>
      <c r="J220" s="208"/>
      <c r="K220" s="208"/>
    </row>
    <row r="221" spans="3:11" x14ac:dyDescent="0.25">
      <c r="C221" s="5" t="s">
        <v>152</v>
      </c>
      <c r="D221" s="18">
        <f>D23</f>
        <v>-279396123</v>
      </c>
      <c r="E221" s="18">
        <f>E23</f>
        <v>-283885234</v>
      </c>
      <c r="F221" s="18">
        <f>F23</f>
        <v>-374823610</v>
      </c>
      <c r="G221" s="269">
        <f>G214*G211</f>
        <v>-390866090.28953487</v>
      </c>
      <c r="H221" s="269">
        <f t="shared" ref="H221:K221" si="180">H214*H211</f>
        <v>-390866090.28953487</v>
      </c>
      <c r="I221" s="269">
        <f t="shared" si="180"/>
        <v>-390866090.28953487</v>
      </c>
      <c r="J221" s="269">
        <f t="shared" si="180"/>
        <v>-390866090.28953487</v>
      </c>
      <c r="K221" s="269">
        <f t="shared" si="180"/>
        <v>-390866090.28953487</v>
      </c>
    </row>
    <row r="222" spans="3:11" x14ac:dyDescent="0.25">
      <c r="C222" s="5" t="s">
        <v>202</v>
      </c>
      <c r="D222" s="184">
        <f>D28</f>
        <v>343271142</v>
      </c>
      <c r="E222" s="184">
        <f>E28</f>
        <v>508915843</v>
      </c>
      <c r="F222" s="184">
        <f>F28</f>
        <v>463499421</v>
      </c>
      <c r="G222" s="184">
        <f>G219*F217</f>
        <v>420745769.69762903</v>
      </c>
      <c r="H222" s="184">
        <f t="shared" ref="H222:K222" si="181">H219*G217</f>
        <v>643977163.30996764</v>
      </c>
      <c r="I222" s="184">
        <f t="shared" si="181"/>
        <v>702383744.48055089</v>
      </c>
      <c r="J222" s="184">
        <f t="shared" si="181"/>
        <v>771688618.12450373</v>
      </c>
      <c r="K222" s="184">
        <f t="shared" si="181"/>
        <v>846560947.28042269</v>
      </c>
    </row>
    <row r="223" spans="3:11" x14ac:dyDescent="0.25">
      <c r="C223" s="5" t="s">
        <v>203</v>
      </c>
      <c r="D223" s="184">
        <f>SUM(D221:D222)</f>
        <v>63875019</v>
      </c>
      <c r="E223" s="184">
        <f t="shared" ref="E223:F223" si="182">SUM(E221:E222)</f>
        <v>225030609</v>
      </c>
      <c r="F223" s="184">
        <f t="shared" si="182"/>
        <v>88675811</v>
      </c>
      <c r="G223" s="184">
        <f t="shared" ref="G223" si="183">SUM(G221:G222)</f>
        <v>29879679.408094168</v>
      </c>
      <c r="H223" s="184">
        <f t="shared" ref="H223" si="184">SUM(H221:H222)</f>
        <v>253111073.02043277</v>
      </c>
      <c r="I223" s="184">
        <f t="shared" ref="I223" si="185">SUM(I221:I222)</f>
        <v>311517654.19101602</v>
      </c>
      <c r="J223" s="184">
        <f t="shared" ref="J223" si="186">SUM(J221:J222)</f>
        <v>380822527.83496886</v>
      </c>
      <c r="K223" s="184">
        <f t="shared" ref="K223" si="187">SUM(K221:K222)</f>
        <v>455694856.99088782</v>
      </c>
    </row>
    <row r="225" spans="1:11" x14ac:dyDescent="0.25">
      <c r="A225" s="5" t="s">
        <v>215</v>
      </c>
      <c r="C225" s="12" t="s">
        <v>168</v>
      </c>
    </row>
    <row r="226" spans="1:11" x14ac:dyDescent="0.25">
      <c r="C226" s="47" t="s">
        <v>42</v>
      </c>
      <c r="D226" s="48">
        <f t="shared" ref="D226:K226" si="188">D$13</f>
        <v>2023</v>
      </c>
      <c r="E226" s="48">
        <f t="shared" si="188"/>
        <v>2024</v>
      </c>
      <c r="F226" s="48">
        <f t="shared" si="188"/>
        <v>2025</v>
      </c>
      <c r="G226" s="49">
        <f t="shared" si="188"/>
        <v>2026</v>
      </c>
      <c r="H226" s="49">
        <f t="shared" si="188"/>
        <v>2027</v>
      </c>
      <c r="I226" s="49">
        <f t="shared" si="188"/>
        <v>2028</v>
      </c>
      <c r="J226" s="49">
        <f t="shared" si="188"/>
        <v>2029</v>
      </c>
      <c r="K226" s="49">
        <f t="shared" si="188"/>
        <v>2030</v>
      </c>
    </row>
    <row r="227" spans="1:11" x14ac:dyDescent="0.25">
      <c r="C227" s="42" t="s">
        <v>43</v>
      </c>
      <c r="D227" s="246">
        <f t="shared" ref="D227:K227" si="189">D$14</f>
        <v>45291</v>
      </c>
      <c r="E227" s="230">
        <f t="shared" si="189"/>
        <v>45657</v>
      </c>
      <c r="F227" s="230">
        <f t="shared" si="189"/>
        <v>46022</v>
      </c>
      <c r="G227" s="230">
        <f t="shared" si="189"/>
        <v>46387</v>
      </c>
      <c r="H227" s="230">
        <f t="shared" si="189"/>
        <v>46752</v>
      </c>
      <c r="I227" s="230">
        <f t="shared" si="189"/>
        <v>47118</v>
      </c>
      <c r="J227" s="230">
        <f t="shared" si="189"/>
        <v>47483</v>
      </c>
      <c r="K227" s="230">
        <f t="shared" si="189"/>
        <v>47848</v>
      </c>
    </row>
    <row r="229" spans="1:11" x14ac:dyDescent="0.25">
      <c r="C229" s="12" t="s">
        <v>169</v>
      </c>
    </row>
    <row r="230" spans="1:11" x14ac:dyDescent="0.25">
      <c r="C230" s="16" t="s">
        <v>32</v>
      </c>
      <c r="D230" s="18"/>
      <c r="E230" s="184">
        <f>D233</f>
        <v>2577695808</v>
      </c>
      <c r="F230" s="184">
        <f t="shared" ref="F230:K230" si="190">E233</f>
        <v>2763048521</v>
      </c>
      <c r="G230" s="184">
        <f t="shared" si="190"/>
        <v>1310809672</v>
      </c>
      <c r="H230" s="184">
        <f t="shared" si="190"/>
        <v>2106393511.6079338</v>
      </c>
      <c r="I230" s="184">
        <f t="shared" si="190"/>
        <v>3028369164.7196798</v>
      </c>
      <c r="J230" s="184">
        <f t="shared" si="190"/>
        <v>4011740815.1767254</v>
      </c>
      <c r="K230" s="184">
        <f t="shared" si="190"/>
        <v>5062280513.0094051</v>
      </c>
    </row>
    <row r="231" spans="1:11" x14ac:dyDescent="0.25">
      <c r="C231" s="16" t="s">
        <v>258</v>
      </c>
      <c r="D231" s="268">
        <f t="shared" ref="D231:K231" si="191">D33</f>
        <v>2458697146</v>
      </c>
      <c r="E231" s="268">
        <f t="shared" si="191"/>
        <v>2539389559</v>
      </c>
      <c r="F231" s="268">
        <f t="shared" si="191"/>
        <v>1138395311</v>
      </c>
      <c r="G231" s="268">
        <f t="shared" si="191"/>
        <v>2070282431.6093111</v>
      </c>
      <c r="H231" s="268">
        <f t="shared" si="191"/>
        <v>2399181458.9263244</v>
      </c>
      <c r="I231" s="268">
        <f t="shared" si="191"/>
        <v>2558947216.2822604</v>
      </c>
      <c r="J231" s="268">
        <f t="shared" si="191"/>
        <v>2733733104.9898582</v>
      </c>
      <c r="K231" s="268">
        <f t="shared" si="191"/>
        <v>2919787379.3224134</v>
      </c>
    </row>
    <row r="232" spans="1:11" x14ac:dyDescent="0.25">
      <c r="C232" s="16" t="s">
        <v>170</v>
      </c>
      <c r="D232" s="238">
        <v>-811969074</v>
      </c>
      <c r="E232" s="187">
        <v>-1203863021</v>
      </c>
      <c r="F232" s="238">
        <v>-1187138955</v>
      </c>
      <c r="G232" s="184">
        <f>G235*G231</f>
        <v>-1274698592.0013773</v>
      </c>
      <c r="H232" s="184">
        <f t="shared" ref="H232:K232" si="192">H235*H231</f>
        <v>-1477205805.8145778</v>
      </c>
      <c r="I232" s="184">
        <f t="shared" si="192"/>
        <v>-1575575565.8252146</v>
      </c>
      <c r="J232" s="184">
        <f t="shared" si="192"/>
        <v>-1683193407.1571789</v>
      </c>
      <c r="K232" s="184">
        <f t="shared" si="192"/>
        <v>-1797749333.3953154</v>
      </c>
    </row>
    <row r="233" spans="1:11" x14ac:dyDescent="0.25">
      <c r="C233" s="16" t="s">
        <v>171</v>
      </c>
      <c r="D233" s="18">
        <f t="shared" ref="D233:E233" si="193">D98+D99</f>
        <v>2577695808</v>
      </c>
      <c r="E233" s="18">
        <f t="shared" si="193"/>
        <v>2763048521</v>
      </c>
      <c r="F233" s="18">
        <f>F98+F99</f>
        <v>1310809672</v>
      </c>
      <c r="G233" s="184">
        <f>SUM(G230:G232)</f>
        <v>2106393511.6079338</v>
      </c>
      <c r="H233" s="184">
        <f t="shared" ref="H233:K233" si="194">SUM(H230:H232)</f>
        <v>3028369164.7196798</v>
      </c>
      <c r="I233" s="184">
        <f t="shared" si="194"/>
        <v>4011740815.1767254</v>
      </c>
      <c r="J233" s="184">
        <f t="shared" si="194"/>
        <v>5062280513.0094051</v>
      </c>
      <c r="K233" s="184">
        <f t="shared" si="194"/>
        <v>6184318558.9365034</v>
      </c>
    </row>
    <row r="234" spans="1:11" x14ac:dyDescent="0.25">
      <c r="D234" s="184"/>
      <c r="E234" s="184"/>
      <c r="F234" s="184"/>
      <c r="G234" s="184"/>
      <c r="H234" s="184"/>
      <c r="I234" s="184"/>
      <c r="J234" s="184"/>
      <c r="K234" s="184"/>
    </row>
    <row r="235" spans="1:11" x14ac:dyDescent="0.25">
      <c r="C235" s="5" t="s">
        <v>190</v>
      </c>
      <c r="D235" s="1">
        <f>D232/D231</f>
        <v>-0.33024363139680479</v>
      </c>
      <c r="E235" s="1">
        <f t="shared" ref="E235:F235" si="195">E232/E231</f>
        <v>-0.47407575444000633</v>
      </c>
      <c r="F235" s="1">
        <f t="shared" si="195"/>
        <v>-1.0428178538061459</v>
      </c>
      <c r="G235" s="210">
        <f>AVERAGE(D235:F235)</f>
        <v>-0.61571241321431902</v>
      </c>
      <c r="H235" s="210">
        <f>G235</f>
        <v>-0.61571241321431902</v>
      </c>
      <c r="I235" s="210">
        <f t="shared" ref="I235:K235" si="196">H235</f>
        <v>-0.61571241321431902</v>
      </c>
      <c r="J235" s="210">
        <f t="shared" si="196"/>
        <v>-0.61571241321431902</v>
      </c>
      <c r="K235" s="210">
        <f t="shared" si="196"/>
        <v>-0.61571241321431902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FB8B-B60E-497E-A730-4D15A5E1DAC7}">
  <dimension ref="B1:Q132"/>
  <sheetViews>
    <sheetView showGridLines="0" topLeftCell="A33" zoomScale="90" zoomScaleNormal="90" workbookViewId="0">
      <selection activeCell="B3" sqref="B3"/>
    </sheetView>
  </sheetViews>
  <sheetFormatPr defaultColWidth="9.140625" defaultRowHeight="15" x14ac:dyDescent="0.25"/>
  <cols>
    <col min="1" max="1" width="1.42578125" style="50" customWidth="1"/>
    <col min="2" max="2" width="54.42578125" style="50" customWidth="1"/>
    <col min="3" max="3" width="16.7109375" style="50" customWidth="1"/>
    <col min="4" max="4" width="15.5703125" style="50" bestFit="1" customWidth="1"/>
    <col min="5" max="9" width="16.42578125" style="50" customWidth="1"/>
    <col min="10" max="10" width="1.7109375" style="50" customWidth="1"/>
    <col min="11" max="11" width="12.140625" style="50" bestFit="1" customWidth="1"/>
    <col min="12" max="16" width="9.42578125" style="50" customWidth="1"/>
    <col min="17" max="16384" width="9.140625" style="50"/>
  </cols>
  <sheetData>
    <row r="1" spans="2:10" ht="15.75" thickBot="1" x14ac:dyDescent="0.3"/>
    <row r="2" spans="2:10" ht="15.75" thickBot="1" x14ac:dyDescent="0.3">
      <c r="B2" s="51" t="s">
        <v>46</v>
      </c>
      <c r="C2" s="52"/>
      <c r="D2" s="52"/>
      <c r="E2" s="52"/>
      <c r="F2" s="52"/>
      <c r="G2" s="52"/>
      <c r="H2" s="52"/>
      <c r="I2" s="52"/>
    </row>
    <row r="3" spans="2:10" x14ac:dyDescent="0.25">
      <c r="B3" s="183" t="str">
        <f>FSM!C3</f>
        <v>All amounts are shown in EGP, except per-share data, ratios, and shares outstanding</v>
      </c>
    </row>
    <row r="4" spans="2:10" x14ac:dyDescent="0.25">
      <c r="B4" s="50" t="s">
        <v>47</v>
      </c>
      <c r="C4" s="54"/>
      <c r="D4" s="54">
        <v>46022</v>
      </c>
      <c r="F4" s="50" t="s">
        <v>48</v>
      </c>
      <c r="H4" s="55">
        <f>+WACC!E21</f>
        <v>0.19099252845010467</v>
      </c>
      <c r="I4" s="50" t="s">
        <v>49</v>
      </c>
    </row>
    <row r="5" spans="2:10" x14ac:dyDescent="0.25">
      <c r="B5" s="50" t="s">
        <v>50</v>
      </c>
      <c r="C5" s="56"/>
      <c r="D5" s="56">
        <f>EOMONTH(D4,12)</f>
        <v>46387</v>
      </c>
      <c r="F5" s="50" t="s">
        <v>51</v>
      </c>
      <c r="H5" s="270">
        <f>FSM!D7</f>
        <v>16</v>
      </c>
    </row>
    <row r="6" spans="2:10" x14ac:dyDescent="0.25">
      <c r="B6" s="50" t="s">
        <v>52</v>
      </c>
      <c r="C6" s="54"/>
      <c r="D6" s="54">
        <v>46022</v>
      </c>
      <c r="F6" s="50" t="s">
        <v>53</v>
      </c>
      <c r="H6" s="57">
        <v>46197</v>
      </c>
      <c r="J6" s="58"/>
    </row>
    <row r="7" spans="2:10" x14ac:dyDescent="0.25">
      <c r="B7" s="50" t="s">
        <v>54</v>
      </c>
      <c r="C7" s="54"/>
      <c r="D7" s="54">
        <v>46210</v>
      </c>
      <c r="E7" s="58"/>
      <c r="F7" s="212" t="s">
        <v>150</v>
      </c>
      <c r="G7" s="58"/>
      <c r="H7" s="255">
        <f>C73</f>
        <v>14.096952984237948</v>
      </c>
    </row>
    <row r="8" spans="2:10" x14ac:dyDescent="0.25">
      <c r="B8" s="50" t="s">
        <v>55</v>
      </c>
      <c r="C8" s="136"/>
      <c r="D8" s="136">
        <f>YEARFRAC(D7,D5)</f>
        <v>0.48333333333333334</v>
      </c>
      <c r="F8" s="212" t="s">
        <v>151</v>
      </c>
      <c r="H8" s="207">
        <f>H7/H5-1</f>
        <v>-0.11894043848512825</v>
      </c>
    </row>
    <row r="9" spans="2:10" x14ac:dyDescent="0.25">
      <c r="D9" s="60"/>
      <c r="F9" t="s">
        <v>181</v>
      </c>
      <c r="G9"/>
      <c r="H9" s="242">
        <v>1</v>
      </c>
    </row>
    <row r="10" spans="2:10" x14ac:dyDescent="0.25">
      <c r="B10" s="61" t="s">
        <v>56</v>
      </c>
      <c r="C10" s="62"/>
      <c r="D10" s="63"/>
      <c r="F10" s="62"/>
      <c r="G10" s="62"/>
      <c r="H10" s="62"/>
      <c r="I10" s="62"/>
    </row>
    <row r="11" spans="2:10" ht="17.25" customHeight="1" x14ac:dyDescent="0.4">
      <c r="C11" s="64" t="s">
        <v>57</v>
      </c>
      <c r="D11" s="64" t="s">
        <v>58</v>
      </c>
      <c r="E11" s="65" t="s">
        <v>59</v>
      </c>
      <c r="F11" s="64"/>
      <c r="G11" s="64"/>
      <c r="H11" s="64"/>
      <c r="I11" s="64"/>
    </row>
    <row r="12" spans="2:10" x14ac:dyDescent="0.25">
      <c r="B12" s="66" t="s">
        <v>60</v>
      </c>
      <c r="C12" s="67">
        <f>D7</f>
        <v>46210</v>
      </c>
      <c r="D12" s="231">
        <f>D4</f>
        <v>46022</v>
      </c>
      <c r="E12" s="231">
        <f>EOMONTH(D12,12)</f>
        <v>46387</v>
      </c>
      <c r="F12" s="231">
        <f>EOMONTH(E12,12)</f>
        <v>46752</v>
      </c>
      <c r="G12" s="231">
        <f t="shared" ref="G12:I12" si="0">EOMONTH(F12,12)</f>
        <v>47118</v>
      </c>
      <c r="H12" s="231">
        <f t="shared" si="0"/>
        <v>47483</v>
      </c>
      <c r="I12" s="231">
        <f t="shared" si="0"/>
        <v>47848</v>
      </c>
    </row>
    <row r="13" spans="2:10" x14ac:dyDescent="0.25">
      <c r="B13" s="66"/>
      <c r="D13" s="175"/>
      <c r="E13" s="182"/>
      <c r="F13" s="182"/>
      <c r="G13" s="182"/>
      <c r="H13" s="182"/>
      <c r="I13" s="181"/>
    </row>
    <row r="14" spans="2:10" x14ac:dyDescent="0.25">
      <c r="B14" s="50" t="s">
        <v>61</v>
      </c>
      <c r="C14" s="154">
        <f>E14*(1-$D$8)+D14*$D$8</f>
        <v>14707731346.933334</v>
      </c>
      <c r="D14" s="176">
        <f>FSM!F16</f>
        <v>14412587014</v>
      </c>
      <c r="E14" s="176">
        <f>FSM!G16</f>
        <v>14983834110.000002</v>
      </c>
      <c r="F14" s="176">
        <f>FSM!H16</f>
        <v>16243753717.200005</v>
      </c>
      <c r="G14" s="176">
        <f>FSM!I16</f>
        <v>17169132355.830006</v>
      </c>
      <c r="H14" s="176">
        <f>FSM!J16</f>
        <v>18147640796.495647</v>
      </c>
      <c r="I14" s="176">
        <f>FSM!K16</f>
        <v>19182347342.1231</v>
      </c>
    </row>
    <row r="15" spans="2:10" x14ac:dyDescent="0.25">
      <c r="B15" s="70" t="s">
        <v>40</v>
      </c>
      <c r="C15"/>
      <c r="D15" s="177"/>
      <c r="E15" s="177">
        <f>E14/D14-1</f>
        <v>3.9635292084974516E-2</v>
      </c>
      <c r="F15" s="177">
        <f t="shared" ref="F15:I15" si="1">F14/E14-1</f>
        <v>8.4085261352376373E-2</v>
      </c>
      <c r="G15" s="177">
        <f t="shared" si="1"/>
        <v>5.6968275605542296E-2</v>
      </c>
      <c r="H15" s="177">
        <f t="shared" si="1"/>
        <v>5.699230574883285E-2</v>
      </c>
      <c r="I15" s="177">
        <f t="shared" si="1"/>
        <v>5.7016036256748892E-2</v>
      </c>
    </row>
    <row r="16" spans="2:10" x14ac:dyDescent="0.25">
      <c r="B16" s="50" t="s">
        <v>24</v>
      </c>
      <c r="C16" s="154">
        <f>E16*(1-$D$8)+D16*$D$8</f>
        <v>1391519385.2696095</v>
      </c>
      <c r="D16" s="176">
        <f>FSM!F35</f>
        <v>660627360</v>
      </c>
      <c r="E16" s="176">
        <f>FSM!G35</f>
        <v>2075257086.3282766</v>
      </c>
      <c r="F16" s="176">
        <f>FSM!H35</f>
        <v>2282621698.1613374</v>
      </c>
      <c r="G16" s="176">
        <f>FSM!I35</f>
        <v>2434925687.3218589</v>
      </c>
      <c r="H16" s="176">
        <f>FSM!J35</f>
        <v>2595974076.2940249</v>
      </c>
      <c r="I16" s="176">
        <f>FSM!K35</f>
        <v>2766271863.5250673</v>
      </c>
    </row>
    <row r="17" spans="2:13" x14ac:dyDescent="0.25">
      <c r="B17" s="70" t="s">
        <v>62</v>
      </c>
      <c r="C17"/>
      <c r="D17" s="177">
        <f>D16/D14</f>
        <v>4.5836834106068834E-2</v>
      </c>
      <c r="E17" s="177">
        <f t="shared" ref="E17:I17" si="2">E16/E14</f>
        <v>0.13849973718964753</v>
      </c>
      <c r="F17" s="177">
        <f t="shared" si="2"/>
        <v>0.14052304275854297</v>
      </c>
      <c r="G17" s="177">
        <f t="shared" si="2"/>
        <v>0.14181996136194081</v>
      </c>
      <c r="H17" s="177">
        <f t="shared" si="2"/>
        <v>0.14304746856105471</v>
      </c>
      <c r="I17" s="177">
        <f t="shared" si="2"/>
        <v>0.14420924687619052</v>
      </c>
    </row>
    <row r="18" spans="2:13" x14ac:dyDescent="0.25">
      <c r="B18" s="50" t="s">
        <v>63</v>
      </c>
      <c r="C18" s="154">
        <f>E18*(1-$D$8)+D18*$D$8</f>
        <v>1314754923.2624326</v>
      </c>
      <c r="D18" s="176">
        <f>FSM!F24</f>
        <v>580753378</v>
      </c>
      <c r="E18" s="176">
        <f>FSM!G24</f>
        <v>2001401530.1208375</v>
      </c>
      <c r="F18" s="176">
        <f>FSM!H24</f>
        <v>2202555978.2078705</v>
      </c>
      <c r="G18" s="176">
        <f>FSM!I24</f>
        <v>2350298761.367527</v>
      </c>
      <c r="H18" s="176">
        <f>FSM!J24</f>
        <v>2506524066.7011199</v>
      </c>
      <c r="I18" s="176">
        <f>FSM!K24</f>
        <v>2671721768.9420466</v>
      </c>
    </row>
    <row r="19" spans="2:13" x14ac:dyDescent="0.25">
      <c r="B19" s="70" t="s">
        <v>62</v>
      </c>
      <c r="D19" s="177">
        <f>D18/D14</f>
        <v>4.0294874017820101E-2</v>
      </c>
      <c r="E19" s="177">
        <f t="shared" ref="E19:I19" si="3">E18/E14</f>
        <v>0.13357072131392125</v>
      </c>
      <c r="F19" s="177">
        <f t="shared" si="3"/>
        <v>0.13559402688281666</v>
      </c>
      <c r="G19" s="177">
        <f t="shared" si="3"/>
        <v>0.1368909454862145</v>
      </c>
      <c r="H19" s="177">
        <f t="shared" si="3"/>
        <v>0.13811845268532844</v>
      </c>
      <c r="I19" s="177">
        <f t="shared" si="3"/>
        <v>0.13928023100046424</v>
      </c>
    </row>
    <row r="20" spans="2:13" x14ac:dyDescent="0.25">
      <c r="B20" s="70"/>
      <c r="D20" s="176"/>
      <c r="E20" s="176"/>
      <c r="F20" s="176"/>
      <c r="G20" s="176"/>
      <c r="H20" s="176"/>
      <c r="I20" s="176"/>
    </row>
    <row r="21" spans="2:13" x14ac:dyDescent="0.25">
      <c r="B21" s="50" t="s">
        <v>64</v>
      </c>
      <c r="D21" s="178">
        <f>D18*D22</f>
        <v>115328989.08705615</v>
      </c>
      <c r="E21" s="178">
        <f t="shared" ref="E21:I21" si="4">E18*E22</f>
        <v>450315344.27718842</v>
      </c>
      <c r="F21" s="178">
        <f t="shared" si="4"/>
        <v>495575095.09677088</v>
      </c>
      <c r="G21" s="178">
        <f t="shared" si="4"/>
        <v>528817221.3076936</v>
      </c>
      <c r="H21" s="178">
        <f t="shared" si="4"/>
        <v>563967915.00775194</v>
      </c>
      <c r="I21" s="178">
        <f t="shared" si="4"/>
        <v>601137398.01196051</v>
      </c>
    </row>
    <row r="22" spans="2:13" ht="15" customHeight="1" x14ac:dyDescent="0.25">
      <c r="B22" s="70" t="s">
        <v>26</v>
      </c>
      <c r="D22" s="179">
        <f>-FSM!F45</f>
        <v>0.19858513692029897</v>
      </c>
      <c r="E22" s="179">
        <f>-FSM!G45</f>
        <v>0.22500000000000001</v>
      </c>
      <c r="F22" s="179">
        <f>-FSM!H45</f>
        <v>0.22500000000000001</v>
      </c>
      <c r="G22" s="179">
        <f>-FSM!I45</f>
        <v>0.22500000000000001</v>
      </c>
      <c r="H22" s="179">
        <f>-FSM!J45</f>
        <v>0.22500000000000001</v>
      </c>
      <c r="I22" s="179">
        <f>-FSM!K45</f>
        <v>0.22500000000000001</v>
      </c>
    </row>
    <row r="23" spans="2:13" x14ac:dyDescent="0.25">
      <c r="B23" s="71" t="s">
        <v>65</v>
      </c>
      <c r="C23" s="71"/>
      <c r="D23" s="180">
        <f>D18*(1-D22)</f>
        <v>465424388.91294384</v>
      </c>
      <c r="E23" s="180">
        <f t="shared" ref="E23:I23" si="5">E18*(1-E22)</f>
        <v>1551086185.8436491</v>
      </c>
      <c r="F23" s="180">
        <f t="shared" si="5"/>
        <v>1706980883.1110997</v>
      </c>
      <c r="G23" s="180">
        <f t="shared" si="5"/>
        <v>1821481540.0598335</v>
      </c>
      <c r="H23" s="180">
        <f t="shared" si="5"/>
        <v>1942556151.693368</v>
      </c>
      <c r="I23" s="180">
        <f t="shared" si="5"/>
        <v>2070584370.9300861</v>
      </c>
    </row>
    <row r="24" spans="2:13" x14ac:dyDescent="0.25">
      <c r="D24" s="68"/>
      <c r="E24" s="68"/>
      <c r="F24" s="68"/>
      <c r="G24" s="68"/>
      <c r="H24" s="68"/>
      <c r="I24" s="68"/>
    </row>
    <row r="25" spans="2:13" x14ac:dyDescent="0.25">
      <c r="B25" s="50" t="s">
        <v>23</v>
      </c>
      <c r="D25" s="69"/>
      <c r="E25" s="69">
        <f>FSM!G149</f>
        <v>73855556.20743911</v>
      </c>
      <c r="F25" s="69">
        <f>FSM!H149</f>
        <v>80065719.953466743</v>
      </c>
      <c r="G25" s="69">
        <f>FSM!I149</f>
        <v>84626925.954332009</v>
      </c>
      <c r="H25" s="69">
        <f>FSM!J149</f>
        <v>89450009.592905134</v>
      </c>
      <c r="I25" s="69">
        <f>FSM!K149</f>
        <v>94550094.583020747</v>
      </c>
      <c r="M25" s="73"/>
    </row>
    <row r="26" spans="2:13" x14ac:dyDescent="0.25">
      <c r="B26" s="50" t="s">
        <v>66</v>
      </c>
      <c r="D26" s="68"/>
      <c r="E26" s="68">
        <f>D32-E32</f>
        <v>1092137209.090766</v>
      </c>
      <c r="F26" s="68">
        <f t="shared" ref="F26:I26" si="6">E32-F32</f>
        <v>-133321842.96485424</v>
      </c>
      <c r="G26" s="68">
        <f t="shared" si="6"/>
        <v>-97921474.384099007</v>
      </c>
      <c r="H26" s="68">
        <f t="shared" si="6"/>
        <v>-103543549.85881138</v>
      </c>
      <c r="I26" s="68">
        <f t="shared" si="6"/>
        <v>-109490306.20883942</v>
      </c>
      <c r="M26" s="73"/>
    </row>
    <row r="27" spans="2:13" x14ac:dyDescent="0.25">
      <c r="B27" s="50" t="s">
        <v>67</v>
      </c>
      <c r="D27" s="69"/>
      <c r="E27" s="69">
        <f>-FSM!G138</f>
        <v>-432235987.10388249</v>
      </c>
      <c r="F27" s="69">
        <f>-FSM!H138</f>
        <v>-468580663.04541481</v>
      </c>
      <c r="G27" s="69">
        <f>-FSM!I138</f>
        <v>-495274895.40121377</v>
      </c>
      <c r="H27" s="69">
        <f>-FSM!J138</f>
        <v>-523501753.6696409</v>
      </c>
      <c r="I27" s="69">
        <f>-FSM!K138</f>
        <v>-553349748.63734078</v>
      </c>
      <c r="M27" s="73"/>
    </row>
    <row r="28" spans="2:13" x14ac:dyDescent="0.25">
      <c r="B28" s="70" t="s">
        <v>38</v>
      </c>
      <c r="D28" s="1"/>
      <c r="E28" s="1">
        <f>E27/E14</f>
        <v>-2.8846821443078725E-2</v>
      </c>
      <c r="F28" s="1">
        <f t="shared" ref="F28:I28" si="7">F27/F14</f>
        <v>-2.8846821443078721E-2</v>
      </c>
      <c r="G28" s="1">
        <f t="shared" si="7"/>
        <v>-2.8846821443078725E-2</v>
      </c>
      <c r="H28" s="1">
        <f t="shared" si="7"/>
        <v>-2.8846821443078725E-2</v>
      </c>
      <c r="I28" s="1">
        <f t="shared" si="7"/>
        <v>-2.8846821443078721E-2</v>
      </c>
      <c r="M28" s="73"/>
    </row>
    <row r="29" spans="2:13" x14ac:dyDescent="0.25">
      <c r="B29" s="212"/>
      <c r="D29" s="69"/>
      <c r="E29" s="69"/>
      <c r="F29" s="69"/>
      <c r="G29" s="69"/>
      <c r="H29" s="69"/>
      <c r="I29" s="69"/>
      <c r="M29" s="73"/>
    </row>
    <row r="30" spans="2:13" x14ac:dyDescent="0.25">
      <c r="B30" s="71" t="s">
        <v>68</v>
      </c>
      <c r="C30" s="71"/>
      <c r="D30" s="72"/>
      <c r="E30" s="72">
        <f>E23+E25+E26+E27</f>
        <v>2284842964.037972</v>
      </c>
      <c r="F30" s="72">
        <f t="shared" ref="F30:I30" si="8">F23+F25+F26+F27</f>
        <v>1185144097.0542974</v>
      </c>
      <c r="G30" s="72">
        <f t="shared" si="8"/>
        <v>1312912096.2288527</v>
      </c>
      <c r="H30" s="72">
        <f t="shared" si="8"/>
        <v>1404960857.7578206</v>
      </c>
      <c r="I30" s="72">
        <f t="shared" si="8"/>
        <v>1502294410.6669266</v>
      </c>
      <c r="M30" s="72"/>
    </row>
    <row r="31" spans="2:13" x14ac:dyDescent="0.25">
      <c r="D31" s="69"/>
      <c r="E31" s="69"/>
      <c r="F31" s="69"/>
      <c r="G31" s="69"/>
      <c r="H31" s="69"/>
      <c r="I31" s="69"/>
      <c r="M31" s="73"/>
    </row>
    <row r="32" spans="2:13" x14ac:dyDescent="0.25">
      <c r="B32" s="50" t="s">
        <v>69</v>
      </c>
      <c r="C32" s="69"/>
      <c r="D32" s="69">
        <f>FSM!F197</f>
        <v>2677692642</v>
      </c>
      <c r="E32" s="69">
        <f>FSM!G197</f>
        <v>1585555432.909234</v>
      </c>
      <c r="F32" s="69">
        <f>FSM!H197</f>
        <v>1718877275.8740883</v>
      </c>
      <c r="G32" s="69">
        <f>FSM!I197</f>
        <v>1816798750.2581873</v>
      </c>
      <c r="H32" s="69">
        <f>FSM!J197</f>
        <v>1920342300.1169987</v>
      </c>
      <c r="I32" s="69">
        <f>FSM!K197</f>
        <v>2029832606.3258381</v>
      </c>
    </row>
    <row r="33" spans="2:13" x14ac:dyDescent="0.25">
      <c r="B33" s="70" t="s">
        <v>38</v>
      </c>
      <c r="D33" s="59">
        <f>D32/D14</f>
        <v>0.18578848054127697</v>
      </c>
      <c r="E33" s="59">
        <f t="shared" ref="E33:I33" si="9">E32/E14</f>
        <v>0.10581773805484515</v>
      </c>
      <c r="F33" s="59">
        <f t="shared" si="9"/>
        <v>0.10581773805484521</v>
      </c>
      <c r="G33" s="59">
        <f t="shared" si="9"/>
        <v>0.10581773805484523</v>
      </c>
      <c r="H33" s="59">
        <f t="shared" si="9"/>
        <v>0.10581773805484519</v>
      </c>
      <c r="I33" s="59">
        <f t="shared" si="9"/>
        <v>0.10581773805484519</v>
      </c>
      <c r="J33" s="69"/>
    </row>
    <row r="34" spans="2:13" x14ac:dyDescent="0.25">
      <c r="D34"/>
      <c r="E34" s="59"/>
      <c r="F34" s="59"/>
      <c r="G34" s="59"/>
      <c r="H34" s="59"/>
      <c r="I34" s="59"/>
      <c r="J34" s="69"/>
      <c r="K34" s="74"/>
      <c r="M34" s="59"/>
    </row>
    <row r="35" spans="2:13" x14ac:dyDescent="0.25">
      <c r="B35" s="61" t="str">
        <f>"Present value of UFCF on "&amp;TEXT(D7,"mmm dd, yyyy")&amp;" valuation date"</f>
        <v>Present value of UFCF on Jul 07, 2026 valuation date</v>
      </c>
      <c r="C35" s="62"/>
      <c r="D35" s="75"/>
      <c r="E35" s="62"/>
      <c r="F35" s="75"/>
      <c r="G35" s="75"/>
      <c r="H35" s="75"/>
      <c r="I35" s="75"/>
      <c r="J35" s="69"/>
    </row>
    <row r="36" spans="2:13" ht="17.25" x14ac:dyDescent="0.4">
      <c r="B36" s="71"/>
      <c r="D36" s="76" t="s">
        <v>70</v>
      </c>
      <c r="E36" s="76" t="s">
        <v>71</v>
      </c>
      <c r="F36" s="77" t="s">
        <v>72</v>
      </c>
      <c r="G36" s="77" t="s">
        <v>73</v>
      </c>
      <c r="H36" s="77" t="s">
        <v>74</v>
      </c>
      <c r="I36" s="77" t="s">
        <v>75</v>
      </c>
      <c r="J36" s="69"/>
    </row>
    <row r="37" spans="2:13" x14ac:dyDescent="0.25">
      <c r="B37" s="50" t="s">
        <v>76</v>
      </c>
      <c r="D37" s="78">
        <f>D7</f>
        <v>46210</v>
      </c>
      <c r="E37" s="155">
        <f>IF($H$9=1,AVERAGE(E12,D37),E12)</f>
        <v>46298.5</v>
      </c>
      <c r="F37" s="155">
        <f>IF($H$9=1,AVERAGE(F12,E12),F12)</f>
        <v>46569.5</v>
      </c>
      <c r="G37" s="155">
        <f>IF($H$9=1,AVERAGE(G12,F12),G12)</f>
        <v>46935</v>
      </c>
      <c r="H37" s="155">
        <f>IF($H$9=1,AVERAGE(H12,G12),H12)</f>
        <v>47300.5</v>
      </c>
      <c r="I37" s="155">
        <f>IF($H$9=1,AVERAGE(I12,H12),I12)</f>
        <v>47665.5</v>
      </c>
      <c r="J37" s="69"/>
    </row>
    <row r="38" spans="2:13" x14ac:dyDescent="0.25">
      <c r="B38" s="50" t="s">
        <v>77</v>
      </c>
      <c r="C38" s="79">
        <f>D8</f>
        <v>0.48333333333333334</v>
      </c>
      <c r="D38" s="73"/>
      <c r="E38" s="80">
        <f>E30*C38</f>
        <v>1104340765.9516864</v>
      </c>
      <c r="F38" s="80">
        <f>F30</f>
        <v>1185144097.0542974</v>
      </c>
      <c r="G38" s="80">
        <f t="shared" ref="G38:I38" si="10">G30</f>
        <v>1312912096.2288527</v>
      </c>
      <c r="H38" s="80">
        <f t="shared" si="10"/>
        <v>1404960857.7578206</v>
      </c>
      <c r="I38" s="80">
        <f t="shared" si="10"/>
        <v>1502294410.6669266</v>
      </c>
      <c r="J38" s="68"/>
    </row>
    <row r="39" spans="2:13" ht="15" customHeight="1" x14ac:dyDescent="0.25">
      <c r="B39" s="71" t="s">
        <v>78</v>
      </c>
      <c r="C39" s="81"/>
      <c r="D39" s="72"/>
      <c r="E39" s="72">
        <f>E38/(1+$H$4)^((E37-$D$37)/365)</f>
        <v>1058516817.2403573</v>
      </c>
      <c r="F39" s="72">
        <f t="shared" ref="F39:I39" si="11">F38/(1+$H$4)^((F37-$D$37)/365)</f>
        <v>997713745.51085997</v>
      </c>
      <c r="G39" s="72">
        <f t="shared" si="11"/>
        <v>927806531.38387656</v>
      </c>
      <c r="H39" s="72">
        <f t="shared" si="11"/>
        <v>833437387.61072385</v>
      </c>
      <c r="I39" s="72">
        <f t="shared" si="11"/>
        <v>748263857.11442149</v>
      </c>
      <c r="J39" s="68"/>
    </row>
    <row r="41" spans="2:13" x14ac:dyDescent="0.25">
      <c r="B41" s="61" t="s">
        <v>79</v>
      </c>
      <c r="C41" s="61"/>
      <c r="E41" s="61" t="s">
        <v>80</v>
      </c>
      <c r="F41" s="62"/>
      <c r="G41" s="62"/>
      <c r="H41" s="62"/>
      <c r="I41" s="62"/>
    </row>
    <row r="42" spans="2:13" x14ac:dyDescent="0.25">
      <c r="B42" s="50" t="s">
        <v>81</v>
      </c>
      <c r="C42" s="82">
        <v>0.1</v>
      </c>
      <c r="E42" s="50" t="s">
        <v>82</v>
      </c>
      <c r="I42" s="73">
        <f>I16</f>
        <v>2766271863.5250673</v>
      </c>
      <c r="J42" s="73"/>
    </row>
    <row r="43" spans="2:13" x14ac:dyDescent="0.25">
      <c r="B43" s="83" t="str">
        <f>YEAR(I12)&amp;" FCF x (1+g)"</f>
        <v>2030 FCF x (1+g)</v>
      </c>
      <c r="C43" s="73">
        <f>I38*(1+C42)</f>
        <v>1652523851.7336195</v>
      </c>
      <c r="E43" s="50" t="s">
        <v>83</v>
      </c>
      <c r="I43" s="272">
        <v>8.4</v>
      </c>
      <c r="J43" s="84"/>
    </row>
    <row r="44" spans="2:13" x14ac:dyDescent="0.25">
      <c r="B44" s="50" t="str">
        <f>"Terminal value in "&amp;YEAR(I12)</f>
        <v>Terminal value in 2030</v>
      </c>
      <c r="C44" s="73">
        <f>C43/(H4-C42)</f>
        <v>18161093881.897934</v>
      </c>
      <c r="E44" s="50" t="str">
        <f>"Terminal value in "&amp;YEAR(I12)</f>
        <v>Terminal value in 2030</v>
      </c>
      <c r="I44" s="73">
        <f>I42*I43</f>
        <v>23236683653.610565</v>
      </c>
      <c r="J44" s="73"/>
    </row>
    <row r="45" spans="2:13" x14ac:dyDescent="0.25">
      <c r="B45" s="50" t="s">
        <v>84</v>
      </c>
      <c r="C45" s="73">
        <f>C44/(1+H4)^((I37-D37)/365)</f>
        <v>9045690419.2655945</v>
      </c>
      <c r="E45" s="50" t="s">
        <v>84</v>
      </c>
      <c r="I45" s="73">
        <f>I44/(1+H4)^((I37-D37)/365)</f>
        <v>11573743744.063742</v>
      </c>
      <c r="J45" s="73"/>
    </row>
    <row r="46" spans="2:13" x14ac:dyDescent="0.25">
      <c r="B46" s="50" t="s">
        <v>85</v>
      </c>
      <c r="C46" s="68">
        <f>SUM(E39:I39)</f>
        <v>4565738338.860239</v>
      </c>
      <c r="E46" s="50" t="s">
        <v>85</v>
      </c>
      <c r="I46" s="73">
        <f>C46</f>
        <v>4565738338.860239</v>
      </c>
      <c r="J46" s="73"/>
    </row>
    <row r="47" spans="2:13" x14ac:dyDescent="0.25">
      <c r="B47" s="71" t="s">
        <v>86</v>
      </c>
      <c r="C47" s="85">
        <f>C45+C46</f>
        <v>13611428758.125834</v>
      </c>
      <c r="E47" s="71" t="s">
        <v>87</v>
      </c>
      <c r="I47" s="85">
        <f>I45+I46</f>
        <v>16139482082.923981</v>
      </c>
      <c r="J47" s="85"/>
    </row>
    <row r="49" spans="2:10" x14ac:dyDescent="0.25">
      <c r="B49" s="86" t="s">
        <v>88</v>
      </c>
      <c r="C49" s="87">
        <f>C45/C47</f>
        <v>0.6645658277324813</v>
      </c>
      <c r="E49" s="86" t="s">
        <v>88</v>
      </c>
      <c r="I49" s="87">
        <f>I45/I47</f>
        <v>0.7171075059657015</v>
      </c>
      <c r="J49" s="87"/>
    </row>
    <row r="50" spans="2:10" x14ac:dyDescent="0.25">
      <c r="B50" s="86" t="s">
        <v>89</v>
      </c>
      <c r="C50" s="87">
        <f>1-C49</f>
        <v>0.3354341722675187</v>
      </c>
      <c r="E50" s="86" t="s">
        <v>90</v>
      </c>
      <c r="G50" s="88"/>
      <c r="I50" s="89">
        <f>1-I49</f>
        <v>0.2828924940342985</v>
      </c>
      <c r="J50" s="89"/>
    </row>
    <row r="51" spans="2:10" x14ac:dyDescent="0.25">
      <c r="B51" s="86" t="s">
        <v>91</v>
      </c>
      <c r="C51" s="90">
        <f>C47/I16</f>
        <v>4.9204956814261758</v>
      </c>
      <c r="E51" s="50" t="s">
        <v>92</v>
      </c>
      <c r="I51" s="217">
        <f>(H4-I38/I44)/(1+I38/I44)</f>
        <v>0.1186685458673214</v>
      </c>
      <c r="J51" s="91"/>
    </row>
    <row r="52" spans="2:10" x14ac:dyDescent="0.25">
      <c r="B52" s="86"/>
      <c r="C52" s="66"/>
      <c r="D52" s="90"/>
      <c r="I52" s="91"/>
      <c r="J52" s="91"/>
    </row>
    <row r="53" spans="2:10" x14ac:dyDescent="0.25">
      <c r="B53" s="61" t="s">
        <v>93</v>
      </c>
      <c r="C53" s="62"/>
      <c r="E53" s="61" t="s">
        <v>30</v>
      </c>
      <c r="F53" s="62"/>
      <c r="G53" s="61"/>
      <c r="H53" s="62"/>
      <c r="I53" s="62"/>
    </row>
    <row r="54" spans="2:10" x14ac:dyDescent="0.25">
      <c r="B54" s="50" t="s">
        <v>94</v>
      </c>
      <c r="C54" s="190" t="s">
        <v>178</v>
      </c>
    </row>
    <row r="55" spans="2:10" x14ac:dyDescent="0.25">
      <c r="B55" s="92" t="s">
        <v>95</v>
      </c>
      <c r="C55" s="57" t="s">
        <v>179</v>
      </c>
      <c r="G55" s="93" t="s">
        <v>94</v>
      </c>
      <c r="H55" s="94" t="s">
        <v>96</v>
      </c>
      <c r="I55" s="94" t="s">
        <v>97</v>
      </c>
    </row>
    <row r="56" spans="2:10" x14ac:dyDescent="0.25">
      <c r="B56" s="95" t="s">
        <v>98</v>
      </c>
      <c r="C56" s="96"/>
      <c r="E56" s="50" t="s">
        <v>99</v>
      </c>
      <c r="G56" s="191" t="s">
        <v>178</v>
      </c>
      <c r="H56" s="57" t="s">
        <v>179</v>
      </c>
      <c r="I56" s="188">
        <v>1134000000</v>
      </c>
      <c r="J56" s="97"/>
    </row>
    <row r="57" spans="2:10" x14ac:dyDescent="0.25">
      <c r="B57" s="70" t="s">
        <v>100</v>
      </c>
      <c r="C57" s="99">
        <f>FSM!F75+FSM!F76+FSM!F77+FSM!F85+FSM!F86</f>
        <v>3219770683</v>
      </c>
      <c r="E57" s="92" t="s">
        <v>101</v>
      </c>
      <c r="G57" s="191"/>
      <c r="H57" s="57"/>
      <c r="I57" s="188"/>
      <c r="J57" s="98"/>
    </row>
    <row r="58" spans="2:10" x14ac:dyDescent="0.25">
      <c r="B58" s="70" t="s">
        <v>102</v>
      </c>
      <c r="C58" s="184"/>
      <c r="E58" s="92" t="s">
        <v>103</v>
      </c>
      <c r="G58" s="57"/>
      <c r="H58" s="57"/>
      <c r="I58" s="184"/>
    </row>
    <row r="59" spans="2:10" ht="15" customHeight="1" x14ac:dyDescent="0.25">
      <c r="B59" s="70" t="s">
        <v>104</v>
      </c>
      <c r="C59" s="184"/>
      <c r="E59" s="50" t="s">
        <v>102</v>
      </c>
      <c r="G59" s="57"/>
      <c r="H59" s="57"/>
      <c r="I59" s="184"/>
    </row>
    <row r="60" spans="2:10" x14ac:dyDescent="0.25">
      <c r="B60" s="100" t="s">
        <v>105</v>
      </c>
      <c r="C60" s="99"/>
      <c r="E60" s="50" t="s">
        <v>106</v>
      </c>
      <c r="G60" s="57"/>
      <c r="H60" s="57"/>
      <c r="I60" s="184"/>
    </row>
    <row r="61" spans="2:10" ht="15" customHeight="1" x14ac:dyDescent="0.25">
      <c r="B61" s="95" t="s">
        <v>107</v>
      </c>
      <c r="C61" s="99"/>
      <c r="E61" s="101" t="s">
        <v>108</v>
      </c>
      <c r="I61" s="189">
        <f>SUM(I56:I60)</f>
        <v>1134000000</v>
      </c>
      <c r="J61" s="102"/>
    </row>
    <row r="62" spans="2:10" x14ac:dyDescent="0.25">
      <c r="B62" s="103" t="s">
        <v>109</v>
      </c>
      <c r="C62" s="99">
        <f>FSM!F59</f>
        <v>2696930971</v>
      </c>
      <c r="J62" s="104"/>
    </row>
    <row r="63" spans="2:10" x14ac:dyDescent="0.25">
      <c r="B63" s="103" t="s">
        <v>110</v>
      </c>
      <c r="C63" s="99">
        <f>FSM!F67</f>
        <v>2711790626</v>
      </c>
      <c r="J63" s="104"/>
    </row>
    <row r="64" spans="2:10" x14ac:dyDescent="0.25">
      <c r="B64" s="103" t="s">
        <v>172</v>
      </c>
      <c r="C64" s="99">
        <f>FSM!F58</f>
        <v>185565012</v>
      </c>
      <c r="J64" s="105"/>
    </row>
    <row r="65" spans="2:6" x14ac:dyDescent="0.25">
      <c r="B65" s="106" t="s">
        <v>93</v>
      </c>
      <c r="C65" s="13">
        <f>SUM(C57:C60)-SUM(C62:C64)</f>
        <v>-2374515926</v>
      </c>
    </row>
    <row r="67" spans="2:6" x14ac:dyDescent="0.25">
      <c r="B67" s="61" t="s">
        <v>111</v>
      </c>
      <c r="C67" s="62"/>
      <c r="D67" s="62"/>
    </row>
    <row r="68" spans="2:6" ht="17.25" x14ac:dyDescent="0.4">
      <c r="C68" s="107" t="s">
        <v>112</v>
      </c>
      <c r="D68" s="107" t="s">
        <v>24</v>
      </c>
    </row>
    <row r="69" spans="2:6" x14ac:dyDescent="0.25">
      <c r="B69" s="50" t="s">
        <v>113</v>
      </c>
      <c r="C69" s="108">
        <f>C47</f>
        <v>13611428758.125834</v>
      </c>
      <c r="D69" s="108">
        <f>I47</f>
        <v>16139482082.923981</v>
      </c>
    </row>
    <row r="70" spans="2:6" x14ac:dyDescent="0.25">
      <c r="B70" s="50" t="s">
        <v>93</v>
      </c>
      <c r="C70" s="109">
        <f>$C$65</f>
        <v>-2374515926</v>
      </c>
      <c r="D70" s="109">
        <f t="shared" ref="D70" si="12">$C$65</f>
        <v>-2374515926</v>
      </c>
    </row>
    <row r="71" spans="2:6" x14ac:dyDescent="0.25">
      <c r="B71" s="50" t="s">
        <v>114</v>
      </c>
      <c r="C71" s="110">
        <f>C69-C70</f>
        <v>15985944684.125834</v>
      </c>
      <c r="D71" s="110">
        <f t="shared" ref="D71" si="13">D69-D70</f>
        <v>18513998008.923981</v>
      </c>
    </row>
    <row r="72" spans="2:6" x14ac:dyDescent="0.25">
      <c r="B72" s="50" t="s">
        <v>30</v>
      </c>
      <c r="C72" s="213">
        <f>$I$61</f>
        <v>1134000000</v>
      </c>
      <c r="D72" s="213">
        <f t="shared" ref="D72" si="14">$I$61</f>
        <v>1134000000</v>
      </c>
    </row>
    <row r="73" spans="2:6" x14ac:dyDescent="0.25">
      <c r="B73" s="71" t="s">
        <v>115</v>
      </c>
      <c r="C73" s="254">
        <f>C71/C72</f>
        <v>14.096952984237948</v>
      </c>
      <c r="D73" s="254">
        <f t="shared" ref="D73" si="15">D71/D72</f>
        <v>16.326276903813035</v>
      </c>
    </row>
    <row r="75" spans="2:6" ht="17.25" x14ac:dyDescent="0.4">
      <c r="C75" s="64" t="s">
        <v>116</v>
      </c>
      <c r="D75" s="64"/>
    </row>
    <row r="76" spans="2:6" x14ac:dyDescent="0.25">
      <c r="B76" s="93"/>
      <c r="C76" s="94" t="s">
        <v>112</v>
      </c>
      <c r="D76" s="94" t="s">
        <v>24</v>
      </c>
    </row>
    <row r="77" spans="2:6" x14ac:dyDescent="0.25">
      <c r="B77" s="50" t="s">
        <v>117</v>
      </c>
      <c r="C77" s="236">
        <f>C69/$C$14</f>
        <v>0.92546079589384889</v>
      </c>
      <c r="D77" s="236">
        <f>D69/$C$14</f>
        <v>1.0973468104779585</v>
      </c>
    </row>
    <row r="78" spans="2:6" x14ac:dyDescent="0.25">
      <c r="B78" s="50" t="s">
        <v>118</v>
      </c>
      <c r="C78" s="237">
        <f>C69/$C$16</f>
        <v>9.7817025779260653</v>
      </c>
      <c r="D78" s="237">
        <f>D69/$C$16</f>
        <v>11.598460110418747</v>
      </c>
    </row>
    <row r="79" spans="2:6" x14ac:dyDescent="0.25">
      <c r="B79" s="68" t="s">
        <v>119</v>
      </c>
      <c r="C79" s="237">
        <f>C69/$C$18</f>
        <v>10.352825851642706</v>
      </c>
      <c r="D79" s="237">
        <f>D69/$C$18</f>
        <v>12.275658221439075</v>
      </c>
    </row>
    <row r="80" spans="2:6" ht="17.25" x14ac:dyDescent="0.4">
      <c r="B80" s="68"/>
      <c r="C80" s="64" t="s">
        <v>120</v>
      </c>
      <c r="D80" s="64"/>
      <c r="E80" s="111"/>
      <c r="F80" s="111"/>
    </row>
    <row r="81" spans="2:17" x14ac:dyDescent="0.25">
      <c r="B81" s="93"/>
      <c r="C81" s="94" t="s">
        <v>112</v>
      </c>
      <c r="D81" s="94" t="s">
        <v>24</v>
      </c>
      <c r="E81" s="111"/>
      <c r="F81" s="111"/>
    </row>
    <row r="82" spans="2:17" x14ac:dyDescent="0.25">
      <c r="B82" s="50" t="s">
        <v>117</v>
      </c>
      <c r="C82" s="236">
        <f>C69/$E$14</f>
        <v>0.90840759836240814</v>
      </c>
      <c r="D82" s="236">
        <f>D69/$E$14</f>
        <v>1.0771263192344551</v>
      </c>
      <c r="E82" s="111"/>
      <c r="F82" s="111"/>
    </row>
    <row r="83" spans="2:17" x14ac:dyDescent="0.25">
      <c r="B83" s="50" t="s">
        <v>118</v>
      </c>
      <c r="C83" s="237">
        <f>C69/$E$16</f>
        <v>6.5589120730137314</v>
      </c>
      <c r="D83" s="237">
        <f>D69/$E$16</f>
        <v>7.7771000948510629</v>
      </c>
      <c r="E83" s="111"/>
      <c r="F83" s="111"/>
    </row>
    <row r="84" spans="2:17" x14ac:dyDescent="0.25">
      <c r="B84" s="68" t="s">
        <v>119</v>
      </c>
      <c r="C84" s="237">
        <f>C69/$E$18</f>
        <v>6.8009485119680226</v>
      </c>
      <c r="D84" s="237">
        <f>D69/$E$18</f>
        <v>8.0640900089396546</v>
      </c>
      <c r="E84" s="111"/>
      <c r="F84" s="111"/>
    </row>
    <row r="86" spans="2:17" x14ac:dyDescent="0.25">
      <c r="B86" s="61" t="s">
        <v>121</v>
      </c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</row>
    <row r="87" spans="2:17" x14ac:dyDescent="0.25">
      <c r="B87" s="71"/>
    </row>
    <row r="88" spans="2:17" ht="17.25" customHeight="1" x14ac:dyDescent="0.4">
      <c r="B88" s="112"/>
      <c r="C88" s="71"/>
      <c r="D88" s="113" t="s">
        <v>115</v>
      </c>
      <c r="E88" s="64"/>
      <c r="F88" s="64"/>
      <c r="G88" s="64"/>
      <c r="H88" s="64"/>
      <c r="I88" s="64"/>
      <c r="J88" s="114"/>
      <c r="L88" s="113" t="s">
        <v>122</v>
      </c>
      <c r="M88" s="64"/>
      <c r="N88" s="64"/>
      <c r="O88" s="64"/>
      <c r="P88" s="64"/>
      <c r="Q88" s="64"/>
    </row>
    <row r="89" spans="2:17" ht="15" customHeight="1" x14ac:dyDescent="0.25">
      <c r="B89" s="112"/>
      <c r="D89" s="92"/>
      <c r="E89" s="115" t="s">
        <v>123</v>
      </c>
      <c r="F89" s="115"/>
      <c r="G89" s="115"/>
      <c r="H89" s="115"/>
      <c r="I89" s="115"/>
      <c r="J89" s="116"/>
      <c r="L89" s="115" t="s">
        <v>123</v>
      </c>
      <c r="M89" s="115"/>
      <c r="N89" s="115"/>
      <c r="O89" s="115"/>
      <c r="P89" s="115"/>
      <c r="Q89" s="115"/>
    </row>
    <row r="90" spans="2:17" ht="15" customHeight="1" x14ac:dyDescent="0.25">
      <c r="B90" s="112"/>
      <c r="C90" s="117"/>
      <c r="D90" s="159">
        <f>C73</f>
        <v>14.096952984237948</v>
      </c>
      <c r="E90" s="194">
        <f>F90-0.005</f>
        <v>0.09</v>
      </c>
      <c r="F90" s="195">
        <f>G90-0.005</f>
        <v>9.5000000000000001E-2</v>
      </c>
      <c r="G90" s="118">
        <f>$C$42</f>
        <v>0.1</v>
      </c>
      <c r="H90" s="195">
        <f>G90+0.005</f>
        <v>0.10500000000000001</v>
      </c>
      <c r="I90" s="218">
        <f>H90+0.005</f>
        <v>0.11000000000000001</v>
      </c>
      <c r="K90" s="122"/>
      <c r="L90" s="119">
        <f>C78</f>
        <v>9.7817025779260653</v>
      </c>
      <c r="M90" s="194">
        <f>N90-0.005</f>
        <v>0.09</v>
      </c>
      <c r="N90" s="195">
        <f>O90-0.005</f>
        <v>9.5000000000000001E-2</v>
      </c>
      <c r="O90" s="118">
        <f>$C$42</f>
        <v>0.1</v>
      </c>
      <c r="P90" s="195">
        <f>O90+0.005</f>
        <v>0.10500000000000001</v>
      </c>
      <c r="Q90" s="218">
        <f>P90+0.005</f>
        <v>0.11000000000000001</v>
      </c>
    </row>
    <row r="91" spans="2:17" ht="15" customHeight="1" x14ac:dyDescent="0.25">
      <c r="B91" s="112"/>
      <c r="D91" s="192">
        <f>D92+0.01</f>
        <v>0.21099252845010469</v>
      </c>
      <c r="E91" s="120">
        <f t="dataTable" ref="E91:I95" dt2D="1" dtr="1" r1="C42" r2="H4" ca="1"/>
        <v>11.559878109408059</v>
      </c>
      <c r="F91" s="120">
        <v>11.314627950228195</v>
      </c>
      <c r="G91" s="120">
        <v>11.314627950228195</v>
      </c>
      <c r="H91" s="120">
        <v>11.559878109408059</v>
      </c>
      <c r="I91" s="120">
        <v>12.116666716521417</v>
      </c>
      <c r="J91" s="121"/>
      <c r="L91" s="192">
        <f>L92+0.01</f>
        <v>0.21099252845010469</v>
      </c>
      <c r="M91" s="122">
        <f t="dataTable" ref="M91:Q95" dt2D="1" dtr="1" r1="C42" r2="H4" ca="1"/>
        <v>7.7141475452668109</v>
      </c>
      <c r="N91" s="122">
        <v>7.5142842279073614</v>
      </c>
      <c r="O91" s="122">
        <v>7.5142842279073614</v>
      </c>
      <c r="P91" s="122">
        <v>7.7141475452668109</v>
      </c>
      <c r="Q91" s="122">
        <v>8.1678949289902594</v>
      </c>
    </row>
    <row r="92" spans="2:17" ht="15" customHeight="1" x14ac:dyDescent="0.25">
      <c r="B92" s="112"/>
      <c r="D92" s="192">
        <f>D93+0.01</f>
        <v>0.20099252845010468</v>
      </c>
      <c r="E92" s="120">
        <v>12.32529850364824</v>
      </c>
      <c r="F92" s="120">
        <v>12.027619668227269</v>
      </c>
      <c r="G92" s="120">
        <v>12.027619668227269</v>
      </c>
      <c r="H92" s="120">
        <v>12.32529850364824</v>
      </c>
      <c r="I92" s="120">
        <v>13.009082171934548</v>
      </c>
      <c r="J92" s="121"/>
      <c r="L92" s="192">
        <f>L93+0.01</f>
        <v>0.20099252845010468</v>
      </c>
      <c r="M92" s="122">
        <v>8.337916596748757</v>
      </c>
      <c r="N92" s="122">
        <v>8.0953272351194343</v>
      </c>
      <c r="O92" s="122">
        <v>8.0953272351194343</v>
      </c>
      <c r="P92" s="122">
        <v>8.337916596748757</v>
      </c>
      <c r="Q92" s="122">
        <v>8.8951568968444938</v>
      </c>
    </row>
    <row r="93" spans="2:17" ht="15" customHeight="1" x14ac:dyDescent="0.25">
      <c r="B93" s="112"/>
      <c r="C93" s="117" t="s">
        <v>124</v>
      </c>
      <c r="D93" s="123">
        <f>WACC!$E$21</f>
        <v>0.19099252845010467</v>
      </c>
      <c r="E93" s="120">
        <v>13.241776456306441</v>
      </c>
      <c r="F93" s="120">
        <v>12.874700230814282</v>
      </c>
      <c r="G93" s="120">
        <v>12.874700230814282</v>
      </c>
      <c r="H93" s="120">
        <v>13.241776456306441</v>
      </c>
      <c r="I93" s="120">
        <v>14.096952984237948</v>
      </c>
      <c r="J93" s="121"/>
      <c r="K93" s="117" t="s">
        <v>124</v>
      </c>
      <c r="L93" s="123">
        <f>WACC!$E$21</f>
        <v>0.19099252845010467</v>
      </c>
      <c r="M93" s="122">
        <v>9.084787972969675</v>
      </c>
      <c r="N93" s="122">
        <v>8.7856441420503124</v>
      </c>
      <c r="O93" s="122">
        <v>8.7856441420503124</v>
      </c>
      <c r="P93" s="122">
        <v>9.084787972969675</v>
      </c>
      <c r="Q93" s="122">
        <v>9.7817025779260653</v>
      </c>
    </row>
    <row r="94" spans="2:17" ht="15" customHeight="1" x14ac:dyDescent="0.25">
      <c r="B94" s="112"/>
      <c r="D94" s="192">
        <f t="shared" ref="D94:D95" si="16">D93-0.01</f>
        <v>0.18099252845010466</v>
      </c>
      <c r="E94" s="120">
        <v>14.359101644360823</v>
      </c>
      <c r="F94" s="120">
        <v>13.897764837821294</v>
      </c>
      <c r="G94" s="120">
        <v>13.897764837821294</v>
      </c>
      <c r="H94" s="120">
        <v>14.359101644360823</v>
      </c>
      <c r="I94" s="120">
        <v>15.452656503661403</v>
      </c>
      <c r="J94" s="121"/>
      <c r="L94" s="192">
        <f t="shared" ref="L94:L95" si="17">L93-0.01</f>
        <v>0.18099252845010466</v>
      </c>
      <c r="M94" s="122">
        <v>9.9953371012580874</v>
      </c>
      <c r="N94" s="122">
        <v>9.6193768780992386</v>
      </c>
      <c r="O94" s="122">
        <v>9.6193768780992386</v>
      </c>
      <c r="P94" s="122">
        <v>9.9953371012580874</v>
      </c>
      <c r="Q94" s="122">
        <v>10.886514919960616</v>
      </c>
    </row>
    <row r="95" spans="2:17" ht="15" customHeight="1" x14ac:dyDescent="0.25">
      <c r="B95" s="124" t="s">
        <v>125</v>
      </c>
      <c r="D95" s="193">
        <f t="shared" si="16"/>
        <v>0.17099252845010465</v>
      </c>
      <c r="E95" s="120">
        <v>15.751652915622039</v>
      </c>
      <c r="F95" s="120">
        <v>15.158196073891446</v>
      </c>
      <c r="G95" s="120">
        <v>15.158196073891446</v>
      </c>
      <c r="H95" s="120">
        <v>15.751652915622039</v>
      </c>
      <c r="I95" s="120">
        <v>17.189349401733089</v>
      </c>
      <c r="J95" s="121"/>
      <c r="L95" s="193">
        <f t="shared" si="17"/>
        <v>0.17099252845010465</v>
      </c>
      <c r="M95" s="122">
        <v>11.130178022862822</v>
      </c>
      <c r="N95" s="122">
        <v>10.646548354712637</v>
      </c>
      <c r="O95" s="122">
        <v>10.646548354712637</v>
      </c>
      <c r="P95" s="122">
        <v>11.130178022862822</v>
      </c>
      <c r="Q95" s="122">
        <v>12.301809429876277</v>
      </c>
    </row>
    <row r="96" spans="2:17" ht="15" customHeight="1" x14ac:dyDescent="0.25">
      <c r="B96" s="124" t="s">
        <v>126</v>
      </c>
      <c r="E96" s="125"/>
      <c r="F96" s="125"/>
      <c r="G96" s="125"/>
      <c r="H96" s="125"/>
      <c r="I96" s="125"/>
      <c r="J96" s="125"/>
    </row>
    <row r="97" spans="2:17" ht="17.25" customHeight="1" x14ac:dyDescent="0.4">
      <c r="B97" s="112"/>
      <c r="D97" s="113" t="s">
        <v>115</v>
      </c>
      <c r="E97" s="64"/>
      <c r="F97" s="64"/>
      <c r="G97" s="64"/>
      <c r="H97" s="64"/>
      <c r="I97" s="64"/>
      <c r="J97" s="114"/>
      <c r="L97" s="113" t="s">
        <v>122</v>
      </c>
      <c r="M97" s="64"/>
      <c r="N97" s="64"/>
      <c r="O97" s="64"/>
      <c r="P97" s="64"/>
      <c r="Q97" s="64"/>
    </row>
    <row r="98" spans="2:17" ht="15" customHeight="1" x14ac:dyDescent="0.25">
      <c r="B98" s="112"/>
      <c r="E98" s="115" t="s">
        <v>127</v>
      </c>
      <c r="F98" s="115"/>
      <c r="G98" s="115"/>
      <c r="H98" s="115"/>
      <c r="I98" s="115"/>
      <c r="J98" s="116"/>
      <c r="M98" s="115" t="s">
        <v>127</v>
      </c>
      <c r="N98" s="115"/>
      <c r="O98" s="115"/>
      <c r="P98" s="115"/>
      <c r="Q98" s="115"/>
    </row>
    <row r="99" spans="2:17" ht="15" customHeight="1" x14ac:dyDescent="0.25">
      <c r="B99" s="112"/>
      <c r="D99" s="160">
        <f>D73</f>
        <v>16.326276903813035</v>
      </c>
      <c r="E99" s="161">
        <f>+F99-0.5</f>
        <v>7.4</v>
      </c>
      <c r="F99" s="161">
        <f>+G99-0.5</f>
        <v>7.9</v>
      </c>
      <c r="G99" s="126">
        <f>$I$43</f>
        <v>8.4</v>
      </c>
      <c r="H99" s="161">
        <f>+G99+0.5</f>
        <v>8.9</v>
      </c>
      <c r="I99" s="220">
        <f>+H99+0.5</f>
        <v>9.4</v>
      </c>
      <c r="J99" s="219"/>
      <c r="L99" s="119">
        <f>D78</f>
        <v>11.598460110418747</v>
      </c>
      <c r="M99" s="161">
        <f>+N99-0.5</f>
        <v>7.4</v>
      </c>
      <c r="N99" s="161">
        <f>+O99-0.5</f>
        <v>7.9</v>
      </c>
      <c r="O99" s="126">
        <f>$I$43</f>
        <v>8.4</v>
      </c>
      <c r="P99" s="161">
        <f>+O99+0.5</f>
        <v>8.9</v>
      </c>
      <c r="Q99" s="220">
        <f>+P99+0.5</f>
        <v>9.4</v>
      </c>
    </row>
    <row r="100" spans="2:17" ht="15" customHeight="1" x14ac:dyDescent="0.25">
      <c r="B100" s="112"/>
      <c r="D100" s="192">
        <f>D101+0.01</f>
        <v>0.21099252845010469</v>
      </c>
      <c r="E100" s="120">
        <f t="dataTable" ref="E100:I104" dt2D="1" dtr="1" r1="I43" r2="H4" ca="1"/>
        <v>14.410812256169216</v>
      </c>
      <c r="F100" s="120">
        <v>13.842337758794288</v>
      </c>
      <c r="G100" s="120">
        <v>13.842337758794288</v>
      </c>
      <c r="H100" s="120">
        <v>14.410812256169216</v>
      </c>
      <c r="I100" s="120">
        <v>15.547761250919066</v>
      </c>
      <c r="J100" s="121"/>
      <c r="L100" s="192">
        <f>L101+0.01</f>
        <v>0.21099252845010469</v>
      </c>
      <c r="M100" s="122">
        <f t="dataTable" ref="M100:Q104" dt2D="1" dtr="1" r1="I43" r2="H4" ca="1"/>
        <v>10.037477968580143</v>
      </c>
      <c r="N100" s="122">
        <v>9.5742073258227922</v>
      </c>
      <c r="O100" s="122">
        <v>9.5742073258227922</v>
      </c>
      <c r="P100" s="122">
        <v>10.037477968580143</v>
      </c>
      <c r="Q100" s="122">
        <v>10.964019254094845</v>
      </c>
    </row>
    <row r="101" spans="2:17" ht="15" customHeight="1" x14ac:dyDescent="0.25">
      <c r="B101" s="112"/>
      <c r="D101" s="192">
        <f>D102+0.01</f>
        <v>0.20099252845010468</v>
      </c>
      <c r="E101" s="120">
        <v>14.754069535546472</v>
      </c>
      <c r="F101" s="120">
        <v>14.166483831701733</v>
      </c>
      <c r="G101" s="120">
        <v>14.166483831701733</v>
      </c>
      <c r="H101" s="120">
        <v>14.754069535546472</v>
      </c>
      <c r="I101" s="120">
        <v>15.929240943235952</v>
      </c>
      <c r="J101" s="121"/>
      <c r="L101" s="192">
        <f>L102+0.01</f>
        <v>0.20099252845010468</v>
      </c>
      <c r="M101" s="122">
        <v>10.317210869849349</v>
      </c>
      <c r="N101" s="122">
        <v>9.8383658065225212</v>
      </c>
      <c r="O101" s="122">
        <v>9.8383658065225212</v>
      </c>
      <c r="P101" s="122">
        <v>10.317210869849349</v>
      </c>
      <c r="Q101" s="122">
        <v>11.274900996503007</v>
      </c>
    </row>
    <row r="102" spans="2:17" ht="15" customHeight="1" x14ac:dyDescent="0.25">
      <c r="B102" s="112"/>
      <c r="C102" s="117" t="s">
        <v>124</v>
      </c>
      <c r="D102" s="123">
        <f>WACC!$E$21</f>
        <v>0.19099252845010467</v>
      </c>
      <c r="E102" s="120">
        <v>15.111262233444371</v>
      </c>
      <c r="F102" s="120">
        <v>14.503754898260039</v>
      </c>
      <c r="G102" s="120">
        <v>14.503754898260039</v>
      </c>
      <c r="H102" s="120">
        <v>15.111262233444371</v>
      </c>
      <c r="I102" s="120">
        <v>16.326276903813035</v>
      </c>
      <c r="J102" s="121"/>
      <c r="K102" s="117" t="s">
        <v>124</v>
      </c>
      <c r="L102" s="123">
        <f>WACC!$E$21</f>
        <v>0.19099252845010467</v>
      </c>
      <c r="M102" s="122">
        <v>10.608300252939573</v>
      </c>
      <c r="N102" s="122">
        <v>10.113220324199986</v>
      </c>
      <c r="O102" s="122">
        <v>10.113220324199986</v>
      </c>
      <c r="P102" s="122">
        <v>10.608300252939573</v>
      </c>
      <c r="Q102" s="122">
        <v>11.598460110418747</v>
      </c>
    </row>
    <row r="103" spans="2:17" ht="15" customHeight="1" x14ac:dyDescent="0.25">
      <c r="B103" s="112"/>
      <c r="D103" s="192">
        <f t="shared" ref="D103:D104" si="18">D102-0.01</f>
        <v>0.18099252845010466</v>
      </c>
      <c r="E103" s="120">
        <v>15.483091168284176</v>
      </c>
      <c r="F103" s="120">
        <v>14.854810166882253</v>
      </c>
      <c r="G103" s="120">
        <v>14.854810166882253</v>
      </c>
      <c r="H103" s="120">
        <v>15.483091168284176</v>
      </c>
      <c r="I103" s="120">
        <v>16.739653171088023</v>
      </c>
      <c r="J103" s="121"/>
      <c r="L103" s="192">
        <f t="shared" ref="L103:L104" si="19">L102-0.01</f>
        <v>0.18099252845010466</v>
      </c>
      <c r="M103" s="122">
        <v>10.911317240393645</v>
      </c>
      <c r="N103" s="122">
        <v>10.399308091881682</v>
      </c>
      <c r="O103" s="122">
        <v>10.399308091881682</v>
      </c>
      <c r="P103" s="122">
        <v>10.911317240393645</v>
      </c>
      <c r="Q103" s="122">
        <v>11.935335537417567</v>
      </c>
    </row>
    <row r="104" spans="2:17" ht="15" customHeight="1" x14ac:dyDescent="0.25">
      <c r="B104" s="112"/>
      <c r="D104" s="193">
        <f t="shared" si="18"/>
        <v>0.17099252845010465</v>
      </c>
      <c r="E104" s="120">
        <v>15.870298999765009</v>
      </c>
      <c r="F104" s="120">
        <v>15.220348172540938</v>
      </c>
      <c r="G104" s="120">
        <v>15.220348172540938</v>
      </c>
      <c r="H104" s="120">
        <v>15.870298999765009</v>
      </c>
      <c r="I104" s="120">
        <v>17.170200654213147</v>
      </c>
      <c r="J104" s="121"/>
      <c r="L104" s="193">
        <f t="shared" si="19"/>
        <v>0.17099252845010465</v>
      </c>
      <c r="M104" s="122">
        <v>11.226867052740808</v>
      </c>
      <c r="N104" s="122">
        <v>10.697198371244649</v>
      </c>
      <c r="O104" s="122">
        <v>10.697198371244649</v>
      </c>
      <c r="P104" s="122">
        <v>11.226867052740808</v>
      </c>
      <c r="Q104" s="122">
        <v>12.286204415733117</v>
      </c>
    </row>
    <row r="105" spans="2:17" x14ac:dyDescent="0.25">
      <c r="J105" s="127"/>
    </row>
    <row r="106" spans="2:17" x14ac:dyDescent="0.25">
      <c r="B106" s="128" t="s">
        <v>128</v>
      </c>
      <c r="C106" s="128"/>
      <c r="D106" s="128"/>
      <c r="E106" s="128"/>
      <c r="G106" s="128" t="s">
        <v>129</v>
      </c>
      <c r="H106" s="128"/>
      <c r="I106" s="128"/>
      <c r="J106" s="129"/>
      <c r="K106" s="128"/>
      <c r="L106" s="128"/>
      <c r="M106" s="128"/>
      <c r="N106" s="128"/>
      <c r="O106" s="128"/>
      <c r="P106" s="128"/>
    </row>
    <row r="107" spans="2:17" x14ac:dyDescent="0.25">
      <c r="J107" s="127"/>
    </row>
    <row r="108" spans="2:17" x14ac:dyDescent="0.25">
      <c r="J108" s="127"/>
    </row>
    <row r="109" spans="2:17" x14ac:dyDescent="0.25">
      <c r="J109" s="127"/>
    </row>
    <row r="110" spans="2:17" x14ac:dyDescent="0.25">
      <c r="J110" s="127"/>
    </row>
    <row r="111" spans="2:17" x14ac:dyDescent="0.25">
      <c r="J111" s="127"/>
    </row>
    <row r="112" spans="2:17" x14ac:dyDescent="0.25">
      <c r="J112" s="127"/>
    </row>
    <row r="113" spans="2:17" x14ac:dyDescent="0.25">
      <c r="J113" s="127"/>
    </row>
    <row r="114" spans="2:17" x14ac:dyDescent="0.25">
      <c r="J114" s="127"/>
    </row>
    <row r="115" spans="2:17" x14ac:dyDescent="0.25">
      <c r="J115" s="127"/>
    </row>
    <row r="116" spans="2:17" x14ac:dyDescent="0.25">
      <c r="J116" s="127"/>
    </row>
    <row r="117" spans="2:17" x14ac:dyDescent="0.25">
      <c r="J117" s="127"/>
    </row>
    <row r="118" spans="2:17" x14ac:dyDescent="0.25">
      <c r="J118" s="127"/>
    </row>
    <row r="119" spans="2:17" x14ac:dyDescent="0.25">
      <c r="J119" s="127"/>
    </row>
    <row r="120" spans="2:17" x14ac:dyDescent="0.25">
      <c r="J120" s="127"/>
      <c r="M120" s="130"/>
    </row>
    <row r="121" spans="2:17" x14ac:dyDescent="0.25">
      <c r="J121" s="127"/>
    </row>
    <row r="122" spans="2:17" x14ac:dyDescent="0.25">
      <c r="J122" s="127"/>
    </row>
    <row r="123" spans="2:17" x14ac:dyDescent="0.25">
      <c r="J123" s="127"/>
    </row>
    <row r="124" spans="2:17" x14ac:dyDescent="0.25">
      <c r="J124" s="127"/>
    </row>
    <row r="125" spans="2:17" x14ac:dyDescent="0.25">
      <c r="J125" s="127"/>
    </row>
    <row r="126" spans="2:17" x14ac:dyDescent="0.25">
      <c r="J126" s="127"/>
    </row>
    <row r="127" spans="2:17" x14ac:dyDescent="0.25">
      <c r="B127" s="131"/>
      <c r="C127" s="132" t="s">
        <v>130</v>
      </c>
      <c r="D127" s="132" t="s">
        <v>131</v>
      </c>
      <c r="E127" s="133" t="s">
        <v>132</v>
      </c>
      <c r="G127" s="131"/>
      <c r="H127" s="134"/>
      <c r="I127" s="134"/>
      <c r="J127" s="135"/>
      <c r="K127" s="134"/>
      <c r="L127" s="134"/>
      <c r="M127" s="134"/>
      <c r="N127" s="134"/>
      <c r="O127" s="132" t="s">
        <v>130</v>
      </c>
      <c r="P127" s="132" t="s">
        <v>131</v>
      </c>
      <c r="Q127" s="133" t="s">
        <v>132</v>
      </c>
    </row>
    <row r="128" spans="2:17" x14ac:dyDescent="0.25">
      <c r="B128" s="162" t="str">
        <f>"DCF Value at "&amp;TEXT(E99,"0.0x")&amp;"-"&amp;TEXT(I99,"0.0x")&amp;" Exit EBITDA Range at "&amp;TEXT(D102,"0.0%")&amp;" WACC"</f>
        <v>DCF Value at 7.4x-9.4x Exit EBITDA Range at 19.1% WACC</v>
      </c>
      <c r="C128" s="163">
        <f>E102</f>
        <v>15.111262233444371</v>
      </c>
      <c r="D128" s="163">
        <f>E128-C128</f>
        <v>1.2150146703686637</v>
      </c>
      <c r="E128" s="164">
        <f>I102</f>
        <v>16.326276903813035</v>
      </c>
      <c r="G128" s="162" t="str">
        <f>"LTM EBITDA Purchase Multiple at "&amp;TEXT(M90,"0.0%")&amp;"-"&amp;TEXT(Q90,"0.0%")&amp;" Perpetuity Growth at "&amp;TEXT(L93,"0.0%")&amp;" WACC"</f>
        <v>LTM EBITDA Purchase Multiple at 9.0%-11.0% Perpetuity Growth at 19.1% WACC</v>
      </c>
      <c r="H128"/>
      <c r="I128"/>
      <c r="J128" s="170"/>
      <c r="K128"/>
      <c r="L128"/>
      <c r="M128"/>
      <c r="N128"/>
      <c r="O128" s="171">
        <f>M93</f>
        <v>9.084787972969675</v>
      </c>
      <c r="P128" s="171">
        <f>Q128-O128</f>
        <v>0.69691460495639035</v>
      </c>
      <c r="Q128" s="172">
        <f>Q93</f>
        <v>9.7817025779260653</v>
      </c>
    </row>
    <row r="129" spans="2:17" x14ac:dyDescent="0.25">
      <c r="B129" s="165" t="str">
        <f>"DCF Value at "&amp;TEXT(E90,"0.0%")&amp;"-"&amp;TEXT(I90,"0.0%")&amp;" Perpetuity Range at "&amp;TEXT(D102,"0.0%")&amp;" WACC"</f>
        <v>DCF Value at 9.0%-11.0% Perpetuity Range at 19.1% WACC</v>
      </c>
      <c r="C129" s="163">
        <f>E93</f>
        <v>13.241776456306441</v>
      </c>
      <c r="D129" s="163">
        <f>E129-C129</f>
        <v>0.85517652793150667</v>
      </c>
      <c r="E129" s="164">
        <f>I93</f>
        <v>14.096952984237948</v>
      </c>
      <c r="G129" s="165" t="str">
        <f>"LTM EBITDA Purchase Multiple at "&amp;TEXT(M102,"0.0x")&amp;"-"&amp;TEXT(Q102,"0.0x")&amp;" Exit EBITDA Multiple at "&amp;TEXT(L102,"0.0%")&amp;" WACC"</f>
        <v>LTM EBITDA Purchase Multiple at 10.6x-11.6x Exit EBITDA Multiple at 19.1% WACC</v>
      </c>
      <c r="H129"/>
      <c r="I129"/>
      <c r="J129" s="170"/>
      <c r="K129"/>
      <c r="L129"/>
      <c r="M129"/>
      <c r="N129"/>
      <c r="O129" s="171">
        <f>M102</f>
        <v>10.608300252939573</v>
      </c>
      <c r="P129" s="171">
        <f>Q129-O129</f>
        <v>0.99015985747917412</v>
      </c>
      <c r="Q129" s="172">
        <f>Q102</f>
        <v>11.598460110418747</v>
      </c>
    </row>
    <row r="130" spans="2:17" x14ac:dyDescent="0.25">
      <c r="B130" s="166" t="s">
        <v>133</v>
      </c>
      <c r="C130" s="167">
        <v>14.2</v>
      </c>
      <c r="D130" s="168">
        <f>E130-C130</f>
        <v>5.740000000000002</v>
      </c>
      <c r="E130" s="169">
        <v>19.940000000000001</v>
      </c>
      <c r="G130" s="166" t="str">
        <f>"LTM EBITDA Purchase Multiple at "&amp;TEXT(L104,"0.0%")&amp;"-"&amp;TEXT(L100,"0.0%")&amp;" WACC at "&amp;TEXT(O99,"0.0x")&amp;" Exit EBITDA"</f>
        <v>LTM EBITDA Purchase Multiple at 17.1%-21.1% WACC at 8.4x Exit EBITDA</v>
      </c>
      <c r="H130" s="39"/>
      <c r="I130" s="39"/>
      <c r="J130" s="173"/>
      <c r="K130" s="39"/>
      <c r="L130" s="39"/>
      <c r="M130" s="39"/>
      <c r="N130" s="39"/>
      <c r="O130" s="168">
        <f>O100</f>
        <v>9.5742073258227922</v>
      </c>
      <c r="P130" s="168">
        <f>Q130-O130</f>
        <v>1.1229910454218572</v>
      </c>
      <c r="Q130" s="174">
        <f>O104</f>
        <v>10.697198371244649</v>
      </c>
    </row>
    <row r="131" spans="2:17" x14ac:dyDescent="0.25">
      <c r="J131" s="127"/>
    </row>
    <row r="132" spans="2:17" x14ac:dyDescent="0.25">
      <c r="J132" s="127"/>
    </row>
  </sheetData>
  <conditionalFormatting sqref="E91:J95 E100:J104">
    <cfRule type="cellIs" dxfId="1" priority="2" operator="lessThan">
      <formula>#REF!</formula>
    </cfRule>
  </conditionalFormatting>
  <dataValidations count="1">
    <dataValidation type="list" allowBlank="1" showInputMessage="1" showErrorMessage="1" sqref="H9" xr:uid="{CB45C56C-AFB1-4E43-A477-1FC1C59EBD22}">
      <formula1>"0,1"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4E94-4BEA-4BEC-A3D4-AE92824096F5}">
  <dimension ref="B1:I24"/>
  <sheetViews>
    <sheetView zoomScaleNormal="100" workbookViewId="0">
      <selection activeCell="D9" sqref="D9"/>
    </sheetView>
  </sheetViews>
  <sheetFormatPr defaultColWidth="9.140625" defaultRowHeight="15" x14ac:dyDescent="0.25"/>
  <cols>
    <col min="1" max="1" width="1.42578125" style="50" customWidth="1"/>
    <col min="2" max="2" width="50.28515625" style="50" customWidth="1"/>
    <col min="3" max="3" width="15.5703125" style="50" bestFit="1" customWidth="1"/>
    <col min="4" max="9" width="12.7109375" style="50" customWidth="1"/>
    <col min="10" max="10" width="1.7109375" style="50" customWidth="1"/>
    <col min="11" max="11" width="11" style="50" bestFit="1" customWidth="1"/>
    <col min="12" max="16" width="9.42578125" style="50" customWidth="1"/>
    <col min="17" max="16384" width="9.140625" style="50"/>
  </cols>
  <sheetData>
    <row r="1" spans="2:9" ht="15.75" thickBot="1" x14ac:dyDescent="0.3"/>
    <row r="2" spans="2:9" ht="15.75" thickBot="1" x14ac:dyDescent="0.3">
      <c r="B2" s="51" t="s">
        <v>134</v>
      </c>
      <c r="C2" s="52"/>
      <c r="D2" s="52"/>
      <c r="E2" s="52"/>
      <c r="F2" s="52"/>
      <c r="G2" s="52"/>
      <c r="H2" s="52"/>
      <c r="I2" s="52"/>
    </row>
    <row r="3" spans="2:9" x14ac:dyDescent="0.25">
      <c r="B3" s="53" t="str">
        <f>DCF!B3</f>
        <v>All amounts are shown in EGP, except per-share data, ratios, and shares outstanding</v>
      </c>
    </row>
    <row r="4" spans="2:9" ht="15" customHeight="1" x14ac:dyDescent="0.25">
      <c r="B4" s="137" t="s">
        <v>135</v>
      </c>
      <c r="C4" s="138"/>
      <c r="D4" s="138"/>
      <c r="E4" s="139"/>
      <c r="F4" s="140"/>
    </row>
    <row r="5" spans="2:9" x14ac:dyDescent="0.25">
      <c r="E5" s="93"/>
    </row>
    <row r="6" spans="2:9" ht="15" customHeight="1" x14ac:dyDescent="0.25">
      <c r="B6" s="50" t="s">
        <v>136</v>
      </c>
      <c r="C6" s="273">
        <f>-FSM!G214</f>
        <v>0.12139562992894512</v>
      </c>
    </row>
    <row r="7" spans="2:9" ht="15" customHeight="1" x14ac:dyDescent="0.25">
      <c r="B7" s="50" t="s">
        <v>26</v>
      </c>
      <c r="C7" s="264">
        <v>0.22500000000000001</v>
      </c>
    </row>
    <row r="8" spans="2:9" ht="15" customHeight="1" x14ac:dyDescent="0.25">
      <c r="B8" s="50" t="s">
        <v>137</v>
      </c>
      <c r="C8" s="143">
        <f>C6*(1-C7)</f>
        <v>9.4081613194932467E-2</v>
      </c>
    </row>
    <row r="10" spans="2:9" x14ac:dyDescent="0.25">
      <c r="B10" s="50" t="s">
        <v>138</v>
      </c>
      <c r="C10" s="277">
        <v>0.19691</v>
      </c>
      <c r="D10" s="243"/>
      <c r="E10" s="243"/>
    </row>
    <row r="11" spans="2:9" x14ac:dyDescent="0.25">
      <c r="B11" s="50" t="s">
        <v>139</v>
      </c>
      <c r="C11" s="156">
        <f>(2/3*-0.1)+1/3</f>
        <v>0.26666666666666666</v>
      </c>
    </row>
    <row r="12" spans="2:9" ht="15" customHeight="1" x14ac:dyDescent="0.25">
      <c r="B12" s="50" t="s">
        <v>140</v>
      </c>
      <c r="C12" s="144">
        <v>4.229999999999999E-2</v>
      </c>
      <c r="D12" s="1"/>
      <c r="E12" s="278"/>
    </row>
    <row r="13" spans="2:9" x14ac:dyDescent="0.25">
      <c r="B13" s="50" t="s">
        <v>141</v>
      </c>
      <c r="C13" s="145">
        <f>C10+C11*C12</f>
        <v>0.20818999999999999</v>
      </c>
      <c r="D13" s="265"/>
    </row>
    <row r="14" spans="2:9" x14ac:dyDescent="0.25">
      <c r="C14" s="146"/>
    </row>
    <row r="15" spans="2:9" x14ac:dyDescent="0.25">
      <c r="B15" s="141" t="s">
        <v>142</v>
      </c>
      <c r="C15" s="147"/>
      <c r="D15" s="147"/>
      <c r="E15" s="147"/>
    </row>
    <row r="16" spans="2:9" x14ac:dyDescent="0.25">
      <c r="B16" s="71"/>
      <c r="C16" s="117"/>
      <c r="D16" s="117" t="s">
        <v>143</v>
      </c>
    </row>
    <row r="17" spans="2:5" ht="17.25" x14ac:dyDescent="0.4">
      <c r="C17" s="148" t="s">
        <v>144</v>
      </c>
      <c r="D17" s="148" t="s">
        <v>145</v>
      </c>
      <c r="E17" s="148" t="s">
        <v>146</v>
      </c>
    </row>
    <row r="18" spans="2:5" x14ac:dyDescent="0.25">
      <c r="B18" s="50" t="s">
        <v>15</v>
      </c>
      <c r="C18" s="69">
        <f>DCF!I61*DCF!H5</f>
        <v>18144000000</v>
      </c>
      <c r="D18" s="149"/>
      <c r="E18" s="150">
        <f>C18/(C18+C19)</f>
        <v>0.84928827730012568</v>
      </c>
    </row>
    <row r="19" spans="2:5" x14ac:dyDescent="0.25">
      <c r="B19" s="50" t="s">
        <v>100</v>
      </c>
      <c r="C19" s="69">
        <f>DCF!C57</f>
        <v>3219770683</v>
      </c>
      <c r="D19" s="151"/>
      <c r="E19" s="150">
        <f>C19/(C19+C18)</f>
        <v>0.15071172269987429</v>
      </c>
    </row>
    <row r="21" spans="2:5" x14ac:dyDescent="0.25">
      <c r="B21" s="142" t="s">
        <v>147</v>
      </c>
      <c r="C21" s="152"/>
      <c r="D21" s="134"/>
      <c r="E21" s="153">
        <f>E18*C13+E19*C8</f>
        <v>0.19099252845010467</v>
      </c>
    </row>
    <row r="22" spans="2:5" x14ac:dyDescent="0.25">
      <c r="B22" s="70"/>
      <c r="C22" s="98"/>
    </row>
    <row r="23" spans="2:5" x14ac:dyDescent="0.25">
      <c r="B23" s="70"/>
      <c r="C23" s="98"/>
    </row>
    <row r="24" spans="2:5" x14ac:dyDescent="0.25">
      <c r="B24" s="70"/>
      <c r="C24" s="98"/>
    </row>
  </sheetData>
  <conditionalFormatting sqref="B22:C24">
    <cfRule type="expression" dxfId="0" priority="1">
      <formula>#REF!="Industry"</formula>
    </cfRule>
  </conditionalFormatting>
  <dataValidations count="1">
    <dataValidation type="list" allowBlank="1" showInputMessage="1" showErrorMessage="1" sqref="C11" xr:uid="{BA86EDE5-7159-4B66-829E-7171B4D698DF}">
      <formula1>"-0.10,=(2/3*-0.10)+1/3"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A2528-4CE8-4DC6-9EAF-7D5BAEA9729B}">
  <dimension ref="B1:H74"/>
  <sheetViews>
    <sheetView showGridLines="0" tabSelected="1" zoomScale="85" zoomScaleNormal="85" workbookViewId="0">
      <selection activeCell="E12" sqref="E12"/>
    </sheetView>
  </sheetViews>
  <sheetFormatPr defaultRowHeight="15" x14ac:dyDescent="0.25"/>
  <cols>
    <col min="1" max="1" width="2" style="5" customWidth="1"/>
    <col min="2" max="2" width="38" style="5" customWidth="1"/>
    <col min="3" max="6" width="16" style="5" customWidth="1"/>
    <col min="7" max="7" width="2" style="5" customWidth="1"/>
    <col min="8" max="8" width="46" style="5" customWidth="1"/>
    <col min="9" max="16384" width="9.140625" style="5"/>
  </cols>
  <sheetData>
    <row r="1" spans="2:8" ht="15.75" thickBot="1" x14ac:dyDescent="0.3"/>
    <row r="2" spans="2:8" s="281" customFormat="1" ht="15.75" customHeight="1" thickBot="1" x14ac:dyDescent="0.3">
      <c r="B2" s="279" t="s">
        <v>259</v>
      </c>
      <c r="C2" s="280"/>
    </row>
    <row r="3" spans="2:8" x14ac:dyDescent="0.25">
      <c r="B3" s="282"/>
    </row>
    <row r="4" spans="2:8" x14ac:dyDescent="0.25">
      <c r="B4" s="44" t="s">
        <v>260</v>
      </c>
      <c r="C4" s="299">
        <f>DCF!D7</f>
        <v>46210</v>
      </c>
      <c r="H4" s="282"/>
    </row>
    <row r="6" spans="2:8" x14ac:dyDescent="0.25">
      <c r="B6" s="284" t="s">
        <v>261</v>
      </c>
      <c r="C6" s="285"/>
      <c r="D6" s="285"/>
      <c r="E6" s="285"/>
      <c r="F6" s="285"/>
    </row>
    <row r="7" spans="2:8" x14ac:dyDescent="0.25">
      <c r="B7" s="34" t="s">
        <v>1</v>
      </c>
      <c r="C7" s="283" t="s">
        <v>248</v>
      </c>
      <c r="D7" s="283" t="s">
        <v>309</v>
      </c>
      <c r="E7" s="283" t="s">
        <v>308</v>
      </c>
      <c r="F7" s="283" t="s">
        <v>310</v>
      </c>
    </row>
    <row r="8" spans="2:8" x14ac:dyDescent="0.25">
      <c r="B8" s="34" t="s">
        <v>262</v>
      </c>
      <c r="C8" s="298" t="s">
        <v>306</v>
      </c>
      <c r="D8" s="298" t="s">
        <v>263</v>
      </c>
      <c r="E8" s="298" t="s">
        <v>307</v>
      </c>
      <c r="F8" s="298" t="s">
        <v>264</v>
      </c>
    </row>
    <row r="9" spans="2:8" x14ac:dyDescent="0.25">
      <c r="B9" s="34" t="s">
        <v>265</v>
      </c>
      <c r="C9" s="283" t="s">
        <v>266</v>
      </c>
      <c r="D9" s="283" t="s">
        <v>266</v>
      </c>
      <c r="E9" s="283" t="s">
        <v>266</v>
      </c>
      <c r="F9" s="283" t="s">
        <v>266</v>
      </c>
    </row>
    <row r="10" spans="2:8" x14ac:dyDescent="0.25">
      <c r="B10" s="34" t="s">
        <v>267</v>
      </c>
      <c r="C10" s="299">
        <v>46387</v>
      </c>
      <c r="D10" s="299">
        <v>46387</v>
      </c>
      <c r="E10" s="299">
        <v>46203</v>
      </c>
      <c r="F10" s="299">
        <v>46203</v>
      </c>
    </row>
    <row r="11" spans="2:8" x14ac:dyDescent="0.25">
      <c r="B11" s="34" t="s">
        <v>268</v>
      </c>
      <c r="C11" s="286">
        <f>FSM!D7</f>
        <v>16</v>
      </c>
      <c r="D11" s="287">
        <v>35.69</v>
      </c>
      <c r="E11" s="287">
        <v>12.66</v>
      </c>
      <c r="F11" s="287">
        <v>69.72</v>
      </c>
      <c r="H11" s="282"/>
    </row>
    <row r="12" spans="2:8" x14ac:dyDescent="0.25">
      <c r="B12" s="282" t="s">
        <v>269</v>
      </c>
      <c r="C12" s="300">
        <v>46210</v>
      </c>
      <c r="D12" s="300">
        <v>46210</v>
      </c>
      <c r="E12" s="300">
        <v>46210</v>
      </c>
      <c r="F12" s="300">
        <v>46210</v>
      </c>
    </row>
    <row r="14" spans="2:8" x14ac:dyDescent="0.25">
      <c r="B14" s="284" t="s">
        <v>314</v>
      </c>
      <c r="C14" s="285"/>
      <c r="D14" s="285"/>
      <c r="E14" s="285"/>
      <c r="F14" s="285"/>
    </row>
    <row r="15" spans="2:8" x14ac:dyDescent="0.25">
      <c r="B15" s="34" t="s">
        <v>270</v>
      </c>
      <c r="C15" s="289">
        <f>DCF!I56</f>
        <v>1134000000</v>
      </c>
      <c r="D15" s="290">
        <v>2868140263</v>
      </c>
      <c r="E15" s="290">
        <v>1986578999</v>
      </c>
      <c r="F15" s="290">
        <v>1261875720</v>
      </c>
    </row>
    <row r="16" spans="2:8" x14ac:dyDescent="0.25">
      <c r="B16" s="34" t="s">
        <v>271</v>
      </c>
      <c r="C16" s="290">
        <v>0</v>
      </c>
      <c r="D16" s="290">
        <v>0</v>
      </c>
      <c r="E16" s="290">
        <v>0</v>
      </c>
      <c r="F16" s="290">
        <v>0</v>
      </c>
      <c r="H16" s="282"/>
    </row>
    <row r="17" spans="2:6" x14ac:dyDescent="0.25">
      <c r="B17" s="44" t="s">
        <v>272</v>
      </c>
      <c r="C17" s="291">
        <f>+C15+C16</f>
        <v>1134000000</v>
      </c>
      <c r="D17" s="291">
        <f>+D15+D16</f>
        <v>2868140263</v>
      </c>
      <c r="E17" s="291">
        <f>+E15+E16</f>
        <v>1986578999</v>
      </c>
      <c r="F17" s="291">
        <f>+F15+F16</f>
        <v>1261875720</v>
      </c>
    </row>
    <row r="19" spans="2:6" x14ac:dyDescent="0.25">
      <c r="B19" s="284" t="s">
        <v>273</v>
      </c>
      <c r="C19" s="285"/>
      <c r="D19" s="285"/>
      <c r="E19" s="285"/>
      <c r="F19" s="285"/>
    </row>
    <row r="20" spans="2:6" x14ac:dyDescent="0.25">
      <c r="B20" s="34" t="s">
        <v>274</v>
      </c>
      <c r="C20" s="289">
        <f>SUM(DCF!C57:C60)</f>
        <v>3219770683</v>
      </c>
      <c r="D20" s="290">
        <v>842054693</v>
      </c>
      <c r="E20" s="290">
        <v>1217742500</v>
      </c>
      <c r="F20" s="290">
        <v>149970052</v>
      </c>
    </row>
    <row r="21" spans="2:6" x14ac:dyDescent="0.25">
      <c r="B21" s="34" t="s">
        <v>275</v>
      </c>
      <c r="C21" s="290"/>
      <c r="D21" s="290"/>
      <c r="E21" s="290"/>
      <c r="F21" s="290"/>
    </row>
    <row r="22" spans="2:6" x14ac:dyDescent="0.25">
      <c r="B22" s="34" t="s">
        <v>276</v>
      </c>
      <c r="C22" s="289">
        <f>SUM(DCF!C62:C64)</f>
        <v>5594286609</v>
      </c>
      <c r="D22" s="290">
        <v>16941003996</v>
      </c>
      <c r="E22" s="290">
        <v>3273355000</v>
      </c>
      <c r="F22" s="290">
        <v>38831683997</v>
      </c>
    </row>
    <row r="23" spans="2:6" x14ac:dyDescent="0.25">
      <c r="B23" s="44" t="s">
        <v>277</v>
      </c>
      <c r="C23" s="291">
        <f>C20-C22</f>
        <v>-2374515926</v>
      </c>
      <c r="D23" s="291">
        <f t="shared" ref="D23:F23" si="0">SUM(D20:D21)-SUM(D22)</f>
        <v>-16098949303</v>
      </c>
      <c r="E23" s="291">
        <f t="shared" si="0"/>
        <v>-2055612500</v>
      </c>
      <c r="F23" s="291">
        <f t="shared" si="0"/>
        <v>-38681713945</v>
      </c>
    </row>
    <row r="25" spans="2:6" x14ac:dyDescent="0.25">
      <c r="B25" s="284" t="s">
        <v>278</v>
      </c>
      <c r="C25" s="285"/>
      <c r="D25" s="285"/>
      <c r="E25" s="285"/>
      <c r="F25" s="285"/>
    </row>
    <row r="26" spans="2:6" ht="15.75" thickBot="1" x14ac:dyDescent="0.3">
      <c r="B26" s="44" t="s">
        <v>279</v>
      </c>
      <c r="C26" s="291">
        <f>C11*C17</f>
        <v>18144000000</v>
      </c>
      <c r="D26" s="291">
        <f t="shared" ref="D26:F26" si="1">D17*D11</f>
        <v>102363925986.46999</v>
      </c>
      <c r="E26" s="291">
        <f t="shared" si="1"/>
        <v>25150090127.34</v>
      </c>
      <c r="F26" s="291">
        <f t="shared" si="1"/>
        <v>87977975198.399994</v>
      </c>
    </row>
    <row r="27" spans="2:6" ht="15.75" thickTop="1" x14ac:dyDescent="0.25">
      <c r="B27" s="44" t="s">
        <v>280</v>
      </c>
      <c r="C27" s="292">
        <f>C26+C23</f>
        <v>15769484074</v>
      </c>
      <c r="D27" s="292">
        <f t="shared" ref="D27:F27" si="2">D26+D23</f>
        <v>86264976683.469986</v>
      </c>
      <c r="E27" s="292">
        <f t="shared" si="2"/>
        <v>23094477627.34</v>
      </c>
      <c r="F27" s="292">
        <f t="shared" si="2"/>
        <v>49296261253.399994</v>
      </c>
    </row>
    <row r="29" spans="2:6" x14ac:dyDescent="0.25">
      <c r="B29" s="284" t="s">
        <v>281</v>
      </c>
      <c r="C29" s="285"/>
      <c r="D29" s="285"/>
      <c r="E29" s="285"/>
      <c r="F29" s="285"/>
    </row>
    <row r="30" spans="2:6" x14ac:dyDescent="0.25">
      <c r="B30" s="282" t="s">
        <v>282</v>
      </c>
      <c r="C30" s="288" t="s">
        <v>283</v>
      </c>
      <c r="D30" s="288" t="s">
        <v>283</v>
      </c>
      <c r="E30" s="288" t="s">
        <v>283</v>
      </c>
      <c r="F30" s="288" t="s">
        <v>283</v>
      </c>
    </row>
    <row r="31" spans="2:6" x14ac:dyDescent="0.25">
      <c r="B31" s="34" t="s">
        <v>61</v>
      </c>
      <c r="C31" s="289">
        <f>FSM!F16</f>
        <v>14412587014</v>
      </c>
      <c r="D31" s="290">
        <v>26844075576</v>
      </c>
      <c r="E31" s="290">
        <v>8602606000</v>
      </c>
      <c r="F31" s="290">
        <v>22915657021</v>
      </c>
    </row>
    <row r="32" spans="2:6" x14ac:dyDescent="0.25">
      <c r="B32" s="34" t="s">
        <v>24</v>
      </c>
      <c r="C32" s="289">
        <f>FSM!F35</f>
        <v>660627360</v>
      </c>
      <c r="D32" s="290">
        <v>15279059550</v>
      </c>
      <c r="E32" s="290">
        <v>2541858400</v>
      </c>
      <c r="F32" s="290">
        <v>8316306389</v>
      </c>
    </row>
    <row r="33" spans="2:6" x14ac:dyDescent="0.25">
      <c r="B33" s="34" t="s">
        <v>63</v>
      </c>
      <c r="C33" s="289">
        <f>FSM!F24</f>
        <v>580753378</v>
      </c>
      <c r="D33" s="290">
        <v>12960330520</v>
      </c>
      <c r="E33" s="290">
        <v>1798948000</v>
      </c>
      <c r="F33" s="290">
        <v>8162886025</v>
      </c>
    </row>
    <row r="34" spans="2:6" x14ac:dyDescent="0.25">
      <c r="B34" s="34" t="s">
        <v>191</v>
      </c>
      <c r="C34" s="289">
        <f>FSM!F33</f>
        <v>1138395311</v>
      </c>
      <c r="D34" s="290">
        <v>11296540287</v>
      </c>
      <c r="E34" s="290">
        <v>986964000</v>
      </c>
      <c r="F34" s="290">
        <v>9352763248</v>
      </c>
    </row>
    <row r="35" spans="2:6" x14ac:dyDescent="0.25">
      <c r="B35" s="282" t="s">
        <v>284</v>
      </c>
      <c r="C35" s="293">
        <f>+C32/C31</f>
        <v>4.5836834106068834E-2</v>
      </c>
      <c r="D35" s="293">
        <f>+D32/D31</f>
        <v>0.56917808574716855</v>
      </c>
      <c r="E35" s="293">
        <f>+E32/E31</f>
        <v>0.29547539431655945</v>
      </c>
      <c r="F35" s="293">
        <f>+F32/F31</f>
        <v>0.36290935849576139</v>
      </c>
    </row>
    <row r="37" spans="2:6" x14ac:dyDescent="0.25">
      <c r="B37" s="284" t="s">
        <v>285</v>
      </c>
      <c r="C37" s="285"/>
      <c r="D37" s="285"/>
      <c r="E37" s="285"/>
      <c r="F37" s="285"/>
    </row>
    <row r="38" spans="2:6" x14ac:dyDescent="0.25">
      <c r="B38" s="34" t="s">
        <v>286</v>
      </c>
      <c r="C38" s="294">
        <f>C27/C31</f>
        <v>1.094146669066556</v>
      </c>
      <c r="D38" s="294">
        <f t="shared" ref="D38:F38" si="3">D27/D31</f>
        <v>3.213557361632351</v>
      </c>
      <c r="E38" s="294">
        <f t="shared" si="3"/>
        <v>2.6845908818025608</v>
      </c>
      <c r="F38" s="294">
        <f t="shared" si="3"/>
        <v>2.1512043581479992</v>
      </c>
    </row>
    <row r="39" spans="2:6" x14ac:dyDescent="0.25">
      <c r="B39" s="44" t="s">
        <v>287</v>
      </c>
      <c r="C39" s="295">
        <f>C27/C32</f>
        <v>23.870467723286545</v>
      </c>
      <c r="D39" s="295">
        <f t="shared" ref="D39:F39" si="4">D27/D32</f>
        <v>5.64596115364116</v>
      </c>
      <c r="E39" s="295">
        <f t="shared" si="4"/>
        <v>9.0856664664483286</v>
      </c>
      <c r="F39" s="295">
        <f t="shared" si="4"/>
        <v>5.9276629488548291</v>
      </c>
    </row>
    <row r="40" spans="2:6" x14ac:dyDescent="0.25">
      <c r="B40" s="34" t="s">
        <v>288</v>
      </c>
      <c r="C40" s="294">
        <f>C27/C33</f>
        <v>27.15349522082332</v>
      </c>
      <c r="D40" s="294">
        <f t="shared" ref="D40:F40" si="5">D27/D33</f>
        <v>6.6560784503410941</v>
      </c>
      <c r="E40" s="294">
        <f t="shared" si="5"/>
        <v>12.837768310890587</v>
      </c>
      <c r="F40" s="294">
        <f t="shared" si="5"/>
        <v>6.0390725905547598</v>
      </c>
    </row>
    <row r="41" spans="2:6" x14ac:dyDescent="0.25">
      <c r="B41" s="44" t="s">
        <v>289</v>
      </c>
      <c r="C41" s="295">
        <f>C26/C34</f>
        <v>15.938224467967789</v>
      </c>
      <c r="D41" s="295">
        <f t="shared" ref="D41:F41" si="6">D26/D34</f>
        <v>9.0615288739570872</v>
      </c>
      <c r="E41" s="295">
        <f t="shared" si="6"/>
        <v>25.482277091504859</v>
      </c>
      <c r="F41" s="295">
        <f t="shared" si="6"/>
        <v>9.4066291282646599</v>
      </c>
    </row>
    <row r="43" spans="2:6" x14ac:dyDescent="0.25">
      <c r="B43" s="284" t="s">
        <v>290</v>
      </c>
      <c r="C43" s="285"/>
      <c r="D43" s="285"/>
      <c r="E43" s="285"/>
      <c r="F43" s="285"/>
    </row>
    <row r="44" spans="2:6" x14ac:dyDescent="0.25">
      <c r="C44" s="44" t="s">
        <v>291</v>
      </c>
      <c r="D44" s="44" t="s">
        <v>292</v>
      </c>
      <c r="E44" s="44" t="s">
        <v>293</v>
      </c>
      <c r="F44" s="44" t="s">
        <v>294</v>
      </c>
    </row>
    <row r="45" spans="2:6" x14ac:dyDescent="0.25">
      <c r="B45" s="34" t="s">
        <v>295</v>
      </c>
      <c r="C45" s="294">
        <f>AVERAGE(D38:F38)</f>
        <v>2.6831175338609703</v>
      </c>
      <c r="D45" s="294">
        <f>AVERAGE(D39:F39)</f>
        <v>6.8864301896481059</v>
      </c>
      <c r="E45" s="294">
        <f>AVERAGE(D40:F40)</f>
        <v>8.5109731172621466</v>
      </c>
      <c r="F45" s="294">
        <f>AVERAGE(D41:F41)</f>
        <v>14.650145031242202</v>
      </c>
    </row>
    <row r="46" spans="2:6" x14ac:dyDescent="0.25">
      <c r="B46" s="44" t="s">
        <v>296</v>
      </c>
      <c r="C46" s="295">
        <f>MEDIAN(D38:F38)</f>
        <v>2.6845908818025608</v>
      </c>
      <c r="D46" s="295">
        <f>MEDIAN(D39:F39)</f>
        <v>5.9276629488548291</v>
      </c>
      <c r="E46" s="295">
        <f>MEDIAN(D40:F40)</f>
        <v>6.6560784503410941</v>
      </c>
      <c r="F46" s="295">
        <f>MEDIAN(D41:F41)</f>
        <v>9.4066291282646599</v>
      </c>
    </row>
    <row r="47" spans="2:6" x14ac:dyDescent="0.25">
      <c r="B47" s="34" t="s">
        <v>132</v>
      </c>
      <c r="C47" s="294">
        <f>MAX(D38:F38)</f>
        <v>3.213557361632351</v>
      </c>
      <c r="D47" s="294">
        <f>MAX(D39:F39)</f>
        <v>9.0856664664483286</v>
      </c>
      <c r="E47" s="294">
        <f>MAX(D40:F40)</f>
        <v>12.837768310890587</v>
      </c>
      <c r="F47" s="294">
        <f>MAX(D41:F41)</f>
        <v>25.482277091504859</v>
      </c>
    </row>
    <row r="48" spans="2:6" x14ac:dyDescent="0.25">
      <c r="B48" s="34" t="s">
        <v>130</v>
      </c>
      <c r="C48" s="294">
        <f>MIN(D38:F38)</f>
        <v>2.1512043581479992</v>
      </c>
      <c r="D48" s="294">
        <f>MIN(D39:F39)</f>
        <v>5.64596115364116</v>
      </c>
      <c r="E48" s="294">
        <f>MIN(D40:F40)</f>
        <v>6.0390725905547598</v>
      </c>
      <c r="F48" s="294">
        <f>MIN(D41:F41)</f>
        <v>9.0615288739570872</v>
      </c>
    </row>
    <row r="50" spans="2:6" x14ac:dyDescent="0.25">
      <c r="B50" s="284" t="s">
        <v>312</v>
      </c>
      <c r="C50" s="285"/>
      <c r="D50" s="285"/>
      <c r="E50" s="285"/>
      <c r="F50" s="285"/>
    </row>
    <row r="51" spans="2:6" x14ac:dyDescent="0.25">
      <c r="B51" s="44" t="s">
        <v>297</v>
      </c>
    </row>
    <row r="52" spans="2:6" x14ac:dyDescent="0.25">
      <c r="B52" s="34" t="s">
        <v>298</v>
      </c>
      <c r="C52" s="294">
        <f>D46</f>
        <v>5.9276629488548291</v>
      </c>
    </row>
    <row r="53" spans="2:6" x14ac:dyDescent="0.25">
      <c r="B53" s="34" t="s">
        <v>299</v>
      </c>
      <c r="C53" s="296">
        <f>C32</f>
        <v>660627360</v>
      </c>
    </row>
    <row r="54" spans="2:6" x14ac:dyDescent="0.25">
      <c r="B54" s="34" t="s">
        <v>300</v>
      </c>
      <c r="C54" s="296">
        <f>C52*C53</f>
        <v>3915976324.8717809</v>
      </c>
    </row>
    <row r="55" spans="2:6" x14ac:dyDescent="0.25">
      <c r="B55" s="34" t="s">
        <v>301</v>
      </c>
      <c r="C55" s="296">
        <f>C23</f>
        <v>-2374515926</v>
      </c>
    </row>
    <row r="56" spans="2:6" x14ac:dyDescent="0.25">
      <c r="B56" s="34" t="s">
        <v>302</v>
      </c>
      <c r="C56" s="296">
        <f>C54-C55</f>
        <v>6290492250.8717804</v>
      </c>
    </row>
    <row r="57" spans="2:6" ht="15.75" thickBot="1" x14ac:dyDescent="0.3">
      <c r="B57" s="34" t="s">
        <v>272</v>
      </c>
      <c r="C57" s="296">
        <f>$C$17</f>
        <v>1134000000</v>
      </c>
    </row>
    <row r="58" spans="2:6" ht="15.75" thickTop="1" x14ac:dyDescent="0.25">
      <c r="B58" s="44" t="s">
        <v>303</v>
      </c>
      <c r="C58" s="297">
        <f>C56/C57</f>
        <v>5.547171297065062</v>
      </c>
    </row>
    <row r="60" spans="2:6" x14ac:dyDescent="0.25">
      <c r="B60" s="44" t="s">
        <v>304</v>
      </c>
    </row>
    <row r="61" spans="2:6" x14ac:dyDescent="0.25">
      <c r="B61" s="34" t="s">
        <v>305</v>
      </c>
      <c r="C61" s="294">
        <f>F46</f>
        <v>9.4066291282646599</v>
      </c>
    </row>
    <row r="62" spans="2:6" x14ac:dyDescent="0.25">
      <c r="B62" s="34" t="s">
        <v>313</v>
      </c>
      <c r="C62" s="296">
        <f>C34</f>
        <v>1138395311</v>
      </c>
    </row>
    <row r="63" spans="2:6" x14ac:dyDescent="0.25">
      <c r="B63" s="34" t="s">
        <v>302</v>
      </c>
      <c r="C63" s="296">
        <f>C62*C61</f>
        <v>10708462491.932507</v>
      </c>
    </row>
    <row r="64" spans="2:6" ht="15.75" thickBot="1" x14ac:dyDescent="0.3">
      <c r="B64" s="34" t="s">
        <v>272</v>
      </c>
      <c r="C64" s="296">
        <f>$C$17</f>
        <v>1134000000</v>
      </c>
    </row>
    <row r="65" spans="2:3" ht="15.75" thickTop="1" x14ac:dyDescent="0.25">
      <c r="B65" s="44" t="s">
        <v>303</v>
      </c>
      <c r="C65" s="297">
        <f>C63/C64</f>
        <v>9.4430886172244328</v>
      </c>
    </row>
    <row r="67" spans="2:3" x14ac:dyDescent="0.25">
      <c r="B67" s="44" t="s">
        <v>311</v>
      </c>
    </row>
    <row r="68" spans="2:3" x14ac:dyDescent="0.25">
      <c r="B68" s="34" t="s">
        <v>292</v>
      </c>
      <c r="C68" s="294">
        <f>E46</f>
        <v>6.6560784503410941</v>
      </c>
    </row>
    <row r="69" spans="2:3" x14ac:dyDescent="0.25">
      <c r="B69" s="34" t="s">
        <v>299</v>
      </c>
      <c r="C69" s="18">
        <f>C32</f>
        <v>660627360</v>
      </c>
    </row>
    <row r="70" spans="2:3" x14ac:dyDescent="0.25">
      <c r="B70" s="34" t="s">
        <v>300</v>
      </c>
      <c r="C70" s="18">
        <f>C68*C69</f>
        <v>4397187534.6017284</v>
      </c>
    </row>
    <row r="71" spans="2:3" x14ac:dyDescent="0.25">
      <c r="B71" s="34" t="s">
        <v>301</v>
      </c>
      <c r="C71" s="18">
        <f>C55</f>
        <v>-2374515926</v>
      </c>
    </row>
    <row r="72" spans="2:3" x14ac:dyDescent="0.25">
      <c r="B72" s="34" t="s">
        <v>302</v>
      </c>
      <c r="C72" s="18">
        <f>C70-C71</f>
        <v>6771703460.6017284</v>
      </c>
    </row>
    <row r="73" spans="2:3" ht="15.75" thickBot="1" x14ac:dyDescent="0.3">
      <c r="B73" s="34" t="s">
        <v>272</v>
      </c>
      <c r="C73" s="296">
        <f>$C$17</f>
        <v>1134000000</v>
      </c>
    </row>
    <row r="74" spans="2:3" ht="15.75" thickTop="1" x14ac:dyDescent="0.25">
      <c r="B74" s="44" t="s">
        <v>303</v>
      </c>
      <c r="C74" s="297">
        <f>C72/C73</f>
        <v>5.9715198065270974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FSM</vt:lpstr>
      <vt:lpstr>DCF</vt:lpstr>
      <vt:lpstr>WACC</vt:lpstr>
      <vt:lpstr>Trading Comps</vt:lpstr>
      <vt:lpstr>FSM!Company_Name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WAEL</dc:creator>
  <dc:description/>
  <cp:lastModifiedBy>Ahmed Wael</cp:lastModifiedBy>
  <cp:revision>0</cp:revision>
  <dcterms:created xsi:type="dcterms:W3CDTF">2015-06-05T18:17:20Z</dcterms:created>
  <dcterms:modified xsi:type="dcterms:W3CDTF">2026-07-08T15:11:33Z</dcterms:modified>
  <dc:language>en-US</dc:language>
</cp:coreProperties>
</file>