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user\Desktop\TMGH - CA\"/>
    </mc:Choice>
  </mc:AlternateContent>
  <xr:revisionPtr revIDLastSave="0" documentId="13_ncr:1_{B24B6430-9D55-4F17-9670-0BB58867989D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SM" sheetId="1" r:id="rId1"/>
    <sheet name="NAV" sheetId="4" r:id="rId2"/>
    <sheet name="DCF" sheetId="2" r:id="rId3"/>
    <sheet name="WACC" sheetId="3" r:id="rId4"/>
  </sheets>
  <definedNames>
    <definedName name="CIQWBGuid" localSheetId="2" hidden="1">"DCF_complete.xlsx"</definedName>
    <definedName name="CIQWBGuid" localSheetId="3" hidden="1">"DCF_complete.xlsx"</definedName>
    <definedName name="CIQWBGuid" hidden="1">"a611639b-bab1-425e-aaa5-008c326fdfdb"</definedName>
    <definedName name="Company_Name">FSM!$D$5</definedName>
    <definedName name="Hist_Yr">FSM!#REF!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localSheetId="2" hidden="1">43549.6880671296</definedName>
    <definedName name="IQ_NAMES_REVISION_DATE_" localSheetId="3" hidden="1">43549.6880671296</definedName>
    <definedName name="IQ_NAMES_REVISION_DATE_" hidden="1">43588.5561574074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MLNK841c85bef3244d5c8fb6b3f84988d79e" localSheetId="2" hidden="1">#REF!</definedName>
    <definedName name="MLNK841c85bef3244d5c8fb6b3f84988d79e" localSheetId="3" hidden="1">#REF!</definedName>
    <definedName name="MLNK841c85bef3244d5c8fb6b3f84988d79e" hidden="1">#REF!</definedName>
    <definedName name="MLNKa7775792bf444a4785f8ed5c82461a24" localSheetId="2" hidden="1">#REF!</definedName>
    <definedName name="MLNKa7775792bf444a4785f8ed5c82461a24" localSheetId="3" hidden="1">#REF!</definedName>
    <definedName name="MLNKa7775792bf444a4785f8ed5c82461a24" hidden="1">#REF!</definedName>
  </definedNames>
  <calcPr calcId="191029" iterate="1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7" i="4" l="1"/>
  <c r="C26" i="4" s="1"/>
  <c r="F58" i="1"/>
  <c r="E58" i="1"/>
  <c r="C12" i="4"/>
  <c r="C33" i="4" s="1"/>
  <c r="C11" i="4"/>
  <c r="C22" i="4"/>
  <c r="C20" i="4"/>
  <c r="C19" i="4"/>
  <c r="C18" i="4"/>
  <c r="C17" i="4"/>
  <c r="C16" i="4"/>
  <c r="C15" i="4"/>
  <c r="C52" i="4" s="1"/>
  <c r="C49" i="4"/>
  <c r="C27" i="4"/>
  <c r="I18" i="2"/>
  <c r="H18" i="2"/>
  <c r="G18" i="2"/>
  <c r="F18" i="2"/>
  <c r="F23" i="2" s="1"/>
  <c r="E18" i="2"/>
  <c r="D18" i="2"/>
  <c r="I25" i="2"/>
  <c r="H25" i="2"/>
  <c r="G25" i="2"/>
  <c r="F25" i="2"/>
  <c r="E25" i="2"/>
  <c r="D25" i="2"/>
  <c r="C18" i="2"/>
  <c r="C16" i="2"/>
  <c r="C14" i="2"/>
  <c r="D72" i="2"/>
  <c r="C72" i="2"/>
  <c r="D70" i="2"/>
  <c r="C70" i="2"/>
  <c r="I32" i="2"/>
  <c r="H32" i="2"/>
  <c r="G32" i="2"/>
  <c r="G33" i="2" s="1"/>
  <c r="F32" i="2"/>
  <c r="E32" i="2"/>
  <c r="D32" i="2"/>
  <c r="E26" i="2" s="1"/>
  <c r="I26" i="2"/>
  <c r="E33" i="2"/>
  <c r="G28" i="2"/>
  <c r="I27" i="2"/>
  <c r="I28" i="2" s="1"/>
  <c r="H27" i="2"/>
  <c r="H28" i="2" s="1"/>
  <c r="G27" i="2"/>
  <c r="F27" i="2"/>
  <c r="F28" i="2" s="1"/>
  <c r="E27" i="2"/>
  <c r="E28" i="2" s="1"/>
  <c r="I21" i="2"/>
  <c r="E21" i="2"/>
  <c r="I22" i="2"/>
  <c r="H22" i="2"/>
  <c r="G22" i="2"/>
  <c r="F22" i="2"/>
  <c r="E22" i="2"/>
  <c r="D22" i="2"/>
  <c r="I19" i="2"/>
  <c r="E19" i="2"/>
  <c r="I23" i="2"/>
  <c r="I30" i="2" s="1"/>
  <c r="I38" i="2" s="1"/>
  <c r="C43" i="2" s="1"/>
  <c r="H21" i="2"/>
  <c r="G23" i="2"/>
  <c r="E23" i="2"/>
  <c r="E30" i="2" s="1"/>
  <c r="D21" i="2"/>
  <c r="I17" i="2"/>
  <c r="E17" i="2"/>
  <c r="I16" i="2"/>
  <c r="I42" i="2" s="1"/>
  <c r="H16" i="2"/>
  <c r="H17" i="2" s="1"/>
  <c r="G16" i="2"/>
  <c r="G17" i="2" s="1"/>
  <c r="F16" i="2"/>
  <c r="F17" i="2" s="1"/>
  <c r="E16" i="2"/>
  <c r="D16" i="2"/>
  <c r="D17" i="2" s="1"/>
  <c r="I15" i="2"/>
  <c r="E15" i="2"/>
  <c r="I14" i="2"/>
  <c r="I33" i="2" s="1"/>
  <c r="H14" i="2"/>
  <c r="H15" i="2" s="1"/>
  <c r="G14" i="2"/>
  <c r="G15" i="2" s="1"/>
  <c r="F14" i="2"/>
  <c r="F15" i="2" s="1"/>
  <c r="E14" i="2"/>
  <c r="D14" i="2"/>
  <c r="D33" i="2" s="1"/>
  <c r="C13" i="3"/>
  <c r="C11" i="3"/>
  <c r="C8" i="3"/>
  <c r="C7" i="3"/>
  <c r="C64" i="2"/>
  <c r="C63" i="2"/>
  <c r="C62" i="2"/>
  <c r="C60" i="2"/>
  <c r="C57" i="2"/>
  <c r="C19" i="3" s="1"/>
  <c r="I61" i="2"/>
  <c r="C18" i="3" s="1"/>
  <c r="E18" i="3" s="1"/>
  <c r="G172" i="1"/>
  <c r="G114" i="1"/>
  <c r="H114" i="1" s="1"/>
  <c r="I114" i="1" s="1"/>
  <c r="J114" i="1" s="1"/>
  <c r="K114" i="1" s="1"/>
  <c r="G112" i="1"/>
  <c r="H112" i="1" s="1"/>
  <c r="I112" i="1" s="1"/>
  <c r="J112" i="1" s="1"/>
  <c r="K112" i="1" s="1"/>
  <c r="G111" i="1"/>
  <c r="H111" i="1" s="1"/>
  <c r="G124" i="1"/>
  <c r="H124" i="1" s="1"/>
  <c r="I124" i="1" s="1"/>
  <c r="J124" i="1" s="1"/>
  <c r="K124" i="1" s="1"/>
  <c r="G123" i="1"/>
  <c r="H123" i="1" s="1"/>
  <c r="I123" i="1" s="1"/>
  <c r="J123" i="1" s="1"/>
  <c r="K123" i="1" s="1"/>
  <c r="G135" i="1"/>
  <c r="H135" i="1" s="1"/>
  <c r="I135" i="1" s="1"/>
  <c r="J135" i="1" s="1"/>
  <c r="K135" i="1" s="1"/>
  <c r="G134" i="1"/>
  <c r="H134" i="1" s="1"/>
  <c r="I134" i="1" s="1"/>
  <c r="J134" i="1" s="1"/>
  <c r="K134" i="1" s="1"/>
  <c r="G133" i="1"/>
  <c r="H133" i="1" s="1"/>
  <c r="I133" i="1" s="1"/>
  <c r="J133" i="1" s="1"/>
  <c r="K133" i="1" s="1"/>
  <c r="G132" i="1"/>
  <c r="H132" i="1" s="1"/>
  <c r="I132" i="1" s="1"/>
  <c r="J132" i="1" s="1"/>
  <c r="K132" i="1" s="1"/>
  <c r="G131" i="1"/>
  <c r="H131" i="1" s="1"/>
  <c r="I131" i="1" s="1"/>
  <c r="J131" i="1" s="1"/>
  <c r="K131" i="1" s="1"/>
  <c r="G130" i="1"/>
  <c r="H130" i="1" s="1"/>
  <c r="I130" i="1" s="1"/>
  <c r="J130" i="1" s="1"/>
  <c r="K130" i="1" s="1"/>
  <c r="G122" i="1"/>
  <c r="G120" i="1"/>
  <c r="H120" i="1" s="1"/>
  <c r="G108" i="1"/>
  <c r="H108" i="1" s="1"/>
  <c r="I108" i="1" s="1"/>
  <c r="J108" i="1" s="1"/>
  <c r="K108" i="1" s="1"/>
  <c r="G107" i="1"/>
  <c r="H107" i="1" s="1"/>
  <c r="I107" i="1" s="1"/>
  <c r="J107" i="1" s="1"/>
  <c r="K107" i="1" s="1"/>
  <c r="G106" i="1"/>
  <c r="H106" i="1" s="1"/>
  <c r="I106" i="1" s="1"/>
  <c r="G98" i="1"/>
  <c r="H98" i="1" s="1"/>
  <c r="I98" i="1" s="1"/>
  <c r="J98" i="1" s="1"/>
  <c r="K98" i="1" s="1"/>
  <c r="G97" i="1"/>
  <c r="H97" i="1" s="1"/>
  <c r="I97" i="1" s="1"/>
  <c r="J97" i="1" s="1"/>
  <c r="K97" i="1" s="1"/>
  <c r="G96" i="1"/>
  <c r="H96" i="1" s="1"/>
  <c r="I96" i="1" s="1"/>
  <c r="J96" i="1" s="1"/>
  <c r="K96" i="1" s="1"/>
  <c r="G95" i="1"/>
  <c r="H95" i="1" s="1"/>
  <c r="I95" i="1" s="1"/>
  <c r="J95" i="1" s="1"/>
  <c r="K95" i="1" s="1"/>
  <c r="G94" i="1"/>
  <c r="H94" i="1" s="1"/>
  <c r="I94" i="1" s="1"/>
  <c r="J94" i="1" s="1"/>
  <c r="K94" i="1" s="1"/>
  <c r="G93" i="1"/>
  <c r="H93" i="1" s="1"/>
  <c r="I93" i="1" s="1"/>
  <c r="J93" i="1" s="1"/>
  <c r="K93" i="1" s="1"/>
  <c r="G92" i="1"/>
  <c r="H92" i="1" s="1"/>
  <c r="I92" i="1" s="1"/>
  <c r="J92" i="1" s="1"/>
  <c r="K92" i="1" s="1"/>
  <c r="G91" i="1"/>
  <c r="H91" i="1" s="1"/>
  <c r="I91" i="1" s="1"/>
  <c r="J91" i="1" s="1"/>
  <c r="K91" i="1" s="1"/>
  <c r="G90" i="1"/>
  <c r="H90" i="1" s="1"/>
  <c r="I90" i="1" s="1"/>
  <c r="J90" i="1" s="1"/>
  <c r="K90" i="1" s="1"/>
  <c r="G89" i="1"/>
  <c r="H89" i="1" s="1"/>
  <c r="I89" i="1" s="1"/>
  <c r="G83" i="1"/>
  <c r="H83" i="1" s="1"/>
  <c r="I83" i="1" s="1"/>
  <c r="J83" i="1" s="1"/>
  <c r="K83" i="1" s="1"/>
  <c r="G82" i="1"/>
  <c r="H82" i="1" s="1"/>
  <c r="I82" i="1" s="1"/>
  <c r="J82" i="1" s="1"/>
  <c r="K82" i="1" s="1"/>
  <c r="G80" i="1"/>
  <c r="H80" i="1" s="1"/>
  <c r="I80" i="1" s="1"/>
  <c r="J80" i="1" s="1"/>
  <c r="K80" i="1" s="1"/>
  <c r="G77" i="1"/>
  <c r="H77" i="1" s="1"/>
  <c r="I77" i="1" s="1"/>
  <c r="E264" i="1"/>
  <c r="F264" i="1"/>
  <c r="D264" i="1"/>
  <c r="F266" i="1"/>
  <c r="G263" i="1" s="1"/>
  <c r="E266" i="1"/>
  <c r="F263" i="1" s="1"/>
  <c r="D266" i="1"/>
  <c r="E263" i="1" s="1"/>
  <c r="F260" i="1"/>
  <c r="G256" i="1" s="1"/>
  <c r="D260" i="1"/>
  <c r="E256" i="1" s="1"/>
  <c r="E260" i="1"/>
  <c r="F256" i="1" s="1"/>
  <c r="F225" i="1"/>
  <c r="E225" i="1"/>
  <c r="F224" i="1"/>
  <c r="E224" i="1"/>
  <c r="F223" i="1"/>
  <c r="E223" i="1"/>
  <c r="F222" i="1"/>
  <c r="E222" i="1"/>
  <c r="F221" i="1"/>
  <c r="E221" i="1"/>
  <c r="F217" i="1"/>
  <c r="E217" i="1"/>
  <c r="F216" i="1"/>
  <c r="E216" i="1"/>
  <c r="F215" i="1"/>
  <c r="E215" i="1"/>
  <c r="F214" i="1"/>
  <c r="E214" i="1"/>
  <c r="D225" i="1"/>
  <c r="D224" i="1"/>
  <c r="D223" i="1"/>
  <c r="D222" i="1"/>
  <c r="D221" i="1"/>
  <c r="D217" i="1"/>
  <c r="D216" i="1"/>
  <c r="D215" i="1"/>
  <c r="D214" i="1"/>
  <c r="G41" i="1"/>
  <c r="H41" i="1" s="1"/>
  <c r="I41" i="1" s="1"/>
  <c r="J41" i="1" s="1"/>
  <c r="K41" i="1" s="1"/>
  <c r="C28" i="4" l="1"/>
  <c r="C29" i="4" s="1"/>
  <c r="C30" i="4" s="1"/>
  <c r="C21" i="4"/>
  <c r="F39" i="4"/>
  <c r="E40" i="4"/>
  <c r="D41" i="4"/>
  <c r="C42" i="4"/>
  <c r="G42" i="4"/>
  <c r="F43" i="4"/>
  <c r="C25" i="4"/>
  <c r="C39" i="4"/>
  <c r="G39" i="4"/>
  <c r="F40" i="4"/>
  <c r="E41" i="4"/>
  <c r="D42" i="4"/>
  <c r="C43" i="4"/>
  <c r="G43" i="4"/>
  <c r="D39" i="4"/>
  <c r="C40" i="4"/>
  <c r="G40" i="4"/>
  <c r="F41" i="4"/>
  <c r="E42" i="4"/>
  <c r="D43" i="4"/>
  <c r="E39" i="4"/>
  <c r="D40" i="4"/>
  <c r="C41" i="4"/>
  <c r="G41" i="4"/>
  <c r="F42" i="4"/>
  <c r="E43" i="4"/>
  <c r="G30" i="2"/>
  <c r="G38" i="2" s="1"/>
  <c r="E19" i="3"/>
  <c r="C65" i="2"/>
  <c r="F19" i="2"/>
  <c r="F21" i="2"/>
  <c r="D23" i="2"/>
  <c r="H23" i="2"/>
  <c r="H33" i="2"/>
  <c r="G19" i="2"/>
  <c r="G21" i="2"/>
  <c r="D19" i="2"/>
  <c r="H19" i="2"/>
  <c r="H26" i="2"/>
  <c r="G26" i="2"/>
  <c r="F33" i="2"/>
  <c r="F26" i="2"/>
  <c r="F30" i="2" s="1"/>
  <c r="F38" i="2" s="1"/>
  <c r="D218" i="1"/>
  <c r="D226" i="1"/>
  <c r="D228" i="1" s="1"/>
  <c r="F218" i="1"/>
  <c r="F226" i="1"/>
  <c r="E218" i="1"/>
  <c r="E226" i="1"/>
  <c r="H122" i="1"/>
  <c r="I122" i="1" s="1"/>
  <c r="J122" i="1" s="1"/>
  <c r="K122" i="1" s="1"/>
  <c r="I111" i="1"/>
  <c r="J111" i="1" s="1"/>
  <c r="K111" i="1" s="1"/>
  <c r="J106" i="1"/>
  <c r="I120" i="1"/>
  <c r="J89" i="1"/>
  <c r="J77" i="1"/>
  <c r="C31" i="4" l="1"/>
  <c r="C32" i="4" s="1"/>
  <c r="C34" i="4"/>
  <c r="C50" i="4"/>
  <c r="H30" i="2"/>
  <c r="H38" i="2" s="1"/>
  <c r="F228" i="1"/>
  <c r="E228" i="1"/>
  <c r="K106" i="1"/>
  <c r="J120" i="1"/>
  <c r="K89" i="1"/>
  <c r="K77" i="1"/>
  <c r="F230" i="1" l="1"/>
  <c r="E230" i="1"/>
  <c r="K120" i="1"/>
  <c r="D243" i="1" l="1"/>
  <c r="D238" i="1"/>
  <c r="E237" i="1" s="1"/>
  <c r="F243" i="1"/>
  <c r="E243" i="1"/>
  <c r="F238" i="1"/>
  <c r="G237" i="1" s="1"/>
  <c r="E238" i="1"/>
  <c r="F237" i="1" s="1"/>
  <c r="F239" i="1" s="1"/>
  <c r="F240" i="1" s="1"/>
  <c r="F247" i="1" s="1"/>
  <c r="D183" i="1"/>
  <c r="K54" i="1"/>
  <c r="J54" i="1"/>
  <c r="I54" i="1"/>
  <c r="H54" i="1"/>
  <c r="G54" i="1"/>
  <c r="F193" i="1"/>
  <c r="E193" i="1"/>
  <c r="D184" i="1"/>
  <c r="E181" i="1" s="1"/>
  <c r="E244" i="1" l="1"/>
  <c r="G247" i="1"/>
  <c r="G39" i="1" s="1"/>
  <c r="G238" i="1"/>
  <c r="G166" i="1" s="1"/>
  <c r="F244" i="1"/>
  <c r="F245" i="1" s="1"/>
  <c r="G245" i="1" s="1"/>
  <c r="H245" i="1" s="1"/>
  <c r="I245" i="1" s="1"/>
  <c r="E239" i="1"/>
  <c r="E240" i="1" s="1"/>
  <c r="E247" i="1" s="1"/>
  <c r="E248" i="1"/>
  <c r="E249" i="1" s="1"/>
  <c r="E184" i="1"/>
  <c r="F181" i="1" s="1"/>
  <c r="F184" i="1"/>
  <c r="G181" i="1" s="1"/>
  <c r="F248" i="1" l="1"/>
  <c r="F249" i="1" s="1"/>
  <c r="J245" i="1"/>
  <c r="K245" i="1" s="1"/>
  <c r="H238" i="1"/>
  <c r="H166" i="1" s="1"/>
  <c r="H237" i="1"/>
  <c r="G239" i="1"/>
  <c r="F54" i="1"/>
  <c r="E54" i="1"/>
  <c r="H247" i="1" l="1"/>
  <c r="H39" i="1" s="1"/>
  <c r="H239" i="1"/>
  <c r="I237" i="1"/>
  <c r="I238" i="1"/>
  <c r="I166" i="1" s="1"/>
  <c r="D54" i="1"/>
  <c r="H67" i="1"/>
  <c r="I67" i="1" s="1"/>
  <c r="J67" i="1" s="1"/>
  <c r="K67" i="1" s="1"/>
  <c r="H66" i="1"/>
  <c r="H65" i="1"/>
  <c r="H63" i="1"/>
  <c r="I63" i="1" s="1"/>
  <c r="H62" i="1"/>
  <c r="I247" i="1" l="1"/>
  <c r="I239" i="1"/>
  <c r="J237" i="1"/>
  <c r="J238" i="1"/>
  <c r="J166" i="1" s="1"/>
  <c r="I66" i="1"/>
  <c r="I65" i="1"/>
  <c r="J63" i="1"/>
  <c r="I62" i="1"/>
  <c r="F201" i="1"/>
  <c r="G201" i="1" s="1"/>
  <c r="E201" i="1"/>
  <c r="F200" i="1"/>
  <c r="E200" i="1"/>
  <c r="F199" i="1"/>
  <c r="G199" i="1" s="1"/>
  <c r="G16" i="1" s="1"/>
  <c r="E199" i="1"/>
  <c r="D201" i="1"/>
  <c r="D200" i="1"/>
  <c r="D199" i="1"/>
  <c r="D202" i="1" l="1"/>
  <c r="D65" i="1" s="1"/>
  <c r="E205" i="1"/>
  <c r="K238" i="1"/>
  <c r="K166" i="1" s="1"/>
  <c r="K237" i="1"/>
  <c r="J247" i="1"/>
  <c r="J239" i="1"/>
  <c r="I39" i="1"/>
  <c r="F207" i="1"/>
  <c r="D203" i="1"/>
  <c r="D63" i="1"/>
  <c r="E206" i="1"/>
  <c r="F206" i="1"/>
  <c r="G200" i="1"/>
  <c r="G202" i="1" s="1"/>
  <c r="F202" i="1"/>
  <c r="H201" i="1"/>
  <c r="G22" i="1"/>
  <c r="E202" i="1"/>
  <c r="E229" i="1" s="1"/>
  <c r="G17" i="1"/>
  <c r="G18" i="1" s="1"/>
  <c r="J66" i="1"/>
  <c r="J65" i="1"/>
  <c r="K63" i="1"/>
  <c r="J62" i="1"/>
  <c r="F205" i="1"/>
  <c r="H199" i="1"/>
  <c r="H16" i="1" s="1"/>
  <c r="E207" i="1"/>
  <c r="F137" i="1"/>
  <c r="F139" i="1" s="1"/>
  <c r="E137" i="1"/>
  <c r="E139" i="1" s="1"/>
  <c r="D137" i="1"/>
  <c r="D139" i="1" s="1"/>
  <c r="D117" i="1"/>
  <c r="F125" i="1"/>
  <c r="E125" i="1"/>
  <c r="D125" i="1"/>
  <c r="F117" i="1"/>
  <c r="E117" i="1"/>
  <c r="F99" i="1"/>
  <c r="E99" i="1"/>
  <c r="D99" i="1"/>
  <c r="F85" i="1"/>
  <c r="E85" i="1"/>
  <c r="D85" i="1"/>
  <c r="F40" i="1"/>
  <c r="E40" i="1"/>
  <c r="D40" i="1"/>
  <c r="F24" i="1"/>
  <c r="F61" i="1" s="1"/>
  <c r="E24" i="1"/>
  <c r="E61" i="1" s="1"/>
  <c r="D24" i="1"/>
  <c r="D61" i="1" s="1"/>
  <c r="E21" i="1"/>
  <c r="E60" i="1" s="1"/>
  <c r="F21" i="1"/>
  <c r="F60" i="1" s="1"/>
  <c r="D21" i="1"/>
  <c r="D60" i="1" s="1"/>
  <c r="F18" i="1"/>
  <c r="F59" i="1" s="1"/>
  <c r="E18" i="1"/>
  <c r="E59" i="1" s="1"/>
  <c r="D18" i="1"/>
  <c r="D59" i="1" s="1"/>
  <c r="D64" i="1" l="1"/>
  <c r="D66" i="1"/>
  <c r="D62" i="1"/>
  <c r="F101" i="1"/>
  <c r="G215" i="1"/>
  <c r="G78" i="1" s="1"/>
  <c r="G224" i="1"/>
  <c r="G113" i="1" s="1"/>
  <c r="G216" i="1"/>
  <c r="G79" i="1" s="1"/>
  <c r="G221" i="1"/>
  <c r="G225" i="1"/>
  <c r="G121" i="1" s="1"/>
  <c r="G125" i="1" s="1"/>
  <c r="G222" i="1"/>
  <c r="G110" i="1" s="1"/>
  <c r="G217" i="1"/>
  <c r="G81" i="1" s="1"/>
  <c r="G214" i="1"/>
  <c r="G223" i="1"/>
  <c r="G115" i="1" s="1"/>
  <c r="F229" i="1"/>
  <c r="D186" i="1"/>
  <c r="D229" i="1"/>
  <c r="J39" i="1"/>
  <c r="K239" i="1"/>
  <c r="K247" i="1"/>
  <c r="F187" i="1"/>
  <c r="F192" i="1"/>
  <c r="G192" i="1" s="1"/>
  <c r="H192" i="1" s="1"/>
  <c r="I192" i="1" s="1"/>
  <c r="J192" i="1" s="1"/>
  <c r="K192" i="1" s="1"/>
  <c r="F186" i="1"/>
  <c r="E186" i="1"/>
  <c r="E187" i="1"/>
  <c r="E192" i="1"/>
  <c r="G182" i="1"/>
  <c r="E127" i="1"/>
  <c r="E141" i="1" s="1"/>
  <c r="G23" i="1"/>
  <c r="G24" i="1" s="1"/>
  <c r="D101" i="1"/>
  <c r="I201" i="1"/>
  <c r="H22" i="1"/>
  <c r="E101" i="1"/>
  <c r="H17" i="1"/>
  <c r="H18" i="1" s="1"/>
  <c r="F203" i="1"/>
  <c r="F64" i="1"/>
  <c r="F66" i="1"/>
  <c r="F63" i="1"/>
  <c r="F62" i="1"/>
  <c r="F65" i="1"/>
  <c r="E203" i="1"/>
  <c r="E65" i="1"/>
  <c r="E64" i="1"/>
  <c r="E63" i="1"/>
  <c r="E66" i="1"/>
  <c r="E62" i="1"/>
  <c r="G34" i="1"/>
  <c r="G33" i="1"/>
  <c r="G30" i="1"/>
  <c r="G28" i="1"/>
  <c r="H200" i="1"/>
  <c r="H202" i="1" s="1"/>
  <c r="H225" i="1" s="1"/>
  <c r="H121" i="1" s="1"/>
  <c r="H125" i="1" s="1"/>
  <c r="G19" i="1"/>
  <c r="G203" i="1" s="1"/>
  <c r="K66" i="1"/>
  <c r="K65" i="1"/>
  <c r="K62" i="1"/>
  <c r="I199" i="1"/>
  <c r="I16" i="1" s="1"/>
  <c r="D25" i="1"/>
  <c r="D37" i="1" s="1"/>
  <c r="D44" i="1" s="1"/>
  <c r="F127" i="1"/>
  <c r="F141" i="1" s="1"/>
  <c r="F25" i="1"/>
  <c r="F37" i="1" s="1"/>
  <c r="F44" i="1" s="1"/>
  <c r="D127" i="1"/>
  <c r="D141" i="1" s="1"/>
  <c r="E25" i="1"/>
  <c r="E37" i="1" s="1"/>
  <c r="O90" i="2"/>
  <c r="P90" i="2" s="1"/>
  <c r="Q90" i="2" s="1"/>
  <c r="G90" i="2"/>
  <c r="F90" i="2" s="1"/>
  <c r="E90" i="2" s="1"/>
  <c r="F143" i="1" l="1"/>
  <c r="H217" i="1"/>
  <c r="H81" i="1" s="1"/>
  <c r="E143" i="1"/>
  <c r="H34" i="1"/>
  <c r="H33" i="1"/>
  <c r="H30" i="1"/>
  <c r="H216" i="1"/>
  <c r="H79" i="1" s="1"/>
  <c r="H224" i="1"/>
  <c r="H113" i="1" s="1"/>
  <c r="H215" i="1"/>
  <c r="H78" i="1" s="1"/>
  <c r="G161" i="1"/>
  <c r="G162" i="1" s="1"/>
  <c r="G109" i="1"/>
  <c r="G117" i="1" s="1"/>
  <c r="G127" i="1" s="1"/>
  <c r="G226" i="1"/>
  <c r="H223" i="1"/>
  <c r="H115" i="1" s="1"/>
  <c r="H214" i="1"/>
  <c r="H222" i="1"/>
  <c r="H110" i="1" s="1"/>
  <c r="G64" i="1"/>
  <c r="H64" i="1" s="1"/>
  <c r="I64" i="1" s="1"/>
  <c r="J64" i="1" s="1"/>
  <c r="K64" i="1" s="1"/>
  <c r="G76" i="1"/>
  <c r="G218" i="1"/>
  <c r="H221" i="1"/>
  <c r="G191" i="1"/>
  <c r="K39" i="1"/>
  <c r="H191" i="1"/>
  <c r="H182" i="1"/>
  <c r="H161" i="1" s="1"/>
  <c r="H162" i="1" s="1"/>
  <c r="G187" i="1"/>
  <c r="H187" i="1"/>
  <c r="D47" i="1"/>
  <c r="D67" i="1"/>
  <c r="F47" i="1"/>
  <c r="F67" i="1"/>
  <c r="H28" i="1"/>
  <c r="H23" i="1"/>
  <c r="H24" i="1" s="1"/>
  <c r="I17" i="1"/>
  <c r="I18" i="1" s="1"/>
  <c r="J201" i="1"/>
  <c r="I22" i="1"/>
  <c r="I200" i="1"/>
  <c r="I202" i="1" s="1"/>
  <c r="H19" i="1"/>
  <c r="H203" i="1" s="1"/>
  <c r="D51" i="1"/>
  <c r="D52" i="1" s="1"/>
  <c r="D143" i="1"/>
  <c r="G20" i="1"/>
  <c r="G21" i="1" s="1"/>
  <c r="G25" i="1" s="1"/>
  <c r="J199" i="1"/>
  <c r="J16" i="1" s="1"/>
  <c r="F51" i="1"/>
  <c r="F52" i="1" s="1"/>
  <c r="E44" i="1"/>
  <c r="E51" i="1"/>
  <c r="E52" i="1" s="1"/>
  <c r="H90" i="2"/>
  <c r="I90" i="2" s="1"/>
  <c r="N90" i="2"/>
  <c r="M90" i="2" s="1"/>
  <c r="I31" i="1" l="1"/>
  <c r="I34" i="1"/>
  <c r="I33" i="1"/>
  <c r="I30" i="1"/>
  <c r="I224" i="1"/>
  <c r="I113" i="1" s="1"/>
  <c r="I217" i="1"/>
  <c r="I81" i="1" s="1"/>
  <c r="I222" i="1"/>
  <c r="I110" i="1" s="1"/>
  <c r="I216" i="1"/>
  <c r="I79" i="1" s="1"/>
  <c r="I221" i="1"/>
  <c r="I215" i="1"/>
  <c r="I78" i="1" s="1"/>
  <c r="I223" i="1"/>
  <c r="I115" i="1" s="1"/>
  <c r="I214" i="1"/>
  <c r="I225" i="1"/>
  <c r="I121" i="1" s="1"/>
  <c r="I125" i="1" s="1"/>
  <c r="H31" i="1"/>
  <c r="G31" i="1"/>
  <c r="G37" i="1" s="1"/>
  <c r="H226" i="1"/>
  <c r="H109" i="1"/>
  <c r="H117" i="1" s="1"/>
  <c r="H127" i="1" s="1"/>
  <c r="G228" i="1"/>
  <c r="H218" i="1"/>
  <c r="H76" i="1"/>
  <c r="I182" i="1"/>
  <c r="I161" i="1" s="1"/>
  <c r="I162" i="1" s="1"/>
  <c r="I191" i="1"/>
  <c r="D68" i="1"/>
  <c r="D48" i="1"/>
  <c r="D55" i="1" s="1"/>
  <c r="D269" i="1"/>
  <c r="F68" i="1"/>
  <c r="G68" i="1" s="1"/>
  <c r="H68" i="1" s="1"/>
  <c r="I68" i="1" s="1"/>
  <c r="J68" i="1" s="1"/>
  <c r="K68" i="1" s="1"/>
  <c r="F48" i="1"/>
  <c r="F269" i="1"/>
  <c r="G269" i="1" s="1"/>
  <c r="H269" i="1" s="1"/>
  <c r="I269" i="1" s="1"/>
  <c r="J269" i="1" s="1"/>
  <c r="K269" i="1" s="1"/>
  <c r="E47" i="1"/>
  <c r="E67" i="1"/>
  <c r="I28" i="1"/>
  <c r="I23" i="1"/>
  <c r="I24" i="1" s="1"/>
  <c r="J200" i="1"/>
  <c r="I19" i="1"/>
  <c r="I203" i="1" s="1"/>
  <c r="K201" i="1"/>
  <c r="K22" i="1" s="1"/>
  <c r="J22" i="1"/>
  <c r="J23" i="1" s="1"/>
  <c r="J24" i="1" s="1"/>
  <c r="J17" i="1"/>
  <c r="J18" i="1" s="1"/>
  <c r="H20" i="1"/>
  <c r="H21" i="1" s="1"/>
  <c r="H25" i="1" s="1"/>
  <c r="H37" i="1" s="1"/>
  <c r="K199" i="1"/>
  <c r="E21" i="3"/>
  <c r="H4" i="2" s="1"/>
  <c r="C44" i="2" s="1"/>
  <c r="C51" i="2" s="1"/>
  <c r="I43" i="2" s="1"/>
  <c r="I44" i="2" l="1"/>
  <c r="I51" i="2" s="1"/>
  <c r="O99" i="2"/>
  <c r="G99" i="2"/>
  <c r="H228" i="1"/>
  <c r="H229" i="1" s="1"/>
  <c r="I218" i="1"/>
  <c r="I76" i="1"/>
  <c r="G229" i="1"/>
  <c r="H230" i="1"/>
  <c r="H154" i="1" s="1"/>
  <c r="G230" i="1"/>
  <c r="G154" i="1" s="1"/>
  <c r="F55" i="1"/>
  <c r="F268" i="1"/>
  <c r="F257" i="1"/>
  <c r="I226" i="1"/>
  <c r="I109" i="1"/>
  <c r="I117" i="1" s="1"/>
  <c r="I127" i="1" s="1"/>
  <c r="E68" i="1"/>
  <c r="E48" i="1"/>
  <c r="E269" i="1"/>
  <c r="K16" i="1"/>
  <c r="K200" i="1"/>
  <c r="K19" i="1" s="1"/>
  <c r="J19" i="1"/>
  <c r="J20" i="1" s="1"/>
  <c r="J21" i="1" s="1"/>
  <c r="J25" i="1" s="1"/>
  <c r="K23" i="1"/>
  <c r="K24" i="1" s="1"/>
  <c r="J202" i="1"/>
  <c r="I20" i="1"/>
  <c r="I21" i="1" s="1"/>
  <c r="I25" i="1" s="1"/>
  <c r="I37" i="1" s="1"/>
  <c r="L102" i="2"/>
  <c r="D93" i="2"/>
  <c r="D102" i="2"/>
  <c r="L93" i="2"/>
  <c r="H99" i="2" l="1"/>
  <c r="I99" i="2" s="1"/>
  <c r="F99" i="2"/>
  <c r="E99" i="2" s="1"/>
  <c r="N99" i="2"/>
  <c r="M99" i="2" s="1"/>
  <c r="P99" i="2"/>
  <c r="Q99" i="2" s="1"/>
  <c r="I228" i="1"/>
  <c r="I229" i="1" s="1"/>
  <c r="E55" i="1"/>
  <c r="E257" i="1"/>
  <c r="E268" i="1"/>
  <c r="G268" i="1" s="1"/>
  <c r="H268" i="1" s="1"/>
  <c r="I230" i="1"/>
  <c r="I154" i="1" s="1"/>
  <c r="J34" i="1"/>
  <c r="J33" i="1"/>
  <c r="J31" i="1"/>
  <c r="J30" i="1"/>
  <c r="J225" i="1"/>
  <c r="J121" i="1" s="1"/>
  <c r="J125" i="1" s="1"/>
  <c r="J216" i="1"/>
  <c r="J79" i="1" s="1"/>
  <c r="J222" i="1"/>
  <c r="J110" i="1" s="1"/>
  <c r="J214" i="1"/>
  <c r="J224" i="1"/>
  <c r="J113" i="1" s="1"/>
  <c r="J215" i="1"/>
  <c r="J78" i="1" s="1"/>
  <c r="J217" i="1"/>
  <c r="J81" i="1" s="1"/>
  <c r="J221" i="1"/>
  <c r="J223" i="1"/>
  <c r="J115" i="1" s="1"/>
  <c r="J203" i="1"/>
  <c r="J182" i="1"/>
  <c r="J161" i="1" s="1"/>
  <c r="J162" i="1" s="1"/>
  <c r="J191" i="1"/>
  <c r="K202" i="1"/>
  <c r="J28" i="1"/>
  <c r="K20" i="1"/>
  <c r="K21" i="1" s="1"/>
  <c r="K17" i="1"/>
  <c r="K18" i="1" s="1"/>
  <c r="L94" i="2"/>
  <c r="L95" i="2" s="1"/>
  <c r="L92" i="2"/>
  <c r="L91" i="2" s="1"/>
  <c r="D92" i="2"/>
  <c r="D91" i="2" s="1"/>
  <c r="D94" i="2"/>
  <c r="D95" i="2" s="1"/>
  <c r="D103" i="2"/>
  <c r="D104" i="2" s="1"/>
  <c r="D101" i="2"/>
  <c r="D100" i="2" s="1"/>
  <c r="L101" i="2"/>
  <c r="L100" i="2" s="1"/>
  <c r="L103" i="2"/>
  <c r="L104" i="2" s="1"/>
  <c r="K34" i="1" l="1"/>
  <c r="K33" i="1"/>
  <c r="K31" i="1"/>
  <c r="K30" i="1"/>
  <c r="K214" i="1"/>
  <c r="K225" i="1"/>
  <c r="K121" i="1" s="1"/>
  <c r="K125" i="1" s="1"/>
  <c r="K224" i="1"/>
  <c r="K113" i="1" s="1"/>
  <c r="K216" i="1"/>
  <c r="K79" i="1" s="1"/>
  <c r="K221" i="1"/>
  <c r="K222" i="1"/>
  <c r="K110" i="1" s="1"/>
  <c r="K215" i="1"/>
  <c r="K78" i="1" s="1"/>
  <c r="K223" i="1"/>
  <c r="K115" i="1" s="1"/>
  <c r="K217" i="1"/>
  <c r="K81" i="1" s="1"/>
  <c r="J226" i="1"/>
  <c r="J109" i="1"/>
  <c r="J117" i="1" s="1"/>
  <c r="J127" i="1" s="1"/>
  <c r="J218" i="1"/>
  <c r="J76" i="1"/>
  <c r="K28" i="1"/>
  <c r="I268" i="1"/>
  <c r="J268" i="1" s="1"/>
  <c r="K203" i="1"/>
  <c r="K182" i="1"/>
  <c r="K161" i="1" s="1"/>
  <c r="K162" i="1" s="1"/>
  <c r="K191" i="1"/>
  <c r="J37" i="1"/>
  <c r="K25" i="1"/>
  <c r="B3" i="2"/>
  <c r="Q130" i="2"/>
  <c r="O130" i="2"/>
  <c r="G130" i="2"/>
  <c r="Q129" i="2"/>
  <c r="O129" i="2"/>
  <c r="G129" i="2"/>
  <c r="Q128" i="2"/>
  <c r="O128" i="2"/>
  <c r="G128" i="2"/>
  <c r="D130" i="2"/>
  <c r="E129" i="2"/>
  <c r="C129" i="2"/>
  <c r="B129" i="2"/>
  <c r="E128" i="2"/>
  <c r="C128" i="2"/>
  <c r="B128" i="2"/>
  <c r="J228" i="1" l="1"/>
  <c r="K268" i="1"/>
  <c r="K226" i="1"/>
  <c r="K109" i="1"/>
  <c r="K117" i="1" s="1"/>
  <c r="K127" i="1" s="1"/>
  <c r="K218" i="1"/>
  <c r="K76" i="1"/>
  <c r="K37" i="1"/>
  <c r="P129" i="2"/>
  <c r="D128" i="2"/>
  <c r="P128" i="2"/>
  <c r="P130" i="2"/>
  <c r="D129" i="2"/>
  <c r="K228" i="1" l="1"/>
  <c r="K229" i="1" s="1"/>
  <c r="J229" i="1"/>
  <c r="J230" i="1"/>
  <c r="J154" i="1" s="1"/>
  <c r="B3" i="3"/>
  <c r="B35" i="2"/>
  <c r="K230" i="1" l="1"/>
  <c r="K154" i="1" s="1"/>
  <c r="C12" i="2"/>
  <c r="D37" i="2"/>
  <c r="D12" i="2"/>
  <c r="E12" i="2" s="1"/>
  <c r="D5" i="2"/>
  <c r="D8" i="2" s="1"/>
  <c r="C38" i="2" s="1"/>
  <c r="E38" i="2" s="1"/>
  <c r="F12" i="2" l="1"/>
  <c r="G12" i="2" l="1"/>
  <c r="H12" i="2" l="1"/>
  <c r="I12" i="2" l="1"/>
  <c r="B43" i="2" l="1"/>
  <c r="E44" i="2"/>
  <c r="B44" i="2"/>
  <c r="F13" i="1" l="1"/>
  <c r="F71" i="1" s="1"/>
  <c r="F14" i="1"/>
  <c r="F252" i="1" l="1"/>
  <c r="F253" i="1"/>
  <c r="F234" i="1"/>
  <c r="F211" i="1"/>
  <c r="F233" i="1"/>
  <c r="F210" i="1"/>
  <c r="F197" i="1"/>
  <c r="F179" i="1"/>
  <c r="F196" i="1"/>
  <c r="F178" i="1"/>
  <c r="F72" i="1"/>
  <c r="G13" i="1"/>
  <c r="G71" i="1" s="1"/>
  <c r="E13" i="1"/>
  <c r="E71" i="1" s="1"/>
  <c r="E252" i="1" l="1"/>
  <c r="G252" i="1"/>
  <c r="G233" i="1"/>
  <c r="G210" i="1"/>
  <c r="E233" i="1"/>
  <c r="E210" i="1"/>
  <c r="G196" i="1"/>
  <c r="E178" i="1"/>
  <c r="E196" i="1"/>
  <c r="D13" i="1"/>
  <c r="D71" i="1" s="1"/>
  <c r="H13" i="1"/>
  <c r="H71" i="1" s="1"/>
  <c r="G178" i="1"/>
  <c r="G146" i="1"/>
  <c r="D252" i="1" l="1"/>
  <c r="H252" i="1"/>
  <c r="D210" i="1"/>
  <c r="D233" i="1"/>
  <c r="H210" i="1"/>
  <c r="H233" i="1"/>
  <c r="H196" i="1"/>
  <c r="D196" i="1"/>
  <c r="D178" i="1"/>
  <c r="I13" i="1"/>
  <c r="I71" i="1" s="1"/>
  <c r="H178" i="1"/>
  <c r="H146" i="1"/>
  <c r="I252" i="1" l="1"/>
  <c r="I233" i="1"/>
  <c r="I210" i="1"/>
  <c r="I196" i="1"/>
  <c r="J13" i="1"/>
  <c r="J71" i="1" s="1"/>
  <c r="I178" i="1"/>
  <c r="I146" i="1"/>
  <c r="J252" i="1" l="1"/>
  <c r="J233" i="1"/>
  <c r="J210" i="1"/>
  <c r="J196" i="1"/>
  <c r="K13" i="1"/>
  <c r="K71" i="1" s="1"/>
  <c r="J178" i="1"/>
  <c r="J146" i="1"/>
  <c r="K252" i="1" l="1"/>
  <c r="K233" i="1"/>
  <c r="K210" i="1"/>
  <c r="K196" i="1"/>
  <c r="K178" i="1"/>
  <c r="K146" i="1"/>
  <c r="C2" i="1" l="1"/>
  <c r="G14" i="1"/>
  <c r="G253" i="1" l="1"/>
  <c r="G234" i="1"/>
  <c r="G211" i="1"/>
  <c r="G197" i="1"/>
  <c r="G179" i="1"/>
  <c r="G147" i="1"/>
  <c r="G72" i="1"/>
  <c r="H14" i="1"/>
  <c r="E14" i="1"/>
  <c r="E253" i="1" l="1"/>
  <c r="H253" i="1"/>
  <c r="E234" i="1"/>
  <c r="E211" i="1"/>
  <c r="H211" i="1"/>
  <c r="H234" i="1"/>
  <c r="H197" i="1"/>
  <c r="E197" i="1"/>
  <c r="E179" i="1"/>
  <c r="H179" i="1"/>
  <c r="H147" i="1"/>
  <c r="H72" i="1"/>
  <c r="E72" i="1"/>
  <c r="D14" i="1"/>
  <c r="I14" i="1"/>
  <c r="D253" i="1" l="1"/>
  <c r="I253" i="1"/>
  <c r="D211" i="1"/>
  <c r="D234" i="1"/>
  <c r="I234" i="1"/>
  <c r="I211" i="1"/>
  <c r="I197" i="1"/>
  <c r="D197" i="1"/>
  <c r="D179" i="1"/>
  <c r="I179" i="1"/>
  <c r="I147" i="1"/>
  <c r="I72" i="1"/>
  <c r="D72" i="1"/>
  <c r="J14" i="1"/>
  <c r="J253" i="1" l="1"/>
  <c r="J234" i="1"/>
  <c r="J211" i="1"/>
  <c r="J197" i="1"/>
  <c r="J179" i="1"/>
  <c r="J147" i="1"/>
  <c r="J72" i="1"/>
  <c r="K14" i="1"/>
  <c r="K253" i="1" l="1"/>
  <c r="K234" i="1"/>
  <c r="K211" i="1"/>
  <c r="K197" i="1"/>
  <c r="K179" i="1"/>
  <c r="K147" i="1"/>
  <c r="K72" i="1"/>
  <c r="H183" i="1" l="1"/>
  <c r="H193" i="1" s="1"/>
  <c r="I187" i="1"/>
  <c r="I183" i="1" s="1"/>
  <c r="I193" i="1" s="1"/>
  <c r="H43" i="1" l="1"/>
  <c r="H51" i="1" s="1"/>
  <c r="H52" i="1" s="1"/>
  <c r="H150" i="1"/>
  <c r="I43" i="1"/>
  <c r="I51" i="1" s="1"/>
  <c r="I52" i="1" s="1"/>
  <c r="I150" i="1"/>
  <c r="J187" i="1"/>
  <c r="K187" i="1" s="1"/>
  <c r="K183" i="1" s="1"/>
  <c r="K193" i="1" s="1"/>
  <c r="J183" i="1" l="1"/>
  <c r="J193" i="1" s="1"/>
  <c r="J43" i="1" s="1"/>
  <c r="J51" i="1" s="1"/>
  <c r="J52" i="1" s="1"/>
  <c r="K43" i="1"/>
  <c r="K51" i="1" s="1"/>
  <c r="K52" i="1" s="1"/>
  <c r="K150" i="1"/>
  <c r="G183" i="1"/>
  <c r="J150" i="1" l="1"/>
  <c r="G193" i="1"/>
  <c r="G43" i="1" l="1"/>
  <c r="G150" i="1"/>
  <c r="G184" i="1"/>
  <c r="G51" i="1"/>
  <c r="G52" i="1" s="1"/>
  <c r="G248" i="1"/>
  <c r="G38" i="1" s="1"/>
  <c r="G88" i="1" l="1"/>
  <c r="G99" i="1" s="1"/>
  <c r="H181" i="1"/>
  <c r="H184" i="1" s="1"/>
  <c r="G40" i="1"/>
  <c r="G44" i="1" s="1"/>
  <c r="G249" i="1"/>
  <c r="H88" i="1" l="1"/>
  <c r="H99" i="1" s="1"/>
  <c r="I181" i="1"/>
  <c r="I184" i="1" s="1"/>
  <c r="G45" i="1"/>
  <c r="G149" i="1"/>
  <c r="G151" i="1" s="1"/>
  <c r="G156" i="1" s="1"/>
  <c r="I88" i="1" l="1"/>
  <c r="I99" i="1" s="1"/>
  <c r="J181" i="1"/>
  <c r="J184" i="1" s="1"/>
  <c r="G47" i="1"/>
  <c r="G49" i="1" s="1"/>
  <c r="G155" i="1"/>
  <c r="G157" i="1" s="1"/>
  <c r="J88" i="1" l="1"/>
  <c r="J99" i="1" s="1"/>
  <c r="K181" i="1"/>
  <c r="K184" i="1" s="1"/>
  <c r="K88" i="1" s="1"/>
  <c r="K99" i="1" s="1"/>
  <c r="G48" i="1"/>
  <c r="G264" i="1"/>
  <c r="G265" i="1"/>
  <c r="G168" i="1" s="1"/>
  <c r="G266" i="1" l="1"/>
  <c r="G55" i="1"/>
  <c r="G258" i="1"/>
  <c r="G167" i="1" s="1"/>
  <c r="G169" i="1" s="1"/>
  <c r="G171" i="1" s="1"/>
  <c r="G173" i="1" s="1"/>
  <c r="G257" i="1"/>
  <c r="G260" i="1" l="1"/>
  <c r="G136" i="1" s="1"/>
  <c r="G137" i="1" s="1"/>
  <c r="G84" i="1"/>
  <c r="G175" i="1" s="1"/>
  <c r="H263" i="1"/>
  <c r="G138" i="1"/>
  <c r="G139" i="1" l="1"/>
  <c r="G141" i="1" s="1"/>
  <c r="H256" i="1"/>
  <c r="H172" i="1"/>
  <c r="G85" i="1"/>
  <c r="G101" i="1" s="1"/>
  <c r="G243" i="1"/>
  <c r="G143" i="1" l="1"/>
  <c r="G244" i="1"/>
  <c r="H248" i="1"/>
  <c r="H249" i="1" l="1"/>
  <c r="H38" i="1"/>
  <c r="H40" i="1" s="1"/>
  <c r="H44" i="1" s="1"/>
  <c r="H149" i="1" l="1"/>
  <c r="H151" i="1" s="1"/>
  <c r="H156" i="1" s="1"/>
  <c r="H45" i="1"/>
  <c r="H155" i="1" s="1"/>
  <c r="H157" i="1" l="1"/>
  <c r="H47" i="1"/>
  <c r="H49" i="1" s="1"/>
  <c r="H48" i="1" s="1"/>
  <c r="H55" i="1" l="1"/>
  <c r="H257" i="1"/>
  <c r="H258" i="1"/>
  <c r="H167" i="1" s="1"/>
  <c r="H264" i="1"/>
  <c r="H265" i="1"/>
  <c r="H168" i="1" s="1"/>
  <c r="H266" i="1" l="1"/>
  <c r="H138" i="1" s="1"/>
  <c r="H169" i="1"/>
  <c r="H171" i="1" s="1"/>
  <c r="H173" i="1" s="1"/>
  <c r="H84" i="1" s="1"/>
  <c r="H175" i="1" s="1"/>
  <c r="H260" i="1"/>
  <c r="I263" i="1" l="1"/>
  <c r="H85" i="1"/>
  <c r="H101" i="1" s="1"/>
  <c r="H243" i="1"/>
  <c r="I248" i="1" s="1"/>
  <c r="I172" i="1"/>
  <c r="I256" i="1"/>
  <c r="H136" i="1"/>
  <c r="H137" i="1" s="1"/>
  <c r="H139" i="1" s="1"/>
  <c r="H141" i="1" s="1"/>
  <c r="I38" i="1" l="1"/>
  <c r="I40" i="1" s="1"/>
  <c r="I44" i="1" s="1"/>
  <c r="I249" i="1"/>
  <c r="H143" i="1"/>
  <c r="I149" i="1" l="1"/>
  <c r="I151" i="1" s="1"/>
  <c r="I156" i="1" s="1"/>
  <c r="I45" i="1"/>
  <c r="I155" i="1" s="1"/>
  <c r="I47" i="1" l="1"/>
  <c r="I49" i="1" s="1"/>
  <c r="I48" i="1" s="1"/>
  <c r="I157" i="1"/>
  <c r="I257" i="1" l="1"/>
  <c r="I55" i="1"/>
  <c r="I258" i="1"/>
  <c r="I167" i="1" s="1"/>
  <c r="I264" i="1"/>
  <c r="I265" i="1"/>
  <c r="I168" i="1" s="1"/>
  <c r="I260" i="1" l="1"/>
  <c r="I136" i="1" s="1"/>
  <c r="I137" i="1" s="1"/>
  <c r="I266" i="1"/>
  <c r="I169" i="1"/>
  <c r="I171" i="1" s="1"/>
  <c r="I173" i="1" s="1"/>
  <c r="J256" i="1" l="1"/>
  <c r="I84" i="1"/>
  <c r="I175" i="1" s="1"/>
  <c r="J263" i="1"/>
  <c r="I138" i="1"/>
  <c r="I139" i="1" s="1"/>
  <c r="I141" i="1" s="1"/>
  <c r="J172" i="1" l="1"/>
  <c r="I243" i="1"/>
  <c r="I85" i="1"/>
  <c r="I101" i="1" s="1"/>
  <c r="I143" i="1" s="1"/>
  <c r="J248" i="1" l="1"/>
  <c r="H244" i="1"/>
  <c r="J38" i="1" l="1"/>
  <c r="J40" i="1" s="1"/>
  <c r="J44" i="1" s="1"/>
  <c r="J249" i="1"/>
  <c r="J45" i="1" l="1"/>
  <c r="J155" i="1" s="1"/>
  <c r="J149" i="1"/>
  <c r="J151" i="1" s="1"/>
  <c r="J156" i="1" s="1"/>
  <c r="J47" i="1" l="1"/>
  <c r="J49" i="1" s="1"/>
  <c r="J48" i="1" s="1"/>
  <c r="J257" i="1" s="1"/>
  <c r="J157" i="1"/>
  <c r="J264" i="1" l="1"/>
  <c r="J258" i="1"/>
  <c r="J167" i="1" s="1"/>
  <c r="J265" i="1"/>
  <c r="J168" i="1" s="1"/>
  <c r="J55" i="1"/>
  <c r="J169" i="1" l="1"/>
  <c r="J171" i="1" s="1"/>
  <c r="J173" i="1" s="1"/>
  <c r="J84" i="1" s="1"/>
  <c r="J175" i="1" s="1"/>
  <c r="J266" i="1"/>
  <c r="J260" i="1"/>
  <c r="K256" i="1" s="1"/>
  <c r="J136" i="1"/>
  <c r="J137" i="1" s="1"/>
  <c r="J243" i="1"/>
  <c r="I244" i="1" s="1"/>
  <c r="J138" i="1"/>
  <c r="K263" i="1"/>
  <c r="K172" i="1" l="1"/>
  <c r="K248" i="1"/>
  <c r="K38" i="1" s="1"/>
  <c r="K40" i="1" s="1"/>
  <c r="K44" i="1" s="1"/>
  <c r="J85" i="1"/>
  <c r="J101" i="1" s="1"/>
  <c r="J139" i="1"/>
  <c r="J141" i="1" s="1"/>
  <c r="K249" i="1" l="1"/>
  <c r="J143" i="1"/>
  <c r="K149" i="1"/>
  <c r="K151" i="1" s="1"/>
  <c r="K156" i="1" s="1"/>
  <c r="K45" i="1"/>
  <c r="K47" i="1" l="1"/>
  <c r="K155" i="1"/>
  <c r="K157" i="1" s="1"/>
  <c r="K49" i="1" l="1"/>
  <c r="K48" i="1" s="1"/>
  <c r="K258" i="1" l="1"/>
  <c r="K167" i="1" s="1"/>
  <c r="K55" i="1"/>
  <c r="K257" i="1"/>
  <c r="K265" i="1"/>
  <c r="K168" i="1" s="1"/>
  <c r="K264" i="1"/>
  <c r="K260" i="1" l="1"/>
  <c r="K136" i="1" s="1"/>
  <c r="K137" i="1" s="1"/>
  <c r="K266" i="1"/>
  <c r="K138" i="1" s="1"/>
  <c r="K169" i="1"/>
  <c r="K171" i="1" s="1"/>
  <c r="K173" i="1" s="1"/>
  <c r="K139" i="1" l="1"/>
  <c r="K141" i="1" s="1"/>
  <c r="K84" i="1"/>
  <c r="K85" i="1" l="1"/>
  <c r="K101" i="1" s="1"/>
  <c r="K143" i="1" s="1"/>
  <c r="K243" i="1"/>
  <c r="K175" i="1"/>
  <c r="K244" i="1" l="1"/>
  <c r="J244" i="1"/>
  <c r="H7" i="2"/>
  <c r="E37" i="2"/>
  <c r="F37" i="2"/>
  <c r="G37" i="2"/>
  <c r="H37" i="2"/>
  <c r="I37" i="2"/>
  <c r="E39" i="2"/>
  <c r="F39" i="2"/>
  <c r="G39" i="2"/>
  <c r="H39" i="2"/>
  <c r="I39" i="2"/>
  <c r="C45" i="2"/>
  <c r="I45" i="2"/>
  <c r="C46" i="2"/>
  <c r="I46" i="2"/>
  <c r="C47" i="2"/>
  <c r="I47" i="2"/>
  <c r="C49" i="2"/>
  <c r="I49" i="2"/>
  <c r="C50" i="2"/>
  <c r="I50" i="2"/>
  <c r="C69" i="2"/>
  <c r="D69" i="2"/>
  <c r="C71" i="2"/>
  <c r="D71" i="2"/>
  <c r="C73" i="2"/>
  <c r="D73" i="2"/>
  <c r="C77" i="2"/>
  <c r="D77" i="2"/>
  <c r="C78" i="2"/>
  <c r="D78" i="2"/>
  <c r="C79" i="2"/>
  <c r="D79" i="2"/>
  <c r="C82" i="2"/>
  <c r="D82" i="2"/>
  <c r="C83" i="2"/>
  <c r="D83" i="2"/>
  <c r="C84" i="2"/>
  <c r="D84" i="2"/>
  <c r="D90" i="2"/>
  <c r="L90" i="2"/>
  <c r="D99" i="2"/>
  <c r="L99" i="2"/>
  <c r="C5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Ahmed Wael</author>
  </authors>
  <commentList>
    <comment ref="F258" authorId="0" shapeId="0" xr:uid="{5F7CAD82-EB55-44F5-BC7E-8CBA52A67CD1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parent dividends, from the CFS</t>
        </r>
      </text>
    </comment>
    <comment ref="F265" authorId="0" shapeId="0" xr:uid="{B222F998-FA03-4837-AF55-89E0E1C6E611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NCI dividends, from the CFS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Wall Street Prep</author>
  </authors>
  <commentList>
    <comment ref="I51" authorId="0" shapeId="0" xr:uid="{8E543FE1-4D2A-4B6A-90B5-A9DA78F47853}">
      <text>
        <r>
          <rPr>
            <b/>
            <sz val="9"/>
            <color indexed="81"/>
            <rFont val="Tahoma"/>
            <family val="2"/>
          </rPr>
          <t>Ahmed Wael</t>
        </r>
        <r>
          <rPr>
            <sz val="9"/>
            <color indexed="81"/>
            <rFont val="Tahoma"/>
            <family val="2"/>
          </rPr>
          <t xml:space="preserve">
Implied g = [r -FCF(t)/TV]/(1+FCF(t)/TV)</t>
        </r>
      </text>
    </comment>
  </commentList>
</comments>
</file>

<file path=xl/sharedStrings.xml><?xml version="1.0" encoding="utf-8"?>
<sst xmlns="http://schemas.openxmlformats.org/spreadsheetml/2006/main" count="409" uniqueCount="337">
  <si>
    <t>Company Name</t>
  </si>
  <si>
    <t>Ticker</t>
  </si>
  <si>
    <t>Last Historical Year</t>
  </si>
  <si>
    <t>ASSETS</t>
  </si>
  <si>
    <t>Current Assets</t>
  </si>
  <si>
    <t>Total Current Assets</t>
  </si>
  <si>
    <t>Non-Current Assets</t>
  </si>
  <si>
    <t>Total Non-Current Assets</t>
  </si>
  <si>
    <t>Total Assets</t>
  </si>
  <si>
    <t>LIABILITIES AND EQUITY</t>
  </si>
  <si>
    <t>Current Liabilities</t>
  </si>
  <si>
    <t>Total Current Liabilities</t>
  </si>
  <si>
    <t>Non-Current Liabilities</t>
  </si>
  <si>
    <t>Total Non-Current Liabilities</t>
  </si>
  <si>
    <t>Total Liabilities</t>
  </si>
  <si>
    <t>Equity</t>
  </si>
  <si>
    <t>Retained earnings</t>
  </si>
  <si>
    <t>Total Equity</t>
  </si>
  <si>
    <t>Total Liabilites &amp; Equity</t>
  </si>
  <si>
    <t>Balance Check</t>
  </si>
  <si>
    <t>Cash Generated from Operations</t>
  </si>
  <si>
    <t>CASH FLOWS FROM INVESTING ACTIVITIES</t>
  </si>
  <si>
    <t>CASH FLOWS FROM FINANCING ACTIVITIES</t>
  </si>
  <si>
    <t>Reconciliation Check vs BS Cash</t>
  </si>
  <si>
    <t>Depreciation &amp; amortization</t>
  </si>
  <si>
    <t>EBITDA</t>
  </si>
  <si>
    <t>Revenue growth</t>
  </si>
  <si>
    <t>Tax rate</t>
  </si>
  <si>
    <t>Growth Rates &amp; Margins</t>
  </si>
  <si>
    <t>Latest Closing Share Price</t>
  </si>
  <si>
    <t>Latest Closing Share Price Date</t>
  </si>
  <si>
    <t>Shares outstanding</t>
  </si>
  <si>
    <t>PROPERTY, PLANT &amp; EQUIPMENT</t>
  </si>
  <si>
    <t>Beginning of period</t>
  </si>
  <si>
    <t>Plus: Capital expenditures</t>
  </si>
  <si>
    <t>Less: Depreciation</t>
  </si>
  <si>
    <t>End of period</t>
  </si>
  <si>
    <t>IMPUTING TOTAL DEPRECIATION &amp; AMORTIZATION</t>
  </si>
  <si>
    <t>D&amp;A not related to PP&amp;E</t>
  </si>
  <si>
    <t>as % of revenue</t>
  </si>
  <si>
    <t xml:space="preserve">Depreciation &amp; Amortization - Total </t>
  </si>
  <si>
    <t>Dividend payout ratio</t>
  </si>
  <si>
    <t>% growth</t>
  </si>
  <si>
    <t>Basic EPS (EGP)</t>
  </si>
  <si>
    <t>INCOME STATEMENT</t>
  </si>
  <si>
    <t xml:space="preserve">Fiscal year  </t>
  </si>
  <si>
    <t>Fiscal year end date</t>
  </si>
  <si>
    <t>BALANCE SHEET</t>
  </si>
  <si>
    <t>CASH FLOW STATEMENT</t>
  </si>
  <si>
    <t>Discounted Cash Flow Valuation</t>
  </si>
  <si>
    <t>Most recent fiscal year end</t>
  </si>
  <si>
    <t>Discount rate (WACC)</t>
  </si>
  <si>
    <t>Link from WACC</t>
  </si>
  <si>
    <t>End of first fiscal year</t>
  </si>
  <si>
    <t>Share price (Public Co)</t>
  </si>
  <si>
    <t>Most recent quarter end date</t>
  </si>
  <si>
    <t>Share price date</t>
  </si>
  <si>
    <t xml:space="preserve">Valuation date </t>
  </si>
  <si>
    <t>Portion of First Year Cash Flows</t>
  </si>
  <si>
    <t>Unlevered Free Cash Flows</t>
  </si>
  <si>
    <t>LTM</t>
  </si>
  <si>
    <t>Actual</t>
  </si>
  <si>
    <t>Forecasts</t>
  </si>
  <si>
    <t>Fiscal year ended</t>
  </si>
  <si>
    <t>Revenue</t>
  </si>
  <si>
    <t>% margin</t>
  </si>
  <si>
    <t>EBIT</t>
  </si>
  <si>
    <t>Tax on EBIT</t>
  </si>
  <si>
    <t>NOPAT (aka EBIAT)</t>
  </si>
  <si>
    <t>Changes in net working capital</t>
  </si>
  <si>
    <t>Capital expenditures</t>
  </si>
  <si>
    <t>Unlevered free cash flows (UFCF)</t>
  </si>
  <si>
    <t>Net working capital (WC Assets - WC liabilities)</t>
  </si>
  <si>
    <t>Val date</t>
  </si>
  <si>
    <t xml:space="preserve">Yr 1 - Stub </t>
  </si>
  <si>
    <t>Year 2</t>
  </si>
  <si>
    <t>Year 3</t>
  </si>
  <si>
    <t>Year 4</t>
  </si>
  <si>
    <t>Year 5</t>
  </si>
  <si>
    <t>Date for discounting cash flows</t>
  </si>
  <si>
    <t>Unlevered free cash flows (UFCF) stub adjusted</t>
  </si>
  <si>
    <t>Present value of of unlevered free cash flows</t>
  </si>
  <si>
    <t>Terminal value - growth in perpetuity approach</t>
  </si>
  <si>
    <t>Terminal value - EBITDA multiple approach</t>
  </si>
  <si>
    <t>Long term growth rate</t>
  </si>
  <si>
    <t>Terminal year EBITDA</t>
  </si>
  <si>
    <t>EBITDA multiple</t>
  </si>
  <si>
    <t>Present value of terminal value</t>
  </si>
  <si>
    <t>Present value of stage 1 cash flows</t>
  </si>
  <si>
    <t>Total enterprise value (TEV)</t>
  </si>
  <si>
    <t>Enterprise value (stage 1 + 2)</t>
  </si>
  <si>
    <t>Terminal value as % of TEV</t>
  </si>
  <si>
    <t>Stage 1 cash flows as % of TEV</t>
  </si>
  <si>
    <t>Cash flows as % of TEV</t>
  </si>
  <si>
    <t>Implied TV exit EBITDA multiple</t>
  </si>
  <si>
    <t>Implied terminal growth rate</t>
  </si>
  <si>
    <t>Net debt</t>
  </si>
  <si>
    <t>Source doc</t>
  </si>
  <si>
    <t>Source date</t>
  </si>
  <si>
    <t>Date</t>
  </si>
  <si>
    <t>Shares</t>
  </si>
  <si>
    <t>Gross debt and equivalents</t>
  </si>
  <si>
    <t>Basic shares</t>
  </si>
  <si>
    <t>Debt</t>
  </si>
  <si>
    <t>Restricted stock / RSUs</t>
  </si>
  <si>
    <t>Convertible debt</t>
  </si>
  <si>
    <t>Options / warrants</t>
  </si>
  <si>
    <t>Preferred stock</t>
  </si>
  <si>
    <t>Noncontrolling (minority) interests</t>
  </si>
  <si>
    <t>Convertible preferred stock</t>
  </si>
  <si>
    <t>Nonoperating assets</t>
  </si>
  <si>
    <t>Net diluted shares outstanding</t>
  </si>
  <si>
    <t xml:space="preserve">Cash </t>
  </si>
  <si>
    <t xml:space="preserve">Equity investments </t>
  </si>
  <si>
    <t>Valuation</t>
  </si>
  <si>
    <t>Perpetuity</t>
  </si>
  <si>
    <t>Enterprise value</t>
  </si>
  <si>
    <t xml:space="preserve">Equity value </t>
  </si>
  <si>
    <t>Equity value per share</t>
  </si>
  <si>
    <t>Last twelve months (LTM)</t>
  </si>
  <si>
    <t>EV / Revenue</t>
  </si>
  <si>
    <t xml:space="preserve">EV / EBITDA </t>
  </si>
  <si>
    <t>EV / EBIT</t>
  </si>
  <si>
    <t>Year 1</t>
  </si>
  <si>
    <t>Outputs</t>
  </si>
  <si>
    <t>LTM EBITDA multiple</t>
  </si>
  <si>
    <t>Long term growth rate (g):</t>
  </si>
  <si>
    <t>WACC:</t>
  </si>
  <si>
    <t xml:space="preserve">Data </t>
  </si>
  <si>
    <t>Tables</t>
  </si>
  <si>
    <t>Exit EBITDA Multiple</t>
  </si>
  <si>
    <t>Equity value range</t>
  </si>
  <si>
    <t>Football field</t>
  </si>
  <si>
    <t>Low</t>
  </si>
  <si>
    <t>Diff.</t>
  </si>
  <si>
    <t>High</t>
  </si>
  <si>
    <t>52 Week Market High/Low</t>
  </si>
  <si>
    <t>WACC Buildup</t>
  </si>
  <si>
    <t>Cost of capital assumptions</t>
  </si>
  <si>
    <t>Cost of debt</t>
  </si>
  <si>
    <t>Cost of debt (after tax)</t>
  </si>
  <si>
    <t xml:space="preserve">Risk free rate </t>
  </si>
  <si>
    <t xml:space="preserve">Beta </t>
  </si>
  <si>
    <t>Market risk premium</t>
  </si>
  <si>
    <t>Cost of equity</t>
  </si>
  <si>
    <t>Capital weights (capital structure)</t>
  </si>
  <si>
    <t xml:space="preserve">Target </t>
  </si>
  <si>
    <t xml:space="preserve">Current </t>
  </si>
  <si>
    <t>(override)</t>
  </si>
  <si>
    <t>% of total</t>
  </si>
  <si>
    <t>Cost of capital (WACC)</t>
  </si>
  <si>
    <t>CapEx % of revenue</t>
  </si>
  <si>
    <t>All amounts are shown in Egyptian pounds, except per-share data, ratios, and shares outstanding</t>
  </si>
  <si>
    <t>EBITDA margin %</t>
  </si>
  <si>
    <t>NCI share of NI</t>
  </si>
  <si>
    <t>Deferred tax assets</t>
  </si>
  <si>
    <t>Issued and paid-up capital</t>
  </si>
  <si>
    <t>Total Operating Revenue</t>
  </si>
  <si>
    <t>Implied Share Price</t>
  </si>
  <si>
    <t>Upside / (Downside)</t>
  </si>
  <si>
    <t>Finance income</t>
  </si>
  <si>
    <t>Finance costs</t>
  </si>
  <si>
    <t>Right of use assets</t>
  </si>
  <si>
    <t>Inventories</t>
  </si>
  <si>
    <t>Cash and cash equivalents</t>
  </si>
  <si>
    <t>Deferred tax liabilities</t>
  </si>
  <si>
    <t>Net finance costs</t>
  </si>
  <si>
    <t>Changes in Working Capital</t>
  </si>
  <si>
    <t>Net change in cash and cash equivalents</t>
  </si>
  <si>
    <t>Cash and cash equivalents at 1 January</t>
  </si>
  <si>
    <t>Cash and cash equivalents at 31 December</t>
  </si>
  <si>
    <t>REVENUE BUILD BY SEGMENT (EGP)</t>
  </si>
  <si>
    <t>WORKING CAPITAL SCHEDULE</t>
  </si>
  <si>
    <t>Operating Working Capital Assets</t>
  </si>
  <si>
    <t>Total Operating WC Assets</t>
  </si>
  <si>
    <t>Net Working Capital</t>
  </si>
  <si>
    <t>NWC as % of revenue</t>
  </si>
  <si>
    <t>Change in NWC (− = cash used)</t>
  </si>
  <si>
    <t>Operating Working Capital Liabilities</t>
  </si>
  <si>
    <t>Total Operating WC Liabilities</t>
  </si>
  <si>
    <t>DEBT &amp; INTEREST SCHEDULE</t>
  </si>
  <si>
    <t>Total debt (loans &amp; borrowings, incl. leases)</t>
  </si>
  <si>
    <t>End of period (BS current + non-current)</t>
  </si>
  <si>
    <t>Average debt</t>
  </si>
  <si>
    <t>Effective interest rate</t>
  </si>
  <si>
    <t>Interest income</t>
  </si>
  <si>
    <t>Interest-earning assets (cash + debt securities)</t>
  </si>
  <si>
    <t>Average earning assets</t>
  </si>
  <si>
    <t>Effective yield</t>
  </si>
  <si>
    <t>EQUITY &amp; NCI ROLL-FORWARD</t>
  </si>
  <si>
    <t>Retained Earnings</t>
  </si>
  <si>
    <t>Plus: Net income to parent</t>
  </si>
  <si>
    <t>Less: Dividends &amp; distributions</t>
  </si>
  <si>
    <t>Other (FX-to-RE, reserve transfer)</t>
  </si>
  <si>
    <t>End of period (= BS)</t>
  </si>
  <si>
    <t>Non-controlling Interests</t>
  </si>
  <si>
    <t>Plus: NCI share of net income</t>
  </si>
  <si>
    <t>NCI dividends &amp; acquisitions (net)</t>
  </si>
  <si>
    <t>NCI % of total net income</t>
  </si>
  <si>
    <t>G&amp;A % of revenue</t>
  </si>
  <si>
    <t>Debt securities (optional cash asset)</t>
  </si>
  <si>
    <t>Talaat Moustafa Group Holding</t>
  </si>
  <si>
    <t>TMGH.CA</t>
  </si>
  <si>
    <t>Real Estate Development Revenue</t>
  </si>
  <si>
    <t>Real Estate Development Costs</t>
  </si>
  <si>
    <t>Gross Profit from Real Estate Development</t>
  </si>
  <si>
    <t>Hospitality Revenue</t>
  </si>
  <si>
    <t>Hospitality Costs</t>
  </si>
  <si>
    <t>Gross Profit from Hospitality</t>
  </si>
  <si>
    <t>Periodic Yield &amp; Service Revenue</t>
  </si>
  <si>
    <t>Periodic Yield &amp; Service Costs</t>
  </si>
  <si>
    <t>Gross Profit from Services</t>
  </si>
  <si>
    <t>Total Gross Profit</t>
  </si>
  <si>
    <t>Gain on Revaluation of Investment Properties</t>
  </si>
  <si>
    <t>Gains from Hotel Acquisition (Consolidation)</t>
  </si>
  <si>
    <t>Other Income</t>
  </si>
  <si>
    <t>General &amp; Administrative Expenses</t>
  </si>
  <si>
    <t>Marketing Expenses</t>
  </si>
  <si>
    <t>FX Revaluation Differences (P&amp;L)</t>
  </si>
  <si>
    <t>Donations &amp; Governmental Charges</t>
  </si>
  <si>
    <t>Provisions &amp; Expected Credit Losses</t>
  </si>
  <si>
    <t>Board of Directors' Allowances</t>
  </si>
  <si>
    <t>Takaful Contribution</t>
  </si>
  <si>
    <t>Operating Income</t>
  </si>
  <si>
    <t>Finance Income</t>
  </si>
  <si>
    <t>Finance Cost</t>
  </si>
  <si>
    <t>Net Finance Income (Cost)</t>
  </si>
  <si>
    <t>Share of Profit of Associates</t>
  </si>
  <si>
    <t>Goodwill Impairment</t>
  </si>
  <si>
    <t>Depreciation &amp; Amortization</t>
  </si>
  <si>
    <t>Profit Before Tax (PBT)</t>
  </si>
  <si>
    <t>Current Tax</t>
  </si>
  <si>
    <t>Deferred Tax</t>
  </si>
  <si>
    <t>Net Profit for the Year</t>
  </si>
  <si>
    <t>Attributable to Parent Shareholders</t>
  </si>
  <si>
    <t>Attributable to NCI</t>
  </si>
  <si>
    <t>Properties under development</t>
  </si>
  <si>
    <t>Work in Progress</t>
  </si>
  <si>
    <t>Trade and notes receivables</t>
  </si>
  <si>
    <t>Notes receivable for undelivered units</t>
  </si>
  <si>
    <t>Other current assets (debit balances)</t>
  </si>
  <si>
    <t>Financial assets at FVPL</t>
  </si>
  <si>
    <t>Amortized-cost time deposits (Current)</t>
  </si>
  <si>
    <t>PP&amp;E (Fixed assets)</t>
  </si>
  <si>
    <t>Investment properties</t>
  </si>
  <si>
    <t>Projects/Fixed assets under construction</t>
  </si>
  <si>
    <t>Intangible assets</t>
  </si>
  <si>
    <t>Goodwill</t>
  </si>
  <si>
    <t>Investments in associates</t>
  </si>
  <si>
    <t>Investments at FVOCI</t>
  </si>
  <si>
    <t>Amortized-cost time deposits (Non-current)</t>
  </si>
  <si>
    <t>Other non-current financial assets</t>
  </si>
  <si>
    <t>Credit facilities</t>
  </si>
  <si>
    <t>Loans (current portion)</t>
  </si>
  <si>
    <t>Lease liability (current)</t>
  </si>
  <si>
    <t>Suppliers, contractors &amp; notes payable</t>
  </si>
  <si>
    <t>Advance payments from customers</t>
  </si>
  <si>
    <t>Obligations against notes for undelivered units</t>
  </si>
  <si>
    <t>Dividends payable</t>
  </si>
  <si>
    <t>Provisions for expected liabilities</t>
  </si>
  <si>
    <t>Income tax payable</t>
  </si>
  <si>
    <t>Creditors and other credit balances</t>
  </si>
  <si>
    <t>Loans (non-current portion)</t>
  </si>
  <si>
    <t>Other non-current liabilities</t>
  </si>
  <si>
    <t>Lease liability (non-current)</t>
  </si>
  <si>
    <t>Factoring non-current liabilities</t>
  </si>
  <si>
    <t>Legal reserve</t>
  </si>
  <si>
    <t>General reserve</t>
  </si>
  <si>
    <t>Foreign currency translation reserve</t>
  </si>
  <si>
    <t>Fair value through OCI reserve</t>
  </si>
  <si>
    <t>Treasury Shares</t>
  </si>
  <si>
    <t>Equity Attributable to Parent</t>
  </si>
  <si>
    <t>Non-controlling interests (NCI)</t>
  </si>
  <si>
    <t>Net profit before tax and non-controlling interest</t>
  </si>
  <si>
    <t>Depreciation and amortization</t>
  </si>
  <si>
    <t>Operating cash flow before working capital</t>
  </si>
  <si>
    <t>Income tax paid</t>
  </si>
  <si>
    <t>Payments for acquiring assets / construction</t>
  </si>
  <si>
    <t>Proceeds (repayments) of loans &amp; facilities</t>
  </si>
  <si>
    <t>Dividends paid to parent shareholders</t>
  </si>
  <si>
    <t>Dividends paid to non-controlling interest</t>
  </si>
  <si>
    <t>Net cash flow from financing activities</t>
  </si>
  <si>
    <t>Net cash flows used in investing activities</t>
  </si>
  <si>
    <t>Net cash flows from operating activities</t>
  </si>
  <si>
    <t>Investment Income</t>
  </si>
  <si>
    <t>Bank overdraft</t>
  </si>
  <si>
    <t>Real Estate Development</t>
  </si>
  <si>
    <t>Hospitality</t>
  </si>
  <si>
    <t>Periodic Yield &amp; Services</t>
  </si>
  <si>
    <t>Check vs IS (rows 16+19+22)</t>
  </si>
  <si>
    <t>RE Development GM %</t>
  </si>
  <si>
    <t>Hospitality GM %</t>
  </si>
  <si>
    <t>Services GM %</t>
  </si>
  <si>
    <t>PP&amp;E depreciation as % of revenue</t>
  </si>
  <si>
    <t>Trade &amp; notes receivables</t>
  </si>
  <si>
    <t>Other current assets</t>
  </si>
  <si>
    <t>Creditors &amp; other credit balances</t>
  </si>
  <si>
    <t>Provisions</t>
  </si>
  <si>
    <t>Net change in working capital</t>
  </si>
  <si>
    <t>Consolidated FS 2025</t>
  </si>
  <si>
    <t>12/31/2025</t>
  </si>
  <si>
    <t>Talaat Moustafa Group (TMGH) - Net Asset Value (NAV / RNAV) Model</t>
  </si>
  <si>
    <t>All amounts in EGP. FY2025 basis. Per-share figures are PARENT (exclude minority interests).</t>
  </si>
  <si>
    <t>Contracted sales backlog (deferred / undelivered)</t>
  </si>
  <si>
    <t>Backlog net after-tax development margin (%)</t>
  </si>
  <si>
    <t>Remaining developable land bank (sqm)</t>
  </si>
  <si>
    <t>Net dev. profit per sqm on remaining land (EGP)</t>
  </si>
  <si>
    <t>NCI share of development surplus (%)</t>
  </si>
  <si>
    <t>Current share price (EGP)</t>
  </si>
  <si>
    <t>Parent book equity</t>
  </si>
  <si>
    <t>Non-controlling interests (book)</t>
  </si>
  <si>
    <t>Cash &amp; cash equivalents</t>
  </si>
  <si>
    <t>Time deposits &amp; amortized-cost securities</t>
  </si>
  <si>
    <t>Financial investments (FVPL + FVOCI)</t>
  </si>
  <si>
    <t>Less: total debt (loans, facilities, leases)</t>
  </si>
  <si>
    <t>Net financial assets (net CASH position)</t>
  </si>
  <si>
    <t>Investment properties (carried at fair value)</t>
  </si>
  <si>
    <t>(+) Embedded after-tax profit in contracted backlog</t>
  </si>
  <si>
    <t>(+) Development surplus on remaining land bank</t>
  </si>
  <si>
    <t>(=) Gross unbooked surplus (group, 100%)</t>
  </si>
  <si>
    <t>(-) Less: NCI share of surplus</t>
  </si>
  <si>
    <t>(=) Surplus attributable to parent</t>
  </si>
  <si>
    <t>PARENT NET ASSET VALUE (NAV)</t>
  </si>
  <si>
    <t>NAV per share (EGP)</t>
  </si>
  <si>
    <t>Upside / (downside) to NAV</t>
  </si>
  <si>
    <t>Backlog margin  \  Land EGP / sqm</t>
  </si>
  <si>
    <t>Analyst NAV target - low (EGP)</t>
  </si>
  <si>
    <t>Analyst NAV target - high (EGP)</t>
  </si>
  <si>
    <t>Implied parent NAV at consensus midpoint</t>
  </si>
  <si>
    <t>Your NAV per share vs consensus midpoint</t>
  </si>
  <si>
    <t>DCF (FCFF) value per share - for reference</t>
  </si>
  <si>
    <t>Memo: P/B implied by current price</t>
  </si>
  <si>
    <t>Assumptions</t>
  </si>
  <si>
    <t>Net Asset Backing (FY25)</t>
  </si>
  <si>
    <t>RNAV Build</t>
  </si>
  <si>
    <t>Sensitivity — NAV / SHARE</t>
  </si>
  <si>
    <t>Cross-Check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</si>
</sst>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5">
    <numFmt numFmtId="164" formatCode="&quot;$&quot;#,##0.00_);\(&quot;$&quot;#,##0.00\)"/>
    <numFmt numFmtId="165" formatCode="_(* #,##0_);_(* \(#,##0\);_(* &quot;-&quot;_);_(@_)"/>
    <numFmt numFmtId="166" formatCode="&quot;FY&quot;yy"/>
    <numFmt numFmtId="167" formatCode="0.0%"/>
    <numFmt numFmtId="168" formatCode="_(* #,##0.00_);_(* \(#,##0.00\);_(* \-??_);_(@_)"/>
    <numFmt numFmtId="169" formatCode="_(* #,##0_);_(* \(#,##0\);_(* \-??_);_(@_)"/>
    <numFmt numFmtId="170" formatCode="_(* #,##0_);_(* \(#,##0\);_(* \-_);_(@_)"/>
    <numFmt numFmtId="171" formatCode="_(* #,##0_);_(* \(#,##0\);_(* &quot;-&quot;??_);_(@_)"/>
    <numFmt numFmtId="172" formatCode="#,##0.000_);\(#,##0.000\)"/>
    <numFmt numFmtId="173" formatCode="m/d/yy;@"/>
    <numFmt numFmtId="174" formatCode="0\A;[Red]0\A"/>
    <numFmt numFmtId="175" formatCode="0\P_);\(0\P\)"/>
    <numFmt numFmtId="176" formatCode="0.0%_);\(0.0%\);@_)"/>
    <numFmt numFmtId="177" formatCode="_(#,##0.0%_);\(#,##0.0%\);_(&quot;–&quot;_)_%;_(@_)_%"/>
    <numFmt numFmtId="178" formatCode="0000\A"/>
    <numFmt numFmtId="179" formatCode="0000\P"/>
    <numFmt numFmtId="180" formatCode="#,##0_);\(#,##0\);@_)"/>
    <numFmt numFmtId="181" formatCode="0.0\x_);\(0.0\x\);@_)"/>
    <numFmt numFmtId="182" formatCode="0.000%_);\(0.000%\);@_)"/>
    <numFmt numFmtId="183" formatCode="#,##0.000_);\(#,##0.000\);@_)"/>
    <numFmt numFmtId="184" formatCode="_([$$]#,##0_)_%;\([$$]#,##0\)_%;_(&quot;–&quot;_)_%;_(@_)_%"/>
    <numFmt numFmtId="185" formatCode="&quot;$&quot;#,##0.00_);\(&quot;$&quot;#,##0.00\);@_)"/>
    <numFmt numFmtId="186" formatCode="_(0.0\x_)_';_(\(0.0\x\)_';_(&quot;–&quot;_)_%;_(@_)_%"/>
    <numFmt numFmtId="187" formatCode="_(0.0_)_'_x;_(\(0.0\)_';_(&quot;–&quot;_)_%;_(@_)_%"/>
    <numFmt numFmtId="188" formatCode="#,##0.00_);\(#,##0.00\);\-_);@_)"/>
    <numFmt numFmtId="189" formatCode="#,##0.0_);\(#,##0.0\);\-_);@_)"/>
    <numFmt numFmtId="190" formatCode="_(#,##0.00%_);\(#,##0.00%\);_(&quot;–&quot;_)_%;_(@_)_%"/>
    <numFmt numFmtId="191" formatCode="[$EGP]\ #,##0.00_);\([$EGP]\ #,##0.00\)"/>
    <numFmt numFmtId="192" formatCode="[$EGP]\ #,##0.00_);[Red]\([$EGP]\ #,##0.00\)"/>
    <numFmt numFmtId="193" formatCode="_(* #,##0.0_);_(* \(#,##0.0\);_(* \-??_);_(@_)"/>
    <numFmt numFmtId="194" formatCode="[$EGP]\ #,##0.00;\-[$EGP]\ #,##0.00"/>
    <numFmt numFmtId="195" formatCode="d/m/yy;@"/>
    <numFmt numFmtId="196" formatCode="#,##0;\(#,##0\);\-"/>
    <numFmt numFmtId="197" formatCode="0.00\x"/>
    <numFmt numFmtId="203" formatCode="#,##0.00;\(#,##0.00\);\-"/>
  </numFmts>
  <fonts count="41" x14ac:knownFonts="1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11"/>
      <color theme="4" tint="-0.249977111117893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i/>
      <sz val="11"/>
      <color theme="1"/>
      <name val="Calibri"/>
      <family val="2"/>
    </font>
    <font>
      <sz val="11"/>
      <color theme="0"/>
      <name val="Calibri"/>
      <family val="2"/>
    </font>
    <font>
      <i/>
      <sz val="11"/>
      <color theme="1"/>
      <name val="Calibri"/>
      <family val="2"/>
      <scheme val="minor"/>
    </font>
    <font>
      <i/>
      <sz val="11"/>
      <name val="Calibri"/>
      <family val="2"/>
    </font>
    <font>
      <i/>
      <sz val="9"/>
      <color rgb="FF000000"/>
      <name val="Calibri"/>
      <family val="2"/>
      <scheme val="minor"/>
    </font>
    <font>
      <sz val="10"/>
      <name val="Times New Roman"/>
      <family val="1"/>
    </font>
    <font>
      <sz val="11"/>
      <color rgb="FF008000"/>
      <name val="Calibri"/>
      <family val="2"/>
      <scheme val="minor"/>
    </font>
    <font>
      <u/>
      <sz val="11"/>
      <color theme="10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singleAccounting"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0000"/>
      <name val="Calibri"/>
      <family val="2"/>
    </font>
    <font>
      <sz val="11"/>
      <color theme="4" tint="-0.249977111117893"/>
      <name val="Calibri"/>
      <family val="2"/>
      <charset val="1"/>
    </font>
    <font>
      <sz val="11"/>
      <name val="Calibri"/>
      <family val="2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9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2F2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D9D9D9"/>
        <bgColor rgb="FFD9E1F2"/>
      </patternFill>
    </fill>
    <fill>
      <patternFill patternType="solid">
        <fgColor rgb="FFD9E1F2"/>
        <bgColor rgb="FFD9D9D9"/>
      </patternFill>
    </fill>
  </fills>
  <borders count="27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8" fontId="5" fillId="0" borderId="0"/>
    <xf numFmtId="9" fontId="5" fillId="0" borderId="0"/>
    <xf numFmtId="0" fontId="4" fillId="0" borderId="0"/>
    <xf numFmtId="37" fontId="23" fillId="0" borderId="0"/>
    <xf numFmtId="0" fontId="25" fillId="0" borderId="0" applyNumberFormat="0" applyFill="0" applyBorder="0" applyAlignment="0" applyProtection="0"/>
  </cellStyleXfs>
  <cellXfs count="283">
    <xf numFmtId="0" fontId="0" fillId="0" borderId="0" xfId="0"/>
    <xf numFmtId="167" fontId="5" fillId="0" borderId="0" xfId="2" applyNumberFormat="1"/>
    <xf numFmtId="0" fontId="6" fillId="0" borderId="4" xfId="0" applyFont="1" applyBorder="1"/>
    <xf numFmtId="0" fontId="7" fillId="0" borderId="0" xfId="0" applyFont="1"/>
    <xf numFmtId="0" fontId="8" fillId="0" borderId="0" xfId="0" applyFont="1" applyAlignment="1">
      <alignment horizontal="center"/>
    </xf>
    <xf numFmtId="14" fontId="8" fillId="0" borderId="0" xfId="0" applyNumberFormat="1" applyFont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center" vertical="center"/>
    </xf>
    <xf numFmtId="0" fontId="9" fillId="0" borderId="4" xfId="0" applyFont="1" applyBorder="1"/>
    <xf numFmtId="0" fontId="9" fillId="0" borderId="5" xfId="0" applyFont="1" applyBorder="1"/>
    <xf numFmtId="170" fontId="13" fillId="0" borderId="0" xfId="1" applyNumberFormat="1" applyFont="1"/>
    <xf numFmtId="0" fontId="14" fillId="0" borderId="1" xfId="0" applyFont="1" applyBorder="1"/>
    <xf numFmtId="169" fontId="14" fillId="0" borderId="1" xfId="1" applyNumberFormat="1" applyFont="1" applyBorder="1"/>
    <xf numFmtId="0" fontId="14" fillId="0" borderId="0" xfId="0" applyFont="1"/>
    <xf numFmtId="169" fontId="14" fillId="0" borderId="0" xfId="1" applyNumberFormat="1" applyFont="1"/>
    <xf numFmtId="167" fontId="10" fillId="0" borderId="0" xfId="2" applyNumberFormat="1" applyFont="1"/>
    <xf numFmtId="0" fontId="14" fillId="0" borderId="3" xfId="0" applyFont="1" applyBorder="1"/>
    <xf numFmtId="0" fontId="9" fillId="0" borderId="0" xfId="0" applyFont="1" applyAlignment="1">
      <alignment horizontal="left" indent="1"/>
    </xf>
    <xf numFmtId="169" fontId="9" fillId="0" borderId="0" xfId="0" applyNumberFormat="1" applyFont="1"/>
    <xf numFmtId="169" fontId="9" fillId="0" borderId="0" xfId="1" applyNumberFormat="1" applyFont="1"/>
    <xf numFmtId="0" fontId="16" fillId="0" borderId="2" xfId="0" applyFont="1" applyBorder="1"/>
    <xf numFmtId="169" fontId="14" fillId="0" borderId="2" xfId="1" applyNumberFormat="1" applyFont="1" applyBorder="1"/>
    <xf numFmtId="167" fontId="9" fillId="0" borderId="0" xfId="2" applyNumberFormat="1" applyFont="1"/>
    <xf numFmtId="167" fontId="13" fillId="0" borderId="0" xfId="0" applyNumberFormat="1" applyFont="1"/>
    <xf numFmtId="1" fontId="9" fillId="0" borderId="0" xfId="2" applyNumberFormat="1" applyFont="1"/>
    <xf numFmtId="0" fontId="12" fillId="0" borderId="0" xfId="0" applyFont="1" applyAlignment="1">
      <alignment horizontal="left" indent="1"/>
    </xf>
    <xf numFmtId="169" fontId="14" fillId="0" borderId="0" xfId="0" applyNumberFormat="1" applyFont="1"/>
    <xf numFmtId="0" fontId="14" fillId="0" borderId="1" xfId="0" applyFont="1" applyBorder="1" applyAlignment="1">
      <alignment horizontal="left"/>
    </xf>
    <xf numFmtId="0" fontId="18" fillId="0" borderId="0" xfId="0" applyFont="1" applyAlignment="1">
      <alignment horizontal="center" vertical="center"/>
    </xf>
    <xf numFmtId="170" fontId="9" fillId="0" borderId="0" xfId="0" applyNumberFormat="1" applyFont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indent="2"/>
    </xf>
    <xf numFmtId="170" fontId="15" fillId="0" borderId="3" xfId="1" applyNumberFormat="1" applyFont="1" applyBorder="1"/>
    <xf numFmtId="0" fontId="19" fillId="0" borderId="0" xfId="0" applyFont="1"/>
    <xf numFmtId="0" fontId="11" fillId="0" borderId="0" xfId="0" applyFont="1"/>
    <xf numFmtId="0" fontId="19" fillId="0" borderId="0" xfId="0" applyFont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0" fontId="12" fillId="0" borderId="0" xfId="0" applyFont="1"/>
    <xf numFmtId="170" fontId="12" fillId="0" borderId="0" xfId="0" applyNumberFormat="1" applyFont="1" applyAlignment="1">
      <alignment horizontal="center" vertical="center"/>
    </xf>
    <xf numFmtId="10" fontId="9" fillId="0" borderId="0" xfId="2" applyNumberFormat="1" applyFont="1"/>
    <xf numFmtId="0" fontId="14" fillId="0" borderId="3" xfId="0" applyFont="1" applyBorder="1" applyAlignment="1">
      <alignment horizontal="left"/>
    </xf>
    <xf numFmtId="0" fontId="6" fillId="0" borderId="6" xfId="0" applyFont="1" applyBorder="1"/>
    <xf numFmtId="0" fontId="0" fillId="0" borderId="6" xfId="0" applyBorder="1"/>
    <xf numFmtId="174" fontId="6" fillId="0" borderId="0" xfId="0" applyNumberFormat="1" applyFont="1"/>
    <xf numFmtId="175" fontId="6" fillId="0" borderId="0" xfId="0" applyNumberFormat="1" applyFont="1"/>
    <xf numFmtId="0" fontId="20" fillId="0" borderId="6" xfId="0" applyFont="1" applyBorder="1"/>
    <xf numFmtId="173" fontId="20" fillId="0" borderId="2" xfId="0" applyNumberFormat="1" applyFont="1" applyBorder="1"/>
    <xf numFmtId="0" fontId="15" fillId="0" borderId="0" xfId="0" applyFont="1"/>
    <xf numFmtId="173" fontId="20" fillId="0" borderId="6" xfId="0" applyNumberFormat="1" applyFont="1" applyBorder="1"/>
    <xf numFmtId="0" fontId="21" fillId="0" borderId="0" xfId="0" applyFont="1" applyAlignment="1">
      <alignment horizontal="center" vertical="center"/>
    </xf>
    <xf numFmtId="166" fontId="15" fillId="0" borderId="0" xfId="0" applyNumberFormat="1" applyFont="1" applyAlignment="1">
      <alignment horizontal="center" vertical="center"/>
    </xf>
    <xf numFmtId="0" fontId="0" fillId="0" borderId="3" xfId="0" applyBorder="1"/>
    <xf numFmtId="174" fontId="6" fillId="0" borderId="3" xfId="0" applyNumberFormat="1" applyFont="1" applyBorder="1"/>
    <xf numFmtId="175" fontId="6" fillId="0" borderId="3" xfId="0" applyNumberFormat="1" applyFont="1" applyBorder="1"/>
    <xf numFmtId="0" fontId="4" fillId="0" borderId="0" xfId="3"/>
    <xf numFmtId="0" fontId="6" fillId="0" borderId="4" xfId="3" applyFont="1" applyBorder="1"/>
    <xf numFmtId="0" fontId="4" fillId="0" borderId="4" xfId="3" applyBorder="1"/>
    <xf numFmtId="0" fontId="22" fillId="0" borderId="5" xfId="3" applyFont="1" applyBorder="1"/>
    <xf numFmtId="14" fontId="8" fillId="0" borderId="0" xfId="4" applyNumberFormat="1" applyFont="1" applyAlignment="1">
      <alignment horizontal="right"/>
    </xf>
    <xf numFmtId="176" fontId="24" fillId="0" borderId="0" xfId="3" applyNumberFormat="1" applyFont="1"/>
    <xf numFmtId="14" fontId="7" fillId="0" borderId="0" xfId="4" applyNumberFormat="1" applyFont="1" applyAlignment="1">
      <alignment horizontal="right"/>
    </xf>
    <xf numFmtId="14" fontId="8" fillId="0" borderId="0" xfId="3" applyNumberFormat="1" applyFont="1" applyAlignment="1">
      <alignment horizontal="right"/>
    </xf>
    <xf numFmtId="0" fontId="25" fillId="0" borderId="0" xfId="5" applyBorder="1"/>
    <xf numFmtId="177" fontId="7" fillId="0" borderId="0" xfId="3" applyNumberFormat="1" applyFont="1"/>
    <xf numFmtId="164" fontId="24" fillId="0" borderId="0" xfId="3" applyNumberFormat="1" applyFont="1" applyAlignment="1">
      <alignment horizontal="right"/>
    </xf>
    <xf numFmtId="0" fontId="6" fillId="0" borderId="7" xfId="3" applyFont="1" applyBorder="1"/>
    <xf numFmtId="0" fontId="4" fillId="0" borderId="7" xfId="3" applyBorder="1"/>
    <xf numFmtId="164" fontId="24" fillId="0" borderId="7" xfId="3" applyNumberFormat="1" applyFont="1" applyBorder="1" applyAlignment="1">
      <alignment horizontal="right"/>
    </xf>
    <xf numFmtId="0" fontId="26" fillId="0" borderId="0" xfId="3" applyFont="1" applyAlignment="1">
      <alignment horizontal="centerContinuous"/>
    </xf>
    <xf numFmtId="0" fontId="27" fillId="0" borderId="8" xfId="3" applyFont="1" applyBorder="1" applyAlignment="1">
      <alignment horizontal="centerContinuous"/>
    </xf>
    <xf numFmtId="0" fontId="20" fillId="0" borderId="0" xfId="3" applyFont="1"/>
    <xf numFmtId="14" fontId="4" fillId="0" borderId="0" xfId="3" applyNumberFormat="1" applyAlignment="1">
      <alignment horizontal="center"/>
    </xf>
    <xf numFmtId="180" fontId="7" fillId="0" borderId="0" xfId="3" applyNumberFormat="1" applyFont="1"/>
    <xf numFmtId="180" fontId="24" fillId="0" borderId="0" xfId="3" applyNumberFormat="1" applyFont="1"/>
    <xf numFmtId="0" fontId="4" fillId="0" borderId="0" xfId="3" applyAlignment="1">
      <alignment horizontal="left" indent="1"/>
    </xf>
    <xf numFmtId="0" fontId="6" fillId="0" borderId="0" xfId="3" applyFont="1"/>
    <xf numFmtId="180" fontId="28" fillId="0" borderId="0" xfId="3" applyNumberFormat="1" applyFont="1"/>
    <xf numFmtId="180" fontId="4" fillId="0" borderId="0" xfId="3" applyNumberFormat="1"/>
    <xf numFmtId="37" fontId="7" fillId="0" borderId="0" xfId="3" applyNumberFormat="1" applyFont="1"/>
    <xf numFmtId="180" fontId="24" fillId="0" borderId="7" xfId="3" applyNumberFormat="1" applyFont="1" applyBorder="1"/>
    <xf numFmtId="180" fontId="27" fillId="0" borderId="7" xfId="3" applyNumberFormat="1" applyFont="1" applyBorder="1" applyAlignment="1">
      <alignment horizontal="center"/>
    </xf>
    <xf numFmtId="180" fontId="27" fillId="0" borderId="0" xfId="3" applyNumberFormat="1" applyFont="1"/>
    <xf numFmtId="14" fontId="4" fillId="0" borderId="0" xfId="3" applyNumberFormat="1"/>
    <xf numFmtId="177" fontId="4" fillId="0" borderId="0" xfId="3" applyNumberFormat="1" applyAlignment="1">
      <alignment horizontal="center"/>
    </xf>
    <xf numFmtId="180" fontId="7" fillId="0" borderId="7" xfId="3" applyNumberFormat="1" applyFont="1" applyBorder="1"/>
    <xf numFmtId="0" fontId="28" fillId="0" borderId="0" xfId="3" applyFont="1"/>
    <xf numFmtId="177" fontId="8" fillId="0" borderId="0" xfId="3" applyNumberFormat="1" applyFont="1"/>
    <xf numFmtId="179" fontId="4" fillId="0" borderId="0" xfId="3" applyNumberFormat="1"/>
    <xf numFmtId="181" fontId="8" fillId="0" borderId="0" xfId="3" applyNumberFormat="1" applyFont="1"/>
    <xf numFmtId="180" fontId="6" fillId="0" borderId="0" xfId="3" applyNumberFormat="1" applyFont="1"/>
    <xf numFmtId="0" fontId="20" fillId="0" borderId="0" xfId="3" applyFont="1" applyAlignment="1">
      <alignment horizontal="left"/>
    </xf>
    <xf numFmtId="177" fontId="20" fillId="0" borderId="0" xfId="3" applyNumberFormat="1" applyFont="1"/>
    <xf numFmtId="182" fontId="20" fillId="0" borderId="0" xfId="3" applyNumberFormat="1" applyFont="1"/>
    <xf numFmtId="177" fontId="4" fillId="0" borderId="0" xfId="3" applyNumberFormat="1"/>
    <xf numFmtId="181" fontId="20" fillId="0" borderId="0" xfId="3" applyNumberFormat="1" applyFont="1"/>
    <xf numFmtId="176" fontId="4" fillId="0" borderId="0" xfId="3" quotePrefix="1" applyNumberFormat="1"/>
    <xf numFmtId="0" fontId="4" fillId="0" borderId="0" xfId="3" applyAlignment="1">
      <alignment horizontal="left"/>
    </xf>
    <xf numFmtId="0" fontId="29" fillId="0" borderId="0" xfId="3" applyFont="1"/>
    <xf numFmtId="0" fontId="29" fillId="0" borderId="0" xfId="3" applyFont="1" applyAlignment="1">
      <alignment horizontal="right"/>
    </xf>
    <xf numFmtId="0" fontId="29" fillId="0" borderId="0" xfId="3" applyFont="1" applyAlignment="1">
      <alignment horizontal="left" vertical="center"/>
    </xf>
    <xf numFmtId="14" fontId="7" fillId="0" borderId="0" xfId="3" applyNumberFormat="1" applyFont="1"/>
    <xf numFmtId="183" fontId="8" fillId="0" borderId="0" xfId="3" applyNumberFormat="1" applyFont="1"/>
    <xf numFmtId="172" fontId="8" fillId="0" borderId="0" xfId="3" applyNumberFormat="1" applyFont="1"/>
    <xf numFmtId="37" fontId="24" fillId="0" borderId="0" xfId="3" applyNumberFormat="1" applyFont="1"/>
    <xf numFmtId="172" fontId="24" fillId="0" borderId="0" xfId="3" applyNumberFormat="1" applyFont="1" applyAlignment="1">
      <alignment horizontal="right"/>
    </xf>
    <xf numFmtId="0" fontId="7" fillId="0" borderId="0" xfId="3" applyFont="1" applyAlignment="1">
      <alignment horizontal="left" indent="1"/>
    </xf>
    <xf numFmtId="0" fontId="6" fillId="0" borderId="0" xfId="3" applyFont="1" applyAlignment="1">
      <alignment horizontal="left"/>
    </xf>
    <xf numFmtId="184" fontId="8" fillId="0" borderId="0" xfId="3" applyNumberFormat="1" applyFont="1"/>
    <xf numFmtId="0" fontId="4" fillId="0" borderId="0" xfId="3" applyAlignment="1">
      <alignment horizontal="left" vertical="center" indent="1"/>
    </xf>
    <xf numFmtId="172" fontId="4" fillId="0" borderId="0" xfId="3" applyNumberFormat="1"/>
    <xf numFmtId="183" fontId="30" fillId="0" borderId="0" xfId="3" applyNumberFormat="1" applyFont="1"/>
    <xf numFmtId="0" fontId="6" fillId="0" borderId="0" xfId="3" applyFont="1" applyAlignment="1">
      <alignment vertical="center"/>
    </xf>
    <xf numFmtId="37" fontId="6" fillId="0" borderId="0" xfId="3" applyNumberFormat="1" applyFont="1"/>
    <xf numFmtId="0" fontId="26" fillId="0" borderId="0" xfId="3" applyFont="1" applyAlignment="1">
      <alignment horizontal="right"/>
    </xf>
    <xf numFmtId="180" fontId="4" fillId="0" borderId="0" xfId="3" applyNumberFormat="1" applyAlignment="1">
      <alignment horizontal="right"/>
    </xf>
    <xf numFmtId="37" fontId="20" fillId="0" borderId="7" xfId="3" applyNumberFormat="1" applyFont="1" applyBorder="1" applyAlignment="1">
      <alignment horizontal="right"/>
    </xf>
    <xf numFmtId="37" fontId="4" fillId="0" borderId="0" xfId="3" applyNumberFormat="1" applyAlignment="1">
      <alignment horizontal="right"/>
    </xf>
    <xf numFmtId="186" fontId="4" fillId="0" borderId="0" xfId="3" applyNumberFormat="1" applyAlignment="1">
      <alignment horizontal="right"/>
    </xf>
    <xf numFmtId="187" fontId="4" fillId="0" borderId="0" xfId="3" applyNumberFormat="1" applyAlignment="1">
      <alignment horizontal="right"/>
    </xf>
    <xf numFmtId="0" fontId="7" fillId="2" borderId="0" xfId="3" applyFont="1" applyFill="1"/>
    <xf numFmtId="0" fontId="31" fillId="0" borderId="0" xfId="3" applyFont="1" applyAlignment="1">
      <alignment horizontal="centerContinuous"/>
    </xf>
    <xf numFmtId="0" fontId="26" fillId="0" borderId="9" xfId="3" applyFont="1" applyBorder="1" applyAlignment="1">
      <alignment horizontal="centerContinuous"/>
    </xf>
    <xf numFmtId="0" fontId="4" fillId="0" borderId="0" xfId="3" applyAlignment="1">
      <alignment horizontal="centerContinuous"/>
    </xf>
    <xf numFmtId="0" fontId="4" fillId="0" borderId="9" xfId="3" applyBorder="1" applyAlignment="1">
      <alignment horizontal="centerContinuous"/>
    </xf>
    <xf numFmtId="0" fontId="4" fillId="0" borderId="0" xfId="3" applyAlignment="1">
      <alignment horizontal="right"/>
    </xf>
    <xf numFmtId="167" fontId="8" fillId="3" borderId="11" xfId="3" applyNumberFormat="1" applyFont="1" applyFill="1" applyBorder="1"/>
    <xf numFmtId="181" fontId="4" fillId="0" borderId="12" xfId="3" applyNumberFormat="1" applyBorder="1" applyAlignment="1">
      <alignment horizontal="right"/>
    </xf>
    <xf numFmtId="188" fontId="4" fillId="0" borderId="0" xfId="3" applyNumberFormat="1"/>
    <xf numFmtId="188" fontId="4" fillId="0" borderId="9" xfId="3" applyNumberFormat="1" applyBorder="1"/>
    <xf numFmtId="181" fontId="4" fillId="0" borderId="0" xfId="3" applyNumberFormat="1" applyAlignment="1">
      <alignment horizontal="right"/>
    </xf>
    <xf numFmtId="167" fontId="8" fillId="3" borderId="14" xfId="3" applyNumberFormat="1" applyFont="1" applyFill="1" applyBorder="1" applyAlignment="1">
      <alignment horizontal="right"/>
    </xf>
    <xf numFmtId="0" fontId="28" fillId="2" borderId="0" xfId="3" applyFont="1" applyFill="1" applyAlignment="1">
      <alignment horizontal="center"/>
    </xf>
    <xf numFmtId="189" fontId="4" fillId="0" borderId="0" xfId="3" applyNumberFormat="1"/>
    <xf numFmtId="181" fontId="8" fillId="3" borderId="11" xfId="3" applyNumberFormat="1" applyFont="1" applyFill="1" applyBorder="1"/>
    <xf numFmtId="0" fontId="4" fillId="0" borderId="9" xfId="3" applyBorder="1"/>
    <xf numFmtId="0" fontId="6" fillId="4" borderId="0" xfId="3" applyFont="1" applyFill="1"/>
    <xf numFmtId="0" fontId="6" fillId="4" borderId="9" xfId="3" applyFont="1" applyFill="1" applyBorder="1"/>
    <xf numFmtId="190" fontId="4" fillId="0" borderId="0" xfId="3" applyNumberFormat="1"/>
    <xf numFmtId="0" fontId="4" fillId="0" borderId="10" xfId="3" applyBorder="1"/>
    <xf numFmtId="0" fontId="4" fillId="0" borderId="11" xfId="3" applyBorder="1" applyAlignment="1">
      <alignment horizontal="right"/>
    </xf>
    <xf numFmtId="0" fontId="4" fillId="0" borderId="13" xfId="3" applyBorder="1" applyAlignment="1">
      <alignment horizontal="right"/>
    </xf>
    <xf numFmtId="0" fontId="4" fillId="0" borderId="11" xfId="3" applyBorder="1"/>
    <xf numFmtId="0" fontId="4" fillId="0" borderId="15" xfId="3" applyBorder="1"/>
    <xf numFmtId="177" fontId="7" fillId="0" borderId="0" xfId="0" applyNumberFormat="1" applyFont="1"/>
    <xf numFmtId="0" fontId="28" fillId="0" borderId="7" xfId="3" applyFont="1" applyBorder="1"/>
    <xf numFmtId="0" fontId="7" fillId="0" borderId="7" xfId="3" applyFont="1" applyBorder="1"/>
    <xf numFmtId="0" fontId="28" fillId="0" borderId="7" xfId="3" applyFont="1" applyBorder="1" applyAlignment="1">
      <alignment horizontal="right"/>
    </xf>
    <xf numFmtId="0" fontId="29" fillId="0" borderId="0" xfId="3" applyFont="1" applyAlignment="1">
      <alignment horizontal="left"/>
    </xf>
    <xf numFmtId="0" fontId="6" fillId="0" borderId="6" xfId="3" applyFont="1" applyBorder="1"/>
    <xf numFmtId="0" fontId="6" fillId="0" borderId="10" xfId="3" applyFont="1" applyBorder="1"/>
    <xf numFmtId="10" fontId="8" fillId="0" borderId="0" xfId="3" applyNumberFormat="1" applyFont="1"/>
    <xf numFmtId="190" fontId="24" fillId="0" borderId="7" xfId="3" applyNumberFormat="1" applyFont="1" applyBorder="1"/>
    <xf numFmtId="190" fontId="7" fillId="0" borderId="0" xfId="3" applyNumberFormat="1" applyFont="1"/>
    <xf numFmtId="10" fontId="8" fillId="0" borderId="7" xfId="3" applyNumberFormat="1" applyFont="1" applyBorder="1"/>
    <xf numFmtId="10" fontId="7" fillId="0" borderId="0" xfId="3" applyNumberFormat="1" applyFont="1"/>
    <xf numFmtId="167" fontId="7" fillId="0" borderId="0" xfId="3" applyNumberFormat="1" applyFont="1"/>
    <xf numFmtId="0" fontId="4" fillId="0" borderId="6" xfId="3" applyBorder="1"/>
    <xf numFmtId="167" fontId="27" fillId="0" borderId="0" xfId="3" applyNumberFormat="1" applyFont="1" applyAlignment="1">
      <alignment horizontal="right"/>
    </xf>
    <xf numFmtId="9" fontId="8" fillId="0" borderId="0" xfId="3" applyNumberFormat="1" applyFont="1"/>
    <xf numFmtId="176" fontId="4" fillId="0" borderId="0" xfId="3" applyNumberFormat="1"/>
    <xf numFmtId="9" fontId="7" fillId="0" borderId="0" xfId="3" applyNumberFormat="1" applyFont="1"/>
    <xf numFmtId="0" fontId="6" fillId="0" borderId="11" xfId="3" applyFont="1" applyBorder="1"/>
    <xf numFmtId="176" fontId="6" fillId="0" borderId="13" xfId="3" applyNumberFormat="1" applyFont="1" applyBorder="1"/>
    <xf numFmtId="191" fontId="8" fillId="0" borderId="0" xfId="3" applyNumberFormat="1" applyFont="1"/>
    <xf numFmtId="180" fontId="7" fillId="0" borderId="0" xfId="0" applyNumberFormat="1" applyFont="1"/>
    <xf numFmtId="14" fontId="0" fillId="0" borderId="0" xfId="0" applyNumberFormat="1"/>
    <xf numFmtId="39" fontId="8" fillId="0" borderId="0" xfId="3" applyNumberFormat="1" applyFont="1"/>
    <xf numFmtId="170" fontId="15" fillId="0" borderId="0" xfId="1" applyNumberFormat="1" applyFont="1"/>
    <xf numFmtId="170" fontId="14" fillId="0" borderId="0" xfId="0" applyNumberFormat="1" applyFont="1"/>
    <xf numFmtId="192" fontId="8" fillId="0" borderId="0" xfId="0" applyNumberFormat="1" applyFont="1" applyAlignment="1">
      <alignment horizontal="center"/>
    </xf>
    <xf numFmtId="185" fontId="0" fillId="0" borderId="6" xfId="0" applyNumberFormat="1" applyBorder="1" applyAlignment="1">
      <alignment horizontal="right"/>
    </xf>
    <xf numFmtId="185" fontId="0" fillId="0" borderId="12" xfId="0" applyNumberFormat="1" applyBorder="1"/>
    <xf numFmtId="181" fontId="32" fillId="3" borderId="11" xfId="3" applyNumberFormat="1" applyFont="1" applyFill="1" applyBorder="1"/>
    <xf numFmtId="0" fontId="0" fillId="0" borderId="16" xfId="0" quotePrefix="1" applyBorder="1"/>
    <xf numFmtId="39" fontId="0" fillId="0" borderId="0" xfId="0" applyNumberFormat="1"/>
    <xf numFmtId="39" fontId="0" fillId="0" borderId="17" xfId="0" applyNumberFormat="1" applyBorder="1"/>
    <xf numFmtId="0" fontId="0" fillId="0" borderId="16" xfId="0" applyBorder="1"/>
    <xf numFmtId="0" fontId="0" fillId="0" borderId="18" xfId="0" applyBorder="1"/>
    <xf numFmtId="39" fontId="0" fillId="0" borderId="6" xfId="0" applyNumberFormat="1" applyBorder="1"/>
    <xf numFmtId="39" fontId="7" fillId="0" borderId="6" xfId="0" applyNumberFormat="1" applyFont="1" applyBorder="1"/>
    <xf numFmtId="39" fontId="0" fillId="0" borderId="12" xfId="0" applyNumberFormat="1" applyBorder="1"/>
    <xf numFmtId="0" fontId="0" fillId="0" borderId="9" xfId="0" applyBorder="1"/>
    <xf numFmtId="39" fontId="7" fillId="0" borderId="0" xfId="0" applyNumberFormat="1" applyFont="1"/>
    <xf numFmtId="39" fontId="7" fillId="0" borderId="17" xfId="0" applyNumberFormat="1" applyFont="1" applyBorder="1"/>
    <xf numFmtId="0" fontId="0" fillId="0" borderId="19" xfId="0" applyBorder="1"/>
    <xf numFmtId="39" fontId="7" fillId="0" borderId="12" xfId="0" applyNumberFormat="1" applyFont="1" applyBorder="1"/>
    <xf numFmtId="178" fontId="6" fillId="0" borderId="20" xfId="3" applyNumberFormat="1" applyFont="1" applyBorder="1"/>
    <xf numFmtId="180" fontId="24" fillId="0" borderId="21" xfId="3" applyNumberFormat="1" applyFont="1" applyBorder="1"/>
    <xf numFmtId="9" fontId="5" fillId="0" borderId="21" xfId="2" applyBorder="1"/>
    <xf numFmtId="180" fontId="7" fillId="0" borderId="21" xfId="3" applyNumberFormat="1" applyFont="1" applyBorder="1"/>
    <xf numFmtId="176" fontId="24" fillId="0" borderId="21" xfId="3" applyNumberFormat="1" applyFont="1" applyBorder="1"/>
    <xf numFmtId="180" fontId="28" fillId="0" borderId="22" xfId="3" applyNumberFormat="1" applyFont="1" applyBorder="1"/>
    <xf numFmtId="179" fontId="6" fillId="0" borderId="23" xfId="3" applyNumberFormat="1" applyFont="1" applyBorder="1"/>
    <xf numFmtId="180" fontId="24" fillId="0" borderId="24" xfId="3" applyNumberFormat="1" applyFont="1" applyBorder="1"/>
    <xf numFmtId="179" fontId="6" fillId="0" borderId="20" xfId="3" applyNumberFormat="1" applyFont="1" applyBorder="1"/>
    <xf numFmtId="14" fontId="22" fillId="0" borderId="5" xfId="3" applyNumberFormat="1" applyFont="1" applyBorder="1"/>
    <xf numFmtId="169" fontId="5" fillId="0" borderId="0" xfId="1" applyNumberFormat="1"/>
    <xf numFmtId="170" fontId="9" fillId="0" borderId="0" xfId="0" applyNumberFormat="1" applyFont="1" applyAlignment="1">
      <alignment horizontal="center" vertical="center"/>
    </xf>
    <xf numFmtId="170" fontId="0" fillId="0" borderId="0" xfId="0" applyNumberFormat="1"/>
    <xf numFmtId="169" fontId="34" fillId="0" borderId="0" xfId="1" applyNumberFormat="1" applyFont="1"/>
    <xf numFmtId="180" fontId="8" fillId="0" borderId="0" xfId="3" applyNumberFormat="1" applyFont="1"/>
    <xf numFmtId="3" fontId="6" fillId="0" borderId="0" xfId="3" applyNumberFormat="1" applyFont="1"/>
    <xf numFmtId="14" fontId="8" fillId="0" borderId="0" xfId="3" applyNumberFormat="1" applyFont="1" applyAlignment="1">
      <alignment horizontal="left" vertical="center"/>
    </xf>
    <xf numFmtId="0" fontId="8" fillId="0" borderId="0" xfId="3" applyFont="1" applyAlignment="1">
      <alignment horizontal="left" vertical="center"/>
    </xf>
    <xf numFmtId="167" fontId="7" fillId="3" borderId="14" xfId="0" applyNumberFormat="1" applyFont="1" applyFill="1" applyBorder="1" applyAlignment="1">
      <alignment horizontal="right"/>
    </xf>
    <xf numFmtId="167" fontId="7" fillId="3" borderId="25" xfId="0" applyNumberFormat="1" applyFont="1" applyFill="1" applyBorder="1" applyAlignment="1">
      <alignment horizontal="right"/>
    </xf>
    <xf numFmtId="167" fontId="7" fillId="3" borderId="10" xfId="0" applyNumberFormat="1" applyFont="1" applyFill="1" applyBorder="1"/>
    <xf numFmtId="167" fontId="7" fillId="3" borderId="11" xfId="0" applyNumberFormat="1" applyFont="1" applyFill="1" applyBorder="1"/>
    <xf numFmtId="0" fontId="8" fillId="0" borderId="0" xfId="0" applyFont="1" applyAlignment="1">
      <alignment horizontal="left" vertical="center"/>
    </xf>
    <xf numFmtId="193" fontId="5" fillId="0" borderId="0" xfId="1" applyNumberFormat="1"/>
    <xf numFmtId="0" fontId="14" fillId="0" borderId="0" xfId="0" applyFont="1" applyAlignment="1">
      <alignment horizontal="left"/>
    </xf>
    <xf numFmtId="171" fontId="13" fillId="0" borderId="0" xfId="0" applyNumberFormat="1" applyFont="1"/>
    <xf numFmtId="165" fontId="14" fillId="0" borderId="0" xfId="0" applyNumberFormat="1" applyFont="1" applyAlignment="1">
      <alignment horizontal="center" vertical="center"/>
    </xf>
    <xf numFmtId="165" fontId="12" fillId="0" borderId="0" xfId="1" applyNumberFormat="1" applyFont="1"/>
    <xf numFmtId="165" fontId="9" fillId="0" borderId="0" xfId="0" applyNumberFormat="1" applyFont="1" applyAlignment="1">
      <alignment horizontal="center" vertical="center"/>
    </xf>
    <xf numFmtId="165" fontId="9" fillId="0" borderId="0" xfId="0" applyNumberFormat="1" applyFont="1"/>
    <xf numFmtId="165" fontId="15" fillId="0" borderId="0" xfId="1" applyNumberFormat="1" applyFont="1"/>
    <xf numFmtId="165" fontId="14" fillId="0" borderId="0" xfId="1" applyNumberFormat="1" applyFont="1"/>
    <xf numFmtId="165" fontId="18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165" fontId="12" fillId="0" borderId="0" xfId="0" applyNumberFormat="1" applyFont="1"/>
    <xf numFmtId="165" fontId="21" fillId="0" borderId="0" xfId="0" applyNumberFormat="1" applyFont="1" applyAlignment="1">
      <alignment horizontal="center" vertical="center"/>
    </xf>
    <xf numFmtId="165" fontId="15" fillId="0" borderId="0" xfId="0" applyNumberFormat="1" applyFont="1" applyAlignment="1">
      <alignment horizontal="center" vertical="center"/>
    </xf>
    <xf numFmtId="9" fontId="5" fillId="0" borderId="0" xfId="2"/>
    <xf numFmtId="165" fontId="15" fillId="0" borderId="3" xfId="1" applyNumberFormat="1" applyFont="1" applyBorder="1"/>
    <xf numFmtId="9" fontId="34" fillId="0" borderId="0" xfId="2" applyFont="1"/>
    <xf numFmtId="167" fontId="12" fillId="0" borderId="3" xfId="2" applyNumberFormat="1" applyFont="1" applyBorder="1"/>
    <xf numFmtId="167" fontId="7" fillId="0" borderId="0" xfId="0" applyNumberFormat="1" applyFont="1"/>
    <xf numFmtId="167" fontId="34" fillId="0" borderId="0" xfId="2" applyNumberFormat="1" applyFont="1"/>
    <xf numFmtId="167" fontId="35" fillId="0" borderId="0" xfId="2" applyNumberFormat="1" applyFont="1"/>
    <xf numFmtId="170" fontId="14" fillId="0" borderId="0" xfId="0" applyNumberFormat="1" applyFont="1" applyAlignment="1">
      <alignment horizontal="center" vertical="center"/>
    </xf>
    <xf numFmtId="0" fontId="3" fillId="0" borderId="0" xfId="3" applyFont="1"/>
    <xf numFmtId="37" fontId="3" fillId="0" borderId="0" xfId="3" applyNumberFormat="1" applyFont="1" applyAlignment="1">
      <alignment horizontal="right"/>
    </xf>
    <xf numFmtId="169" fontId="14" fillId="0" borderId="0" xfId="0" applyNumberFormat="1" applyFont="1" applyAlignment="1">
      <alignment horizontal="center" vertical="center"/>
    </xf>
    <xf numFmtId="169" fontId="15" fillId="0" borderId="0" xfId="0" applyNumberFormat="1" applyFont="1" applyAlignment="1">
      <alignment horizontal="center" vertical="center"/>
    </xf>
    <xf numFmtId="169" fontId="15" fillId="0" borderId="0" xfId="1" applyNumberFormat="1" applyFont="1"/>
    <xf numFmtId="176" fontId="0" fillId="0" borderId="0" xfId="0" quotePrefix="1" applyNumberFormat="1"/>
    <xf numFmtId="194" fontId="6" fillId="0" borderId="0" xfId="3" applyNumberFormat="1" applyFont="1" applyAlignment="1">
      <alignment horizontal="right"/>
    </xf>
    <xf numFmtId="167" fontId="7" fillId="3" borderId="26" xfId="0" applyNumberFormat="1" applyFont="1" applyFill="1" applyBorder="1"/>
    <xf numFmtId="181" fontId="7" fillId="0" borderId="0" xfId="3" applyNumberFormat="1" applyFont="1"/>
    <xf numFmtId="181" fontId="32" fillId="3" borderId="26" xfId="3" applyNumberFormat="1" applyFont="1" applyFill="1" applyBorder="1"/>
    <xf numFmtId="0" fontId="6" fillId="0" borderId="0" xfId="0" applyFont="1"/>
    <xf numFmtId="165" fontId="20" fillId="0" borderId="0" xfId="0" applyNumberFormat="1" applyFont="1"/>
    <xf numFmtId="169" fontId="12" fillId="0" borderId="0" xfId="1" applyNumberFormat="1" applyFont="1"/>
    <xf numFmtId="171" fontId="9" fillId="0" borderId="0" xfId="0" applyNumberFormat="1" applyFont="1"/>
    <xf numFmtId="167" fontId="9" fillId="0" borderId="0" xfId="2" applyNumberFormat="1" applyFont="1" applyAlignment="1">
      <alignment horizontal="left"/>
    </xf>
    <xf numFmtId="171" fontId="9" fillId="0" borderId="0" xfId="2" applyNumberFormat="1" applyFont="1"/>
    <xf numFmtId="167" fontId="14" fillId="0" borderId="0" xfId="2" applyNumberFormat="1" applyFont="1" applyAlignment="1">
      <alignment horizontal="left"/>
    </xf>
    <xf numFmtId="0" fontId="9" fillId="0" borderId="0" xfId="0" applyFont="1" applyAlignment="1">
      <alignment horizontal="left"/>
    </xf>
    <xf numFmtId="169" fontId="35" fillId="0" borderId="0" xfId="1" applyNumberFormat="1" applyFont="1"/>
    <xf numFmtId="171" fontId="14" fillId="0" borderId="0" xfId="1" applyNumberFormat="1" applyFont="1"/>
    <xf numFmtId="0" fontId="16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168" fontId="9" fillId="0" borderId="0" xfId="1" applyFont="1"/>
    <xf numFmtId="0" fontId="14" fillId="0" borderId="0" xfId="0" applyFont="1" applyAlignment="1">
      <alignment horizontal="left" indent="1"/>
    </xf>
    <xf numFmtId="195" fontId="20" fillId="0" borderId="2" xfId="0" applyNumberFormat="1" applyFont="1" applyBorder="1"/>
    <xf numFmtId="195" fontId="2" fillId="0" borderId="2" xfId="0" applyNumberFormat="1" applyFont="1" applyBorder="1" applyAlignment="1">
      <alignment horizontal="center"/>
    </xf>
    <xf numFmtId="170" fontId="12" fillId="0" borderId="0" xfId="0" applyNumberFormat="1" applyFont="1"/>
    <xf numFmtId="170" fontId="14" fillId="0" borderId="3" xfId="0" applyNumberFormat="1" applyFont="1" applyBorder="1" applyAlignment="1">
      <alignment horizontal="center" vertical="center"/>
    </xf>
    <xf numFmtId="169" fontId="13" fillId="0" borderId="0" xfId="1" applyNumberFormat="1" applyFont="1"/>
    <xf numFmtId="10" fontId="5" fillId="0" borderId="0" xfId="2" applyNumberFormat="1"/>
    <xf numFmtId="0" fontId="1" fillId="0" borderId="0" xfId="0" applyFont="1"/>
    <xf numFmtId="0" fontId="38" fillId="0" borderId="0" xfId="0" applyFont="1"/>
    <xf numFmtId="0" fontId="32" fillId="0" borderId="0" xfId="0" applyFont="1"/>
    <xf numFmtId="0" fontId="39" fillId="0" borderId="0" xfId="0" applyFont="1"/>
    <xf numFmtId="196" fontId="8" fillId="0" borderId="0" xfId="0" applyNumberFormat="1" applyFont="1"/>
    <xf numFmtId="3" fontId="8" fillId="0" borderId="0" xfId="0" applyNumberFormat="1" applyFont="1"/>
    <xf numFmtId="3" fontId="7" fillId="0" borderId="0" xfId="0" applyNumberFormat="1" applyFont="1"/>
    <xf numFmtId="196" fontId="24" fillId="0" borderId="0" xfId="0" applyNumberFormat="1" applyFont="1"/>
    <xf numFmtId="4" fontId="8" fillId="0" borderId="0" xfId="0" applyNumberFormat="1" applyFont="1"/>
    <xf numFmtId="196" fontId="39" fillId="0" borderId="3" xfId="0" applyNumberFormat="1" applyFont="1" applyBorder="1"/>
    <xf numFmtId="196" fontId="7" fillId="0" borderId="0" xfId="0" applyNumberFormat="1" applyFont="1"/>
    <xf numFmtId="4" fontId="39" fillId="0" borderId="3" xfId="0" applyNumberFormat="1" applyFont="1" applyBorder="1"/>
    <xf numFmtId="4" fontId="7" fillId="0" borderId="0" xfId="0" applyNumberFormat="1" applyFont="1"/>
    <xf numFmtId="167" fontId="39" fillId="0" borderId="0" xfId="0" applyNumberFormat="1" applyFont="1"/>
    <xf numFmtId="0" fontId="40" fillId="0" borderId="0" xfId="0" applyFont="1" applyAlignment="1">
      <alignment horizontal="right"/>
    </xf>
    <xf numFmtId="3" fontId="39" fillId="5" borderId="0" xfId="0" applyNumberFormat="1" applyFont="1" applyFill="1" applyAlignment="1">
      <alignment horizontal="center"/>
    </xf>
    <xf numFmtId="167" fontId="39" fillId="5" borderId="0" xfId="0" applyNumberFormat="1" applyFont="1" applyFill="1" applyAlignment="1">
      <alignment horizontal="right"/>
    </xf>
    <xf numFmtId="4" fontId="7" fillId="6" borderId="0" xfId="0" applyNumberFormat="1" applyFont="1" applyFill="1"/>
    <xf numFmtId="197" fontId="7" fillId="0" borderId="0" xfId="0" applyNumberFormat="1" applyFont="1"/>
    <xf numFmtId="14" fontId="22" fillId="0" borderId="0" xfId="0" applyNumberFormat="1" applyFont="1" applyAlignment="1">
      <alignment horizontal="left"/>
    </xf>
    <xf numFmtId="203" fontId="24" fillId="0" borderId="0" xfId="0" applyNumberFormat="1" applyFont="1"/>
  </cellXfs>
  <cellStyles count="6">
    <cellStyle name="Comma" xfId="1" builtinId="3"/>
    <cellStyle name="Hyperlink" xfId="5" builtinId="8"/>
    <cellStyle name="Normal" xfId="0" builtinId="0"/>
    <cellStyle name="Normal 2" xfId="3" xr:uid="{937EC6E3-AE83-4BBC-ACEF-6FAAD38BC45D}"/>
    <cellStyle name="Normal_DCF_Model" xfId="4" xr:uid="{EB47B55B-6DFA-4D8F-B164-61C0BEC4F72F}"/>
    <cellStyle name="Percent" xfId="2" builtinId="5"/>
  </cellStyles>
  <dxfs count="3">
    <dxf>
      <font>
        <b/>
        <i val="0"/>
      </font>
      <fill>
        <patternFill patternType="solid">
          <bgColor theme="2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  <border>
        <left/>
        <right/>
        <top style="thin">
          <color rgb="FF9C0006"/>
        </top>
        <bottom style="thin">
          <color rgb="FF9C0006"/>
        </bottom>
        <vertical/>
        <horizontal/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F4F"/>
      <rgbColor rgb="FF222A35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DCF Equity Valuation Range 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4.0x-6.0x Exit EBITDA Range at 21.9% WACC</c:v>
                </c:pt>
                <c:pt idx="1">
                  <c:v>DCF Value at 9.0%-11.0% Perpetuity Range at 21.9%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DCF!$C$128:$C$130</c:f>
              <c:numCache>
                <c:formatCode>#,##0.00_);\(#,##0.00\)</c:formatCode>
                <c:ptCount val="3"/>
                <c:pt idx="0">
                  <c:v>51.958088734493266</c:v>
                </c:pt>
                <c:pt idx="1">
                  <c:v>56.841292043866062</c:v>
                </c:pt>
                <c:pt idx="2">
                  <c:v>50.02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83-4E91-8D66-944AAAC33F38}"/>
            </c:ext>
          </c:extLst>
        </c:ser>
        <c:ser>
          <c:idx val="1"/>
          <c:order val="1"/>
          <c:invertIfNegative val="0"/>
          <c:cat>
            <c:strRef>
              <c:f>DCF!$B$128:$B$130</c:f>
              <c:strCache>
                <c:ptCount val="3"/>
                <c:pt idx="0">
                  <c:v>DCF Value at 4.0x-6.0x Exit EBITDA Range at 21.9% WACC</c:v>
                </c:pt>
                <c:pt idx="1">
                  <c:v>DCF Value at 9.0%-11.0% Perpetuity Range at 21.9%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DCF!$D$128:$D$130</c:f>
              <c:numCache>
                <c:formatCode>#,##0.00_);\(#,##0.00\)</c:formatCode>
                <c:ptCount val="3"/>
                <c:pt idx="0">
                  <c:v>8.5850176207875819</c:v>
                </c:pt>
                <c:pt idx="1">
                  <c:v>3.7018143114147861</c:v>
                </c:pt>
                <c:pt idx="2">
                  <c:v>51.38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83-4E91-8D66-944AAAC33F38}"/>
            </c:ext>
          </c:extLst>
        </c:ser>
        <c:ser>
          <c:idx val="2"/>
          <c:order val="2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4.0x-6.0x Exit EBITDA Range at 21.9% WACC</c:v>
                </c:pt>
                <c:pt idx="1">
                  <c:v>DCF Value at 9.0%-11.0% Perpetuity Range at 21.9%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DCF!$E$128:$E$130</c:f>
              <c:numCache>
                <c:formatCode>#,##0.00_);\(#,##0.00\)</c:formatCode>
                <c:ptCount val="3"/>
                <c:pt idx="0">
                  <c:v>60.543106355280848</c:v>
                </c:pt>
                <c:pt idx="1">
                  <c:v>60.543106355280848</c:v>
                </c:pt>
                <c:pt idx="2">
                  <c:v>101.4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83-4E91-8D66-944AAAC33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400"/>
          <c:min val="100"/>
        </c:scaling>
        <c:delete val="0"/>
        <c:axPos val="l"/>
        <c:numFmt formatCode="#,##0.00_);\(#,##0.00\)" sourceLinked="1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LTM EBITDA Multiple Range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21.9% WACC</c:v>
                </c:pt>
                <c:pt idx="1">
                  <c:v>LTM EBITDA Purchase Multiple at 5.0x-5.7x Exit EBITDA Multiple at 21.9% WACC</c:v>
                </c:pt>
                <c:pt idx="2">
                  <c:v>LTM EBITDA Purchase Multiple at 19.9%-23.9% WACC at 5.0x Exit EBITDA</c:v>
                </c:pt>
              </c:strCache>
            </c:strRef>
          </c:cat>
          <c:val>
            <c:numRef>
              <c:f>DCF!$O$128:$O$130</c:f>
              <c:numCache>
                <c:formatCode>#,##0.00_);\(#,##0.00\)</c:formatCode>
                <c:ptCount val="3"/>
                <c:pt idx="0">
                  <c:v>5.3966714140273577</c:v>
                </c:pt>
                <c:pt idx="1">
                  <c:v>4.9744902635503072</c:v>
                </c:pt>
                <c:pt idx="2">
                  <c:v>4.330953455768439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5-4FE9-8BD7-0E0161403D7A}"/>
            </c:ext>
          </c:extLst>
        </c:ser>
        <c:ser>
          <c:idx val="1"/>
          <c:order val="1"/>
          <c:spPr>
            <a:solidFill>
              <a:schemeClr val="tx2"/>
            </a:solidFill>
          </c:spPr>
          <c:invertIfNegative val="0"/>
          <c:cat>
            <c:strRef>
              <c:f>DCF!$G$128:$G$130</c:f>
              <c:strCache>
                <c:ptCount val="3"/>
                <c:pt idx="0">
                  <c:v>LTM EBITDA Purchase Multiple at 9.0%-11.0% Perpetuity Growth at 21.9% WACC</c:v>
                </c:pt>
                <c:pt idx="1">
                  <c:v>LTM EBITDA Purchase Multiple at 5.0x-5.7x Exit EBITDA Multiple at 21.9% WACC</c:v>
                </c:pt>
                <c:pt idx="2">
                  <c:v>LTM EBITDA Purchase Multiple at 19.9%-23.9% WACC at 5.0x Exit EBITDA</c:v>
                </c:pt>
              </c:strCache>
            </c:strRef>
          </c:cat>
          <c:val>
            <c:numRef>
              <c:f>DCF!$P$128:$P$130</c:f>
              <c:numCache>
                <c:formatCode>#,##0.00_);\(#,##0.00\)</c:formatCode>
                <c:ptCount val="3"/>
                <c:pt idx="0">
                  <c:v>0.32004324330420708</c:v>
                </c:pt>
                <c:pt idx="1">
                  <c:v>0.7422243937812576</c:v>
                </c:pt>
                <c:pt idx="2">
                  <c:v>0.56910119013217031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D5-4FE9-8BD7-0E0161403D7A}"/>
            </c:ext>
          </c:extLst>
        </c:ser>
        <c:ser>
          <c:idx val="2"/>
          <c:order val="2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21.9% WACC</c:v>
                </c:pt>
                <c:pt idx="1">
                  <c:v>LTM EBITDA Purchase Multiple at 5.0x-5.7x Exit EBITDA Multiple at 21.9% WACC</c:v>
                </c:pt>
                <c:pt idx="2">
                  <c:v>LTM EBITDA Purchase Multiple at 19.9%-23.9% WACC at 5.0x Exit EBITDA</c:v>
                </c:pt>
              </c:strCache>
            </c:strRef>
          </c:cat>
          <c:val>
            <c:numRef>
              <c:f>DCF!$Q$128:$Q$130</c:f>
              <c:numCache>
                <c:formatCode>#,##0.00_);\(#,##0.00\)</c:formatCode>
                <c:ptCount val="3"/>
                <c:pt idx="0">
                  <c:v>5.7167146573315648</c:v>
                </c:pt>
                <c:pt idx="1">
                  <c:v>5.7167146573315648</c:v>
                </c:pt>
                <c:pt idx="2">
                  <c:v>4.9000546459006094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D5-4FE9-8BD7-0E0161403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20"/>
          <c:min val="10"/>
        </c:scaling>
        <c:delete val="0"/>
        <c:axPos val="l"/>
        <c:numFmt formatCode="#,##0.0\x;\-#,##0.0\x" sourceLinked="0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53578</xdr:colOff>
      <xdr:row>106</xdr:row>
      <xdr:rowOff>149424</xdr:rowOff>
    </xdr:from>
    <xdr:to>
      <xdr:col>4</xdr:col>
      <xdr:colOff>654844</xdr:colOff>
      <xdr:row>125</xdr:row>
      <xdr:rowOff>53578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529BCA-2888-434E-AC7E-5B03FCA5B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47228</xdr:colOff>
      <xdr:row>106</xdr:row>
      <xdr:rowOff>149424</xdr:rowOff>
    </xdr:from>
    <xdr:to>
      <xdr:col>15</xdr:col>
      <xdr:colOff>657225</xdr:colOff>
      <xdr:row>125</xdr:row>
      <xdr:rowOff>47228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38233F-A324-4062-8E99-2AF6A530E0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69"/>
  <sheetViews>
    <sheetView showGridLines="0" tabSelected="1" zoomScaleNormal="100" workbookViewId="0">
      <selection activeCell="D5" sqref="D5"/>
    </sheetView>
  </sheetViews>
  <sheetFormatPr defaultColWidth="9.140625" defaultRowHeight="15" x14ac:dyDescent="0.25"/>
  <cols>
    <col min="1" max="2" width="1.7109375" style="6" customWidth="1"/>
    <col min="3" max="3" width="66.42578125" style="6" bestFit="1" customWidth="1"/>
    <col min="4" max="4" width="17.140625" style="7" customWidth="1"/>
    <col min="5" max="11" width="17.140625" style="6" customWidth="1"/>
    <col min="12" max="12" width="2.7109375" style="6" customWidth="1"/>
    <col min="13" max="16384" width="9.140625" style="6"/>
  </cols>
  <sheetData>
    <row r="1" spans="3:11" ht="15" customHeight="1" thickBot="1" x14ac:dyDescent="0.3"/>
    <row r="2" spans="3:11" ht="15.75" thickBot="1" x14ac:dyDescent="0.3">
      <c r="C2" s="2" t="str">
        <f>Company_Name&amp;" - Financial Statement Model"</f>
        <v>Talaat Moustafa Group Holding - Financial Statement Model</v>
      </c>
      <c r="D2" s="8"/>
      <c r="E2" s="8"/>
      <c r="F2" s="8"/>
      <c r="G2" s="8"/>
      <c r="H2" s="8"/>
      <c r="I2" s="8"/>
      <c r="J2" s="8"/>
      <c r="K2" s="8"/>
    </row>
    <row r="3" spans="3:11" x14ac:dyDescent="0.25">
      <c r="C3" s="281" t="s">
        <v>152</v>
      </c>
      <c r="D3" s="9"/>
      <c r="E3" s="9"/>
      <c r="F3" s="9"/>
      <c r="G3" s="9"/>
      <c r="H3" s="9"/>
    </row>
    <row r="4" spans="3:11" ht="15" customHeight="1" x14ac:dyDescent="0.25"/>
    <row r="5" spans="3:11" x14ac:dyDescent="0.25">
      <c r="C5" s="3" t="s">
        <v>0</v>
      </c>
      <c r="D5" s="208" t="s">
        <v>201</v>
      </c>
    </row>
    <row r="6" spans="3:11" x14ac:dyDescent="0.25">
      <c r="C6" s="3" t="s">
        <v>1</v>
      </c>
      <c r="D6" s="4" t="s">
        <v>202</v>
      </c>
    </row>
    <row r="7" spans="3:11" x14ac:dyDescent="0.25">
      <c r="C7" s="6" t="s">
        <v>29</v>
      </c>
      <c r="D7" s="169">
        <v>97</v>
      </c>
    </row>
    <row r="8" spans="3:11" x14ac:dyDescent="0.25">
      <c r="C8" s="6" t="s">
        <v>30</v>
      </c>
      <c r="D8" s="5">
        <v>46175</v>
      </c>
    </row>
    <row r="9" spans="3:11" x14ac:dyDescent="0.25">
      <c r="C9" s="3" t="s">
        <v>2</v>
      </c>
      <c r="D9" s="5">
        <v>46022</v>
      </c>
    </row>
    <row r="10" spans="3:11" ht="15" customHeight="1" x14ac:dyDescent="0.25">
      <c r="C10" s="6" t="s">
        <v>31</v>
      </c>
      <c r="D10" s="196">
        <v>2060653786</v>
      </c>
    </row>
    <row r="11" spans="3:11" ht="15" customHeight="1" x14ac:dyDescent="0.25"/>
    <row r="12" spans="3:11" customFormat="1" x14ac:dyDescent="0.25">
      <c r="C12" s="41" t="s">
        <v>44</v>
      </c>
      <c r="D12" s="42"/>
      <c r="E12" s="42"/>
      <c r="F12" s="42"/>
      <c r="G12" s="42"/>
      <c r="H12" s="42"/>
      <c r="I12" s="42"/>
      <c r="J12" s="42"/>
      <c r="K12" s="42"/>
    </row>
    <row r="13" spans="3:11" customFormat="1" x14ac:dyDescent="0.25">
      <c r="C13" t="s">
        <v>45</v>
      </c>
      <c r="D13" s="43">
        <f>E13-1</f>
        <v>2023</v>
      </c>
      <c r="E13" s="43">
        <f>F13-1</f>
        <v>2024</v>
      </c>
      <c r="F13" s="43">
        <f>YEAR(D9)</f>
        <v>2025</v>
      </c>
      <c r="G13" s="44">
        <f>F13+1</f>
        <v>2026</v>
      </c>
      <c r="H13" s="44">
        <f>G13+1</f>
        <v>2027</v>
      </c>
      <c r="I13" s="44">
        <f>H13+1</f>
        <v>2028</v>
      </c>
      <c r="J13" s="44">
        <f>I13+1</f>
        <v>2029</v>
      </c>
      <c r="K13" s="44">
        <f>J13+1</f>
        <v>2030</v>
      </c>
    </row>
    <row r="14" spans="3:11" customFormat="1" x14ac:dyDescent="0.25">
      <c r="C14" s="45" t="s">
        <v>46</v>
      </c>
      <c r="D14" s="256">
        <f>EOMONTH(E14,-12)</f>
        <v>45291</v>
      </c>
      <c r="E14" s="256">
        <f>EOMONTH(F14,-12)</f>
        <v>45657</v>
      </c>
      <c r="F14" s="256">
        <f>D9</f>
        <v>46022</v>
      </c>
      <c r="G14" s="256">
        <f>EOMONTH(F14,12)</f>
        <v>46387</v>
      </c>
      <c r="H14" s="256">
        <f>EOMONTH(G14,12)</f>
        <v>46752</v>
      </c>
      <c r="I14" s="256">
        <f>EOMONTH(H14,12)</f>
        <v>47118</v>
      </c>
      <c r="J14" s="256">
        <f>EOMONTH(I14,12)</f>
        <v>47483</v>
      </c>
      <c r="K14" s="256">
        <f>EOMONTH(J14,12)</f>
        <v>47848</v>
      </c>
    </row>
    <row r="15" spans="3:11" ht="15" customHeight="1" x14ac:dyDescent="0.25"/>
    <row r="16" spans="3:11" ht="15" customHeight="1" x14ac:dyDescent="0.25">
      <c r="C16" s="6" t="s">
        <v>203</v>
      </c>
      <c r="D16" s="10">
        <v>21578730465</v>
      </c>
      <c r="E16" s="10">
        <v>24518320655</v>
      </c>
      <c r="F16" s="10">
        <v>36705735436</v>
      </c>
      <c r="G16" s="243">
        <f>G199</f>
        <v>46983341358.080002</v>
      </c>
      <c r="H16" s="243">
        <f t="shared" ref="H16:K16" si="0">H199</f>
        <v>58259343284.019203</v>
      </c>
      <c r="I16" s="243">
        <f t="shared" si="0"/>
        <v>69911211940.823044</v>
      </c>
      <c r="J16" s="243">
        <f t="shared" si="0"/>
        <v>81097005851.354721</v>
      </c>
      <c r="K16" s="243">
        <f t="shared" si="0"/>
        <v>91639616612.030823</v>
      </c>
    </row>
    <row r="17" spans="3:11" ht="15" customHeight="1" x14ac:dyDescent="0.25">
      <c r="C17" s="6" t="s">
        <v>204</v>
      </c>
      <c r="D17" s="10">
        <v>-15665631650</v>
      </c>
      <c r="E17" s="10">
        <v>-18169712195</v>
      </c>
      <c r="F17" s="10">
        <v>-26645418395</v>
      </c>
      <c r="G17" s="244">
        <f>-G16*(1-G59)</f>
        <v>-34297839191.398399</v>
      </c>
      <c r="H17" s="244">
        <f t="shared" ref="H17:K17" si="1">-H16*(1-H59)</f>
        <v>-42529320597.334015</v>
      </c>
      <c r="I17" s="244">
        <f t="shared" si="1"/>
        <v>-51035184716.800819</v>
      </c>
      <c r="J17" s="244">
        <f t="shared" si="1"/>
        <v>-59200814271.488945</v>
      </c>
      <c r="K17" s="244">
        <f t="shared" si="1"/>
        <v>-66896920126.782501</v>
      </c>
    </row>
    <row r="18" spans="3:11" s="13" customFormat="1" ht="15" customHeight="1" x14ac:dyDescent="0.25">
      <c r="C18" s="13" t="s">
        <v>205</v>
      </c>
      <c r="D18" s="14">
        <f>SUM(D16:D17)</f>
        <v>5913098815</v>
      </c>
      <c r="E18" s="14">
        <f t="shared" ref="E18:G18" si="2">SUM(E16:E17)</f>
        <v>6348608460</v>
      </c>
      <c r="F18" s="14">
        <f t="shared" si="2"/>
        <v>10060317041</v>
      </c>
      <c r="G18" s="14">
        <f t="shared" si="2"/>
        <v>12685502166.681602</v>
      </c>
      <c r="H18" s="14">
        <f t="shared" ref="H18:K18" si="3">SUM(H16:H17)</f>
        <v>15730022686.685188</v>
      </c>
      <c r="I18" s="14">
        <f t="shared" si="3"/>
        <v>18876027224.022224</v>
      </c>
      <c r="J18" s="14">
        <f t="shared" si="3"/>
        <v>21896191579.865776</v>
      </c>
      <c r="K18" s="14">
        <f t="shared" si="3"/>
        <v>24742696485.248322</v>
      </c>
    </row>
    <row r="19" spans="3:11" s="15" customFormat="1" ht="15" customHeight="1" x14ac:dyDescent="0.25">
      <c r="C19" s="245" t="s">
        <v>206</v>
      </c>
      <c r="D19" s="199">
        <v>3540936070</v>
      </c>
      <c r="E19" s="199">
        <v>11496509789</v>
      </c>
      <c r="F19" s="199">
        <v>14889682025</v>
      </c>
      <c r="G19" s="246">
        <f>G200</f>
        <v>18612102531.25</v>
      </c>
      <c r="H19" s="246">
        <f t="shared" ref="H19:K19" si="4">H200</f>
        <v>22520644062.8125</v>
      </c>
      <c r="I19" s="246">
        <f t="shared" si="4"/>
        <v>26349153553.490623</v>
      </c>
      <c r="J19" s="246">
        <f t="shared" si="4"/>
        <v>30038035050.979313</v>
      </c>
      <c r="K19" s="246">
        <f t="shared" si="4"/>
        <v>33342218906.58704</v>
      </c>
    </row>
    <row r="20" spans="3:11" s="15" customFormat="1" ht="15" customHeight="1" x14ac:dyDescent="0.25">
      <c r="C20" s="245" t="s">
        <v>207</v>
      </c>
      <c r="D20" s="199">
        <v>-2001820412</v>
      </c>
      <c r="E20" s="199">
        <v>-6024656258</v>
      </c>
      <c r="F20" s="199">
        <v>-7800608765</v>
      </c>
      <c r="G20" s="246">
        <f>-G19*(1-G60)</f>
        <v>-9771353828.90625</v>
      </c>
      <c r="H20" s="246">
        <f t="shared" ref="H20:K20" si="5">-H19*(1-H60)</f>
        <v>-11823338132.976563</v>
      </c>
      <c r="I20" s="246">
        <f t="shared" si="5"/>
        <v>-13833305615.582579</v>
      </c>
      <c r="J20" s="246">
        <f t="shared" si="5"/>
        <v>-15769968401.764139</v>
      </c>
      <c r="K20" s="246">
        <f t="shared" si="5"/>
        <v>-17504664925.958199</v>
      </c>
    </row>
    <row r="21" spans="3:11" s="15" customFormat="1" ht="15" customHeight="1" x14ac:dyDescent="0.25">
      <c r="C21" s="247" t="s">
        <v>208</v>
      </c>
      <c r="D21" s="235">
        <f>SUM(D19:D20)</f>
        <v>1539115658</v>
      </c>
      <c r="E21" s="235">
        <f t="shared" ref="E21:G21" si="6">SUM(E19:E20)</f>
        <v>5471853531</v>
      </c>
      <c r="F21" s="235">
        <f t="shared" si="6"/>
        <v>7089073260</v>
      </c>
      <c r="G21" s="235">
        <f t="shared" si="6"/>
        <v>8840748702.34375</v>
      </c>
      <c r="H21" s="235">
        <f t="shared" ref="H21:K21" si="7">SUM(H19:H20)</f>
        <v>10697305929.835938</v>
      </c>
      <c r="I21" s="235">
        <f t="shared" si="7"/>
        <v>12515847937.908045</v>
      </c>
      <c r="J21" s="235">
        <f t="shared" si="7"/>
        <v>14268066649.215174</v>
      </c>
      <c r="K21" s="235">
        <f t="shared" si="7"/>
        <v>15837553980.628841</v>
      </c>
    </row>
    <row r="22" spans="3:11" s="15" customFormat="1" ht="15" customHeight="1" x14ac:dyDescent="0.25">
      <c r="C22" s="245" t="s">
        <v>209</v>
      </c>
      <c r="D22" s="199">
        <v>3311733995</v>
      </c>
      <c r="E22" s="199">
        <v>6655452844</v>
      </c>
      <c r="F22" s="199">
        <v>10899726736</v>
      </c>
      <c r="G22" s="249">
        <f>G201</f>
        <v>13951650222.08</v>
      </c>
      <c r="H22" s="249">
        <f t="shared" ref="H22:K22" si="8">H201</f>
        <v>17160529773.1584</v>
      </c>
      <c r="I22" s="249">
        <f t="shared" si="8"/>
        <v>20249425132.326912</v>
      </c>
      <c r="J22" s="249">
        <f t="shared" si="8"/>
        <v>23084344650.852684</v>
      </c>
      <c r="K22" s="249">
        <f t="shared" si="8"/>
        <v>25623622562.44648</v>
      </c>
    </row>
    <row r="23" spans="3:11" s="15" customFormat="1" ht="15" customHeight="1" x14ac:dyDescent="0.25">
      <c r="C23" s="245" t="s">
        <v>210</v>
      </c>
      <c r="D23" s="199">
        <v>-2126616776</v>
      </c>
      <c r="E23" s="199">
        <v>-4473718390</v>
      </c>
      <c r="F23" s="199">
        <v>-7193716653</v>
      </c>
      <c r="G23" s="246">
        <f>-G22*(1-G61)</f>
        <v>-9208089146.5727997</v>
      </c>
      <c r="H23" s="246">
        <f t="shared" ref="H23:K23" si="9">-H22*(1-H61)</f>
        <v>-11325949650.284542</v>
      </c>
      <c r="I23" s="246">
        <f t="shared" si="9"/>
        <v>-13364620587.33576</v>
      </c>
      <c r="J23" s="246">
        <f t="shared" si="9"/>
        <v>-15235667469.562769</v>
      </c>
      <c r="K23" s="246">
        <f t="shared" si="9"/>
        <v>-16911590891.214674</v>
      </c>
    </row>
    <row r="24" spans="3:11" s="13" customFormat="1" ht="15" customHeight="1" x14ac:dyDescent="0.25">
      <c r="C24" s="13" t="s">
        <v>211</v>
      </c>
      <c r="D24" s="235">
        <f t="shared" ref="D24:G24" si="10">SUM(D22:D23)</f>
        <v>1185117219</v>
      </c>
      <c r="E24" s="235">
        <f t="shared" si="10"/>
        <v>2181734454</v>
      </c>
      <c r="F24" s="235">
        <f t="shared" si="10"/>
        <v>3706010083</v>
      </c>
      <c r="G24" s="235">
        <f t="shared" si="10"/>
        <v>4743561075.5072002</v>
      </c>
      <c r="H24" s="235">
        <f t="shared" ref="H24:K24" si="11">SUM(H22:H23)</f>
        <v>5834580122.8738575</v>
      </c>
      <c r="I24" s="235">
        <f t="shared" si="11"/>
        <v>6884804544.9911518</v>
      </c>
      <c r="J24" s="235">
        <f t="shared" si="11"/>
        <v>7848677181.2899151</v>
      </c>
      <c r="K24" s="235">
        <f t="shared" si="11"/>
        <v>8712031671.2318058</v>
      </c>
    </row>
    <row r="25" spans="3:11" ht="15" customHeight="1" x14ac:dyDescent="0.25">
      <c r="C25" s="210" t="s">
        <v>212</v>
      </c>
      <c r="D25" s="235">
        <f>D18+D21+D24</f>
        <v>8637331692</v>
      </c>
      <c r="E25" s="235">
        <f t="shared" ref="E25:G25" si="12">E18+E21+E24</f>
        <v>14002196445</v>
      </c>
      <c r="F25" s="235">
        <f t="shared" si="12"/>
        <v>20855400384</v>
      </c>
      <c r="G25" s="235">
        <f t="shared" si="12"/>
        <v>26269811944.532555</v>
      </c>
      <c r="H25" s="235">
        <f t="shared" ref="H25:K25" si="13">H18+H21+H24</f>
        <v>32261908739.394981</v>
      </c>
      <c r="I25" s="235">
        <f t="shared" si="13"/>
        <v>38276679706.921417</v>
      </c>
      <c r="J25" s="235">
        <f t="shared" si="13"/>
        <v>44012935410.370865</v>
      </c>
      <c r="K25" s="235">
        <f t="shared" si="13"/>
        <v>49292282137.108971</v>
      </c>
    </row>
    <row r="26" spans="3:11" ht="15" customHeight="1" x14ac:dyDescent="0.25">
      <c r="C26" s="248" t="s">
        <v>213</v>
      </c>
      <c r="D26" s="199">
        <v>0</v>
      </c>
      <c r="E26" s="199">
        <v>4924140469</v>
      </c>
      <c r="F26" s="199">
        <v>3952529255</v>
      </c>
      <c r="G26" s="199">
        <v>0</v>
      </c>
      <c r="H26" s="199">
        <v>0</v>
      </c>
      <c r="I26" s="199">
        <v>0</v>
      </c>
      <c r="J26" s="199">
        <v>0</v>
      </c>
      <c r="K26" s="199">
        <v>0</v>
      </c>
    </row>
    <row r="27" spans="3:11" s="13" customFormat="1" ht="15" customHeight="1" x14ac:dyDescent="0.25">
      <c r="C27" s="248" t="s">
        <v>214</v>
      </c>
      <c r="D27" s="199">
        <v>0</v>
      </c>
      <c r="E27" s="199">
        <v>0</v>
      </c>
      <c r="F27" s="199">
        <v>0</v>
      </c>
      <c r="G27" s="199">
        <v>0</v>
      </c>
      <c r="H27" s="199">
        <v>0</v>
      </c>
      <c r="I27" s="199">
        <v>0</v>
      </c>
      <c r="J27" s="199">
        <v>0</v>
      </c>
      <c r="K27" s="199">
        <v>0</v>
      </c>
    </row>
    <row r="28" spans="3:11" ht="15" customHeight="1" x14ac:dyDescent="0.25">
      <c r="C28" s="248" t="s">
        <v>215</v>
      </c>
      <c r="D28" s="199">
        <v>588897516</v>
      </c>
      <c r="E28" s="199">
        <v>646829898</v>
      </c>
      <c r="F28" s="199">
        <v>3653757889</v>
      </c>
      <c r="G28" s="19">
        <f>G$202*G62</f>
        <v>1193206411.67115</v>
      </c>
      <c r="H28" s="19">
        <f>H$202*H62</f>
        <v>1469107756.7998514</v>
      </c>
      <c r="I28" s="19">
        <f>I$202*I62</f>
        <v>1747646859.3996084</v>
      </c>
      <c r="J28" s="19">
        <f>J$202*J62</f>
        <v>2013290783.2978005</v>
      </c>
      <c r="K28" s="19">
        <f>K$202*K62</f>
        <v>2259081871.2159648</v>
      </c>
    </row>
    <row r="29" spans="3:11" ht="15" customHeight="1" x14ac:dyDescent="0.25">
      <c r="C29" s="248" t="s">
        <v>284</v>
      </c>
      <c r="D29" s="199">
        <v>176744977</v>
      </c>
      <c r="E29" s="199">
        <v>0</v>
      </c>
      <c r="F29" s="19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</row>
    <row r="30" spans="3:11" s="13" customFormat="1" ht="15" customHeight="1" x14ac:dyDescent="0.25">
      <c r="C30" s="6" t="s">
        <v>216</v>
      </c>
      <c r="D30" s="199">
        <v>-968862044</v>
      </c>
      <c r="E30" s="199">
        <v>-1800356571</v>
      </c>
      <c r="F30" s="199">
        <v>-2132949723</v>
      </c>
      <c r="G30" s="19">
        <f t="shared" ref="G30:K31" si="14">-G$202*G63</f>
        <v>-2784148293.8993502</v>
      </c>
      <c r="H30" s="19">
        <f t="shared" si="14"/>
        <v>-3427918099.1996536</v>
      </c>
      <c r="I30" s="19">
        <f t="shared" si="14"/>
        <v>-4077842671.9324203</v>
      </c>
      <c r="J30" s="19">
        <f t="shared" si="14"/>
        <v>-4697678494.3615351</v>
      </c>
      <c r="K30" s="19">
        <f t="shared" si="14"/>
        <v>-5271191032.8372517</v>
      </c>
    </row>
    <row r="31" spans="3:11" ht="15" customHeight="1" x14ac:dyDescent="0.25">
      <c r="C31" s="6" t="s">
        <v>217</v>
      </c>
      <c r="D31" s="199">
        <v>-273496736</v>
      </c>
      <c r="E31" s="199">
        <v>-641802281</v>
      </c>
      <c r="F31" s="199">
        <v>-745772292</v>
      </c>
      <c r="G31" s="19">
        <f t="shared" si="14"/>
        <v>-970309639.75054014</v>
      </c>
      <c r="H31" s="19">
        <f t="shared" si="14"/>
        <v>-1194671269.205395</v>
      </c>
      <c r="I31" s="19">
        <f t="shared" si="14"/>
        <v>-1421177910.1825268</v>
      </c>
      <c r="J31" s="19">
        <f t="shared" si="14"/>
        <v>-1637198254.6747863</v>
      </c>
      <c r="K31" s="19">
        <f t="shared" si="14"/>
        <v>-1837074369.6863916</v>
      </c>
    </row>
    <row r="32" spans="3:11" ht="15" customHeight="1" x14ac:dyDescent="0.25">
      <c r="C32" s="6" t="s">
        <v>218</v>
      </c>
      <c r="D32" s="199">
        <v>0</v>
      </c>
      <c r="E32" s="199">
        <v>2191947399</v>
      </c>
      <c r="F32" s="199">
        <v>-85720689</v>
      </c>
      <c r="G32" s="199">
        <v>0</v>
      </c>
      <c r="H32" s="199">
        <v>0</v>
      </c>
      <c r="I32" s="199">
        <v>0</v>
      </c>
      <c r="J32" s="199">
        <v>0</v>
      </c>
      <c r="K32" s="199">
        <v>0</v>
      </c>
    </row>
    <row r="33" spans="3:11" ht="15" customHeight="1" x14ac:dyDescent="0.25">
      <c r="C33" s="6" t="s">
        <v>219</v>
      </c>
      <c r="D33" s="199">
        <v>-484057917</v>
      </c>
      <c r="E33" s="199">
        <v>-1795259960</v>
      </c>
      <c r="F33" s="199">
        <v>-1340370775</v>
      </c>
      <c r="G33" s="19">
        <f t="shared" ref="G33:K34" si="15">-G$202*G65</f>
        <v>-1590941882.2282002</v>
      </c>
      <c r="H33" s="19">
        <f t="shared" si="15"/>
        <v>-1958810342.399802</v>
      </c>
      <c r="I33" s="19">
        <f t="shared" si="15"/>
        <v>-2330195812.5328112</v>
      </c>
      <c r="J33" s="19">
        <f t="shared" si="15"/>
        <v>-2684387711.0637341</v>
      </c>
      <c r="K33" s="19">
        <f t="shared" si="15"/>
        <v>-3012109161.6212869</v>
      </c>
    </row>
    <row r="34" spans="3:11" ht="15" customHeight="1" x14ac:dyDescent="0.25">
      <c r="C34" s="6" t="s">
        <v>220</v>
      </c>
      <c r="D34" s="199">
        <v>-578361420</v>
      </c>
      <c r="E34" s="199">
        <v>-547161044</v>
      </c>
      <c r="F34" s="199">
        <v>-407555777</v>
      </c>
      <c r="G34" s="19">
        <f t="shared" si="15"/>
        <v>-556829658.77987003</v>
      </c>
      <c r="H34" s="19">
        <f t="shared" si="15"/>
        <v>-685583619.83993065</v>
      </c>
      <c r="I34" s="19">
        <f t="shared" si="15"/>
        <v>-815568534.38648391</v>
      </c>
      <c r="J34" s="19">
        <f t="shared" si="15"/>
        <v>-939535698.87230694</v>
      </c>
      <c r="K34" s="19">
        <f t="shared" si="15"/>
        <v>-1054238206.5674503</v>
      </c>
    </row>
    <row r="35" spans="3:11" ht="15" customHeight="1" x14ac:dyDescent="0.25">
      <c r="C35" s="6" t="s">
        <v>221</v>
      </c>
      <c r="D35" s="199">
        <v>-2785200</v>
      </c>
      <c r="E35" s="199">
        <v>0</v>
      </c>
      <c r="F35" s="199">
        <v>0</v>
      </c>
      <c r="G35" s="199">
        <v>0</v>
      </c>
      <c r="H35" s="199">
        <v>0</v>
      </c>
      <c r="I35" s="199">
        <v>0</v>
      </c>
      <c r="J35" s="199">
        <v>0</v>
      </c>
      <c r="K35" s="199">
        <v>0</v>
      </c>
    </row>
    <row r="36" spans="3:11" ht="15" customHeight="1" x14ac:dyDescent="0.25">
      <c r="C36" s="6" t="s">
        <v>222</v>
      </c>
      <c r="D36" s="199">
        <v>-81904974</v>
      </c>
      <c r="E36" s="199">
        <v>0</v>
      </c>
      <c r="F36" s="199">
        <v>0</v>
      </c>
      <c r="G36" s="199">
        <v>0</v>
      </c>
      <c r="H36" s="199">
        <v>0</v>
      </c>
      <c r="I36" s="199">
        <v>0</v>
      </c>
      <c r="J36" s="199">
        <v>0</v>
      </c>
      <c r="K36" s="199">
        <v>0</v>
      </c>
    </row>
    <row r="37" spans="3:11" ht="15" customHeight="1" x14ac:dyDescent="0.25">
      <c r="C37" s="13" t="s">
        <v>223</v>
      </c>
      <c r="D37" s="235">
        <f>SUM(D25:D36)</f>
        <v>7013505894</v>
      </c>
      <c r="E37" s="235">
        <f t="shared" ref="E37:K37" si="16">SUM(E25:E36)</f>
        <v>16980534355</v>
      </c>
      <c r="F37" s="235">
        <f t="shared" si="16"/>
        <v>23749318272</v>
      </c>
      <c r="G37" s="235">
        <f t="shared" si="16"/>
        <v>21560788881.545746</v>
      </c>
      <c r="H37" s="235">
        <f t="shared" si="16"/>
        <v>26464033165.550049</v>
      </c>
      <c r="I37" s="235">
        <f t="shared" si="16"/>
        <v>31379541637.286785</v>
      </c>
      <c r="J37" s="235">
        <f t="shared" si="16"/>
        <v>36067426034.696297</v>
      </c>
      <c r="K37" s="235">
        <f t="shared" si="16"/>
        <v>40376751237.612556</v>
      </c>
    </row>
    <row r="38" spans="3:11" ht="15" customHeight="1" x14ac:dyDescent="0.25">
      <c r="C38" s="6" t="s">
        <v>224</v>
      </c>
      <c r="D38" s="243">
        <v>541675444</v>
      </c>
      <c r="E38" s="243">
        <v>1572121295</v>
      </c>
      <c r="F38" s="243">
        <v>4230014157</v>
      </c>
      <c r="G38" s="243">
        <f>G248</f>
        <v>4675896041.1509819</v>
      </c>
      <c r="H38" s="243">
        <f t="shared" ref="H38:K38" si="17">H248</f>
        <v>5401273885.7717361</v>
      </c>
      <c r="I38" s="243">
        <f t="shared" si="17"/>
        <v>6312868555.9392967</v>
      </c>
      <c r="J38" s="243">
        <f t="shared" si="17"/>
        <v>7403747197.0669289</v>
      </c>
      <c r="K38" s="243">
        <f t="shared" si="17"/>
        <v>8672693560.4249821</v>
      </c>
    </row>
    <row r="39" spans="3:11" ht="15" customHeight="1" x14ac:dyDescent="0.25">
      <c r="C39" s="6" t="s">
        <v>225</v>
      </c>
      <c r="D39" s="243">
        <v>-1414730496</v>
      </c>
      <c r="E39" s="243">
        <v>-1368383007</v>
      </c>
      <c r="F39" s="243">
        <v>-3936548447</v>
      </c>
      <c r="G39" s="243">
        <f>G247</f>
        <v>-3030770575.5</v>
      </c>
      <c r="H39" s="243">
        <f t="shared" ref="H39:K39" si="18">H247</f>
        <v>-2788308929.46</v>
      </c>
      <c r="I39" s="243">
        <f t="shared" si="18"/>
        <v>-2545847283.4200001</v>
      </c>
      <c r="J39" s="243">
        <f t="shared" si="18"/>
        <v>-2424616460.4000001</v>
      </c>
      <c r="K39" s="243">
        <f t="shared" si="18"/>
        <v>-2303385637.3800001</v>
      </c>
    </row>
    <row r="40" spans="3:11" ht="15" customHeight="1" x14ac:dyDescent="0.25">
      <c r="C40" s="13" t="s">
        <v>226</v>
      </c>
      <c r="D40" s="235">
        <f>SUM(D38:D39)</f>
        <v>-873055052</v>
      </c>
      <c r="E40" s="235">
        <f t="shared" ref="E40:G40" si="19">SUM(E38:E39)</f>
        <v>203738288</v>
      </c>
      <c r="F40" s="235">
        <f t="shared" si="19"/>
        <v>293465710</v>
      </c>
      <c r="G40" s="235">
        <f t="shared" si="19"/>
        <v>1645125465.6509819</v>
      </c>
      <c r="H40" s="235">
        <f t="shared" ref="H40:K40" si="20">SUM(H38:H39)</f>
        <v>2612964956.3117361</v>
      </c>
      <c r="I40" s="235">
        <f t="shared" si="20"/>
        <v>3767021272.5192966</v>
      </c>
      <c r="J40" s="235">
        <f t="shared" si="20"/>
        <v>4979130736.6669292</v>
      </c>
      <c r="K40" s="235">
        <f t="shared" si="20"/>
        <v>6369307923.044982</v>
      </c>
    </row>
    <row r="41" spans="3:11" ht="15" customHeight="1" x14ac:dyDescent="0.25">
      <c r="C41" s="6" t="s">
        <v>227</v>
      </c>
      <c r="D41" s="243">
        <v>-11656021</v>
      </c>
      <c r="E41" s="243">
        <v>159666098</v>
      </c>
      <c r="F41" s="243">
        <v>38107173</v>
      </c>
      <c r="G41" s="243">
        <f>F41</f>
        <v>38107173</v>
      </c>
      <c r="H41" s="243">
        <f t="shared" ref="H41:K41" si="21">G41</f>
        <v>38107173</v>
      </c>
      <c r="I41" s="243">
        <f t="shared" si="21"/>
        <v>38107173</v>
      </c>
      <c r="J41" s="243">
        <f t="shared" si="21"/>
        <v>38107173</v>
      </c>
      <c r="K41" s="243">
        <f t="shared" si="21"/>
        <v>38107173</v>
      </c>
    </row>
    <row r="42" spans="3:11" ht="15" customHeight="1" x14ac:dyDescent="0.25">
      <c r="C42" s="6" t="s">
        <v>228</v>
      </c>
      <c r="D42" s="243">
        <v>-614585000</v>
      </c>
      <c r="E42" s="243">
        <v>-557134824</v>
      </c>
      <c r="F42" s="243">
        <v>0</v>
      </c>
      <c r="G42" s="199">
        <v>0</v>
      </c>
      <c r="H42" s="260">
        <v>0</v>
      </c>
      <c r="I42" s="260">
        <v>0</v>
      </c>
      <c r="J42" s="260">
        <v>0</v>
      </c>
      <c r="K42" s="260">
        <v>0</v>
      </c>
    </row>
    <row r="43" spans="3:11" ht="15" customHeight="1" x14ac:dyDescent="0.25">
      <c r="C43" s="6" t="s">
        <v>229</v>
      </c>
      <c r="D43" s="243">
        <v>-491823556</v>
      </c>
      <c r="E43" s="243">
        <v>-296628225</v>
      </c>
      <c r="F43" s="243">
        <v>-427334012</v>
      </c>
      <c r="G43" s="243">
        <f>-G193</f>
        <v>-1816662311.916208</v>
      </c>
      <c r="H43" s="243">
        <f t="shared" ref="H43:K43" si="22">-H193</f>
        <v>-2236723393.217567</v>
      </c>
      <c r="I43" s="243">
        <f t="shared" si="22"/>
        <v>-2660800472.5380211</v>
      </c>
      <c r="J43" s="243">
        <f t="shared" si="22"/>
        <v>-3065244582.3039885</v>
      </c>
      <c r="K43" s="243">
        <f t="shared" si="22"/>
        <v>-3439462656.945775</v>
      </c>
    </row>
    <row r="44" spans="3:11" ht="15" customHeight="1" x14ac:dyDescent="0.25">
      <c r="C44" s="13" t="s">
        <v>230</v>
      </c>
      <c r="D44" s="235">
        <f>D37+SUM(D40:D43)</f>
        <v>5022386265</v>
      </c>
      <c r="E44" s="235">
        <f t="shared" ref="E44:K44" si="23">E37+SUM(E40:E43)</f>
        <v>16490175692</v>
      </c>
      <c r="F44" s="235">
        <f t="shared" si="23"/>
        <v>23653557143</v>
      </c>
      <c r="G44" s="235">
        <f t="shared" si="23"/>
        <v>21427359208.280521</v>
      </c>
      <c r="H44" s="235">
        <f t="shared" si="23"/>
        <v>26878381901.644218</v>
      </c>
      <c r="I44" s="235">
        <f t="shared" si="23"/>
        <v>32523869610.268059</v>
      </c>
      <c r="J44" s="235">
        <f t="shared" si="23"/>
        <v>38019419362.059235</v>
      </c>
      <c r="K44" s="235">
        <f t="shared" si="23"/>
        <v>43344703676.711761</v>
      </c>
    </row>
    <row r="45" spans="3:11" ht="15" customHeight="1" x14ac:dyDescent="0.25">
      <c r="C45" s="6" t="s">
        <v>231</v>
      </c>
      <c r="D45" s="243">
        <v>-1681629913</v>
      </c>
      <c r="E45" s="243">
        <v>-2262723904</v>
      </c>
      <c r="F45" s="243">
        <v>-4334189365</v>
      </c>
      <c r="G45" s="243">
        <f>-G67*(G44-G41)</f>
        <v>-4812581707.938117</v>
      </c>
      <c r="H45" s="243">
        <f t="shared" ref="H45:K45" si="24">-H67*(H44-H41)</f>
        <v>-6039061813.9449492</v>
      </c>
      <c r="I45" s="243">
        <f t="shared" si="24"/>
        <v>-7309296548.385313</v>
      </c>
      <c r="J45" s="243">
        <f t="shared" si="24"/>
        <v>-8545795242.5383282</v>
      </c>
      <c r="K45" s="243">
        <f t="shared" si="24"/>
        <v>-9743984213.335146</v>
      </c>
    </row>
    <row r="46" spans="3:11" ht="15" customHeight="1" x14ac:dyDescent="0.25">
      <c r="C46" s="6" t="s">
        <v>232</v>
      </c>
      <c r="D46" s="243">
        <v>6525947</v>
      </c>
      <c r="E46" s="243">
        <v>-1457934463</v>
      </c>
      <c r="F46" s="243">
        <v>-1117386296</v>
      </c>
      <c r="G46" s="260">
        <v>0</v>
      </c>
      <c r="H46" s="260">
        <v>0</v>
      </c>
      <c r="I46" s="260">
        <v>0</v>
      </c>
      <c r="J46" s="260">
        <v>0</v>
      </c>
      <c r="K46" s="260">
        <v>0</v>
      </c>
    </row>
    <row r="47" spans="3:11" ht="15" customHeight="1" x14ac:dyDescent="0.25">
      <c r="C47" s="13" t="s">
        <v>233</v>
      </c>
      <c r="D47" s="235">
        <f>SUM(D44:D46)</f>
        <v>3347282299</v>
      </c>
      <c r="E47" s="235">
        <f>SUM(E44:E46)</f>
        <v>12769517325</v>
      </c>
      <c r="F47" s="235">
        <f>SUM(F44:F46)</f>
        <v>18201981482</v>
      </c>
      <c r="G47" s="235">
        <f t="shared" ref="G47:K47" si="25">SUM(G44:G46)</f>
        <v>16614777500.342403</v>
      </c>
      <c r="H47" s="235">
        <f t="shared" si="25"/>
        <v>20839320087.699268</v>
      </c>
      <c r="I47" s="235">
        <f t="shared" si="25"/>
        <v>25214573061.882744</v>
      </c>
      <c r="J47" s="235">
        <f t="shared" si="25"/>
        <v>29473624119.520905</v>
      </c>
      <c r="K47" s="235">
        <f t="shared" si="25"/>
        <v>33600719463.376617</v>
      </c>
    </row>
    <row r="48" spans="3:11" ht="15" customHeight="1" x14ac:dyDescent="0.25">
      <c r="C48" s="6" t="s">
        <v>234</v>
      </c>
      <c r="D48" s="243">
        <f>D47-D49</f>
        <v>3313340711</v>
      </c>
      <c r="E48" s="243">
        <f t="shared" ref="E48:F48" si="26">E47-E49</f>
        <v>9025066065</v>
      </c>
      <c r="F48" s="243">
        <f t="shared" si="26"/>
        <v>14383890306</v>
      </c>
      <c r="G48" s="243">
        <f t="shared" ref="G48" si="27">G47-G49</f>
        <v>13129622028.231113</v>
      </c>
      <c r="H48" s="243">
        <f t="shared" ref="H48" si="28">H47-H49</f>
        <v>16468014457.080557</v>
      </c>
      <c r="I48" s="243">
        <f t="shared" ref="I48" si="29">I47-I49</f>
        <v>19925503901.506714</v>
      </c>
      <c r="J48" s="243">
        <f t="shared" ref="J48" si="30">J47-J49</f>
        <v>23291166221.364719</v>
      </c>
      <c r="K48" s="243">
        <f t="shared" ref="K48" si="31">K47-K49</f>
        <v>26552552173.61002</v>
      </c>
    </row>
    <row r="49" spans="3:11" ht="15" customHeight="1" x14ac:dyDescent="0.25">
      <c r="C49" s="6" t="s">
        <v>235</v>
      </c>
      <c r="D49" s="243">
        <v>33941588</v>
      </c>
      <c r="E49" s="243">
        <v>3744451260</v>
      </c>
      <c r="F49" s="243">
        <v>3818091176</v>
      </c>
      <c r="G49" s="243">
        <f>G47*G269</f>
        <v>3485155472.11129</v>
      </c>
      <c r="H49" s="243">
        <f>H47*H269</f>
        <v>4371305630.6187115</v>
      </c>
      <c r="I49" s="243">
        <f>I47*I269</f>
        <v>5289069160.3760309</v>
      </c>
      <c r="J49" s="243">
        <f>J47*J269</f>
        <v>6182457898.1561861</v>
      </c>
      <c r="K49" s="243">
        <f>K47*K269</f>
        <v>7048167289.7665968</v>
      </c>
    </row>
    <row r="50" spans="3:11" ht="15" customHeight="1" x14ac:dyDescent="0.25">
      <c r="D50" s="14"/>
      <c r="E50" s="14"/>
      <c r="F50" s="14"/>
      <c r="G50" s="244"/>
      <c r="H50" s="250"/>
      <c r="I50" s="250"/>
      <c r="J50" s="250"/>
      <c r="K50" s="250"/>
    </row>
    <row r="51" spans="3:11" s="13" customFormat="1" ht="15" customHeight="1" x14ac:dyDescent="0.25">
      <c r="C51" s="251" t="s">
        <v>25</v>
      </c>
      <c r="D51" s="14">
        <f>D37+(-D43)</f>
        <v>7505329450</v>
      </c>
      <c r="E51" s="14">
        <f t="shared" ref="E51:F51" si="32">E37+(-E43)</f>
        <v>17277162580</v>
      </c>
      <c r="F51" s="14">
        <f t="shared" si="32"/>
        <v>24176652284</v>
      </c>
      <c r="G51" s="14">
        <f t="shared" ref="G51:K51" si="33">G37+(-G43)</f>
        <v>23377451193.461952</v>
      </c>
      <c r="H51" s="14">
        <f t="shared" si="33"/>
        <v>28700756558.767616</v>
      </c>
      <c r="I51" s="14">
        <f t="shared" si="33"/>
        <v>34040342109.824806</v>
      </c>
      <c r="J51" s="14">
        <f t="shared" si="33"/>
        <v>39132670617.000282</v>
      </c>
      <c r="K51" s="14">
        <f t="shared" si="33"/>
        <v>43816213894.558334</v>
      </c>
    </row>
    <row r="52" spans="3:11" ht="15" customHeight="1" x14ac:dyDescent="0.25">
      <c r="C52" s="252" t="s">
        <v>153</v>
      </c>
      <c r="D52" s="15">
        <f t="shared" ref="D52:K52" si="34">D51/D202</f>
        <v>0.26398029327048422</v>
      </c>
      <c r="E52" s="15">
        <f t="shared" si="34"/>
        <v>0.40489917686716626</v>
      </c>
      <c r="F52" s="15">
        <f t="shared" si="34"/>
        <v>0.3868564925266717</v>
      </c>
      <c r="G52" s="15">
        <f t="shared" si="34"/>
        <v>0.29388190045912388</v>
      </c>
      <c r="H52" s="15">
        <f t="shared" si="34"/>
        <v>0.2930427304524581</v>
      </c>
      <c r="I52" s="15">
        <f t="shared" si="34"/>
        <v>0.29216722411688301</v>
      </c>
      <c r="J52" s="15">
        <f t="shared" si="34"/>
        <v>0.29155751574718169</v>
      </c>
      <c r="K52" s="15">
        <f t="shared" si="34"/>
        <v>0.29093377127789077</v>
      </c>
    </row>
    <row r="53" spans="3:11" ht="15" customHeight="1" x14ac:dyDescent="0.25">
      <c r="C53" s="251"/>
      <c r="D53" s="14"/>
      <c r="E53" s="14"/>
      <c r="F53" s="14"/>
      <c r="G53" s="14"/>
      <c r="H53" s="14"/>
      <c r="I53" s="14"/>
      <c r="J53" s="14"/>
      <c r="K53" s="14"/>
    </row>
    <row r="54" spans="3:11" ht="15" customHeight="1" x14ac:dyDescent="0.25">
      <c r="C54" s="253" t="s">
        <v>31</v>
      </c>
      <c r="D54" s="19">
        <f>$D$10</f>
        <v>2060653786</v>
      </c>
      <c r="E54" s="19">
        <f t="shared" ref="E54:K54" si="35">$D$10</f>
        <v>2060653786</v>
      </c>
      <c r="F54" s="19">
        <f t="shared" si="35"/>
        <v>2060653786</v>
      </c>
      <c r="G54" s="19">
        <f t="shared" si="35"/>
        <v>2060653786</v>
      </c>
      <c r="H54" s="19">
        <f t="shared" si="35"/>
        <v>2060653786</v>
      </c>
      <c r="I54" s="19">
        <f t="shared" si="35"/>
        <v>2060653786</v>
      </c>
      <c r="J54" s="19">
        <f t="shared" si="35"/>
        <v>2060653786</v>
      </c>
      <c r="K54" s="19">
        <f t="shared" si="35"/>
        <v>2060653786</v>
      </c>
    </row>
    <row r="55" spans="3:11" ht="15" customHeight="1" x14ac:dyDescent="0.25">
      <c r="C55" s="253" t="s">
        <v>43</v>
      </c>
      <c r="D55" s="254">
        <f>D48/D54</f>
        <v>1.6079075162992955</v>
      </c>
      <c r="E55" s="254">
        <f t="shared" ref="E55:F55" si="36">E48/E54</f>
        <v>4.3797100349005449</v>
      </c>
      <c r="F55" s="254">
        <f t="shared" si="36"/>
        <v>6.9802556857069247</v>
      </c>
      <c r="G55" s="254">
        <f t="shared" ref="G55:K55" si="37">G48/G54</f>
        <v>6.3715807659846808</v>
      </c>
      <c r="H55" s="254">
        <f t="shared" si="37"/>
        <v>7.991645452022845</v>
      </c>
      <c r="I55" s="254">
        <f t="shared" si="37"/>
        <v>9.6695058805510161</v>
      </c>
      <c r="J55" s="254">
        <f t="shared" si="37"/>
        <v>11.302804177782788</v>
      </c>
      <c r="K55" s="254">
        <f t="shared" si="37"/>
        <v>12.885498939223563</v>
      </c>
    </row>
    <row r="56" spans="3:11" ht="15" customHeight="1" x14ac:dyDescent="0.25">
      <c r="C56" s="17"/>
      <c r="D56" s="14"/>
      <c r="E56" s="14"/>
      <c r="F56" s="14"/>
      <c r="G56" s="209"/>
      <c r="H56" s="14"/>
      <c r="I56" s="14"/>
      <c r="J56" s="14"/>
      <c r="K56" s="14"/>
    </row>
    <row r="57" spans="3:11" ht="15" customHeight="1" x14ac:dyDescent="0.25">
      <c r="C57" s="20" t="s">
        <v>28</v>
      </c>
      <c r="D57" s="21"/>
      <c r="E57" s="21"/>
      <c r="F57" s="14"/>
      <c r="H57" s="21"/>
      <c r="I57" s="21"/>
      <c r="J57" s="21"/>
      <c r="K57" s="21"/>
    </row>
    <row r="58" spans="3:11" ht="15" customHeight="1" x14ac:dyDescent="0.25">
      <c r="C58" s="17" t="s">
        <v>26</v>
      </c>
      <c r="D58" s="22"/>
      <c r="E58" s="226">
        <f>E202/D202-1</f>
        <v>0.50081538343408516</v>
      </c>
      <c r="F58" s="226">
        <f t="shared" ref="F58" si="38">F202/E202-1</f>
        <v>0.46460579544770142</v>
      </c>
      <c r="G58" s="226"/>
      <c r="H58" s="226"/>
      <c r="I58" s="226"/>
      <c r="J58" s="226"/>
      <c r="K58" s="226"/>
    </row>
    <row r="59" spans="3:11" ht="15" customHeight="1" x14ac:dyDescent="0.25">
      <c r="C59" s="17" t="s">
        <v>290</v>
      </c>
      <c r="D59" s="22">
        <f>D18/D16</f>
        <v>0.27402440679218149</v>
      </c>
      <c r="E59" s="22">
        <f t="shared" ref="E59:F59" si="39">E18/E16</f>
        <v>0.25893325033683878</v>
      </c>
      <c r="F59" s="22">
        <f t="shared" si="39"/>
        <v>0.27408024717393653</v>
      </c>
      <c r="G59" s="23">
        <v>0.27</v>
      </c>
      <c r="H59" s="23">
        <v>0.27</v>
      </c>
      <c r="I59" s="23">
        <v>0.27</v>
      </c>
      <c r="J59" s="23">
        <v>0.27</v>
      </c>
      <c r="K59" s="23">
        <v>0.27</v>
      </c>
    </row>
    <row r="60" spans="3:11" ht="15" customHeight="1" x14ac:dyDescent="0.25">
      <c r="C60" s="17" t="s">
        <v>291</v>
      </c>
      <c r="D60" s="22">
        <f>D21/D19</f>
        <v>0.43466349789252196</v>
      </c>
      <c r="E60" s="22">
        <f t="shared" ref="E60:F60" si="40">E21/E19</f>
        <v>0.47595780210055888</v>
      </c>
      <c r="F60" s="22">
        <f t="shared" si="40"/>
        <v>0.47610642377032225</v>
      </c>
      <c r="G60" s="23">
        <v>0.47499999999999998</v>
      </c>
      <c r="H60" s="23">
        <v>0.47499999999999998</v>
      </c>
      <c r="I60" s="23">
        <v>0.47499999999999998</v>
      </c>
      <c r="J60" s="23">
        <v>0.47499999999999998</v>
      </c>
      <c r="K60" s="23">
        <v>0.47499999999999998</v>
      </c>
    </row>
    <row r="61" spans="3:11" ht="15" customHeight="1" x14ac:dyDescent="0.25">
      <c r="C61" s="17" t="s">
        <v>292</v>
      </c>
      <c r="D61" s="22">
        <f>D24/D22</f>
        <v>0.35785398851153805</v>
      </c>
      <c r="E61" s="22">
        <f t="shared" ref="E61:F61" si="41">E24/E22</f>
        <v>0.32781157122416837</v>
      </c>
      <c r="F61" s="22">
        <f t="shared" si="41"/>
        <v>0.34000944911395437</v>
      </c>
      <c r="G61" s="23">
        <v>0.34</v>
      </c>
      <c r="H61" s="23">
        <v>0.34</v>
      </c>
      <c r="I61" s="23">
        <v>0.34</v>
      </c>
      <c r="J61" s="23">
        <v>0.34</v>
      </c>
      <c r="K61" s="23">
        <v>0.34</v>
      </c>
    </row>
    <row r="62" spans="3:11" ht="15" customHeight="1" x14ac:dyDescent="0.25">
      <c r="C62" s="17" t="s">
        <v>215</v>
      </c>
      <c r="D62" s="22">
        <f>D28/D202</f>
        <v>2.0712926729677356E-2</v>
      </c>
      <c r="E62" s="22">
        <f>E28/E202</f>
        <v>1.5158790806104291E-2</v>
      </c>
      <c r="F62" s="22">
        <f>F28/F202</f>
        <v>5.8464668510603966E-2</v>
      </c>
      <c r="G62" s="23">
        <v>1.4999999999999999E-2</v>
      </c>
      <c r="H62" s="23">
        <f t="shared" ref="H62:H68" si="42">G62</f>
        <v>1.4999999999999999E-2</v>
      </c>
      <c r="I62" s="23">
        <f t="shared" ref="I62:K62" si="43">H62</f>
        <v>1.4999999999999999E-2</v>
      </c>
      <c r="J62" s="23">
        <f t="shared" si="43"/>
        <v>1.4999999999999999E-2</v>
      </c>
      <c r="K62" s="23">
        <f t="shared" si="43"/>
        <v>1.4999999999999999E-2</v>
      </c>
    </row>
    <row r="63" spans="3:11" ht="15" customHeight="1" x14ac:dyDescent="0.25">
      <c r="C63" s="17" t="s">
        <v>199</v>
      </c>
      <c r="D63" s="22">
        <f>-D30/D202</f>
        <v>3.4077183182646402E-2</v>
      </c>
      <c r="E63" s="22">
        <f>-E30/E202</f>
        <v>4.2192280722596169E-2</v>
      </c>
      <c r="F63" s="22">
        <f>-F30/F202</f>
        <v>3.4129847213031785E-2</v>
      </c>
      <c r="G63" s="23">
        <v>3.5000000000000003E-2</v>
      </c>
      <c r="H63" s="23">
        <f t="shared" si="42"/>
        <v>3.5000000000000003E-2</v>
      </c>
      <c r="I63" s="23">
        <f t="shared" ref="I63:K63" si="44">H63</f>
        <v>3.5000000000000003E-2</v>
      </c>
      <c r="J63" s="23">
        <f t="shared" si="44"/>
        <v>3.5000000000000003E-2</v>
      </c>
      <c r="K63" s="23">
        <f t="shared" si="44"/>
        <v>3.5000000000000003E-2</v>
      </c>
    </row>
    <row r="64" spans="3:11" ht="15" customHeight="1" x14ac:dyDescent="0.25">
      <c r="C64" s="17" t="s">
        <v>217</v>
      </c>
      <c r="D64" s="22">
        <f>-D31/D202</f>
        <v>9.6195309025109074E-3</v>
      </c>
      <c r="E64" s="22">
        <f>-E31/E202</f>
        <v>1.5040966020033235E-2</v>
      </c>
      <c r="F64" s="22">
        <f>-F31/F202</f>
        <v>1.1933283802804633E-2</v>
      </c>
      <c r="G64" s="23">
        <f>AVERAGE(D64:F64)</f>
        <v>1.2197926908449591E-2</v>
      </c>
      <c r="H64" s="23">
        <f t="shared" si="42"/>
        <v>1.2197926908449591E-2</v>
      </c>
      <c r="I64" s="23">
        <f t="shared" ref="I64:K64" si="45">H64</f>
        <v>1.2197926908449591E-2</v>
      </c>
      <c r="J64" s="23">
        <f t="shared" si="45"/>
        <v>1.2197926908449591E-2</v>
      </c>
      <c r="K64" s="23">
        <f t="shared" si="45"/>
        <v>1.2197926908449591E-2</v>
      </c>
    </row>
    <row r="65" spans="3:11" ht="15" customHeight="1" x14ac:dyDescent="0.25">
      <c r="C65" s="17" t="s">
        <v>219</v>
      </c>
      <c r="D65" s="22">
        <f>-D33/D202</f>
        <v>1.7025468600790031E-2</v>
      </c>
      <c r="E65" s="22">
        <f>-E33/E202</f>
        <v>4.207283902670677E-2</v>
      </c>
      <c r="F65" s="22">
        <f>-F33/F202</f>
        <v>2.144759872502771E-2</v>
      </c>
      <c r="G65" s="23">
        <v>0.02</v>
      </c>
      <c r="H65" s="23">
        <f t="shared" si="42"/>
        <v>0.02</v>
      </c>
      <c r="I65" s="23">
        <f t="shared" ref="I65:K65" si="46">H65</f>
        <v>0.02</v>
      </c>
      <c r="J65" s="23">
        <f t="shared" si="46"/>
        <v>0.02</v>
      </c>
      <c r="K65" s="23">
        <f t="shared" si="46"/>
        <v>0.02</v>
      </c>
    </row>
    <row r="66" spans="3:11" ht="15" customHeight="1" x14ac:dyDescent="0.25">
      <c r="C66" s="17" t="s">
        <v>220</v>
      </c>
      <c r="D66" s="22">
        <f>-D34/D202</f>
        <v>2.0342347166110566E-2</v>
      </c>
      <c r="E66" s="22">
        <f>-E34/E202</f>
        <v>1.2823000032762285E-2</v>
      </c>
      <c r="F66" s="22">
        <f>-F34/F202</f>
        <v>6.521399098068874E-3</v>
      </c>
      <c r="G66" s="23">
        <v>7.0000000000000001E-3</v>
      </c>
      <c r="H66" s="23">
        <f t="shared" si="42"/>
        <v>7.0000000000000001E-3</v>
      </c>
      <c r="I66" s="23">
        <f t="shared" ref="I66:K68" si="47">H66</f>
        <v>7.0000000000000001E-3</v>
      </c>
      <c r="J66" s="23">
        <f t="shared" si="47"/>
        <v>7.0000000000000001E-3</v>
      </c>
      <c r="K66" s="23">
        <f t="shared" si="47"/>
        <v>7.0000000000000001E-3</v>
      </c>
    </row>
    <row r="67" spans="3:11" ht="15" customHeight="1" x14ac:dyDescent="0.25">
      <c r="C67" s="17" t="s">
        <v>27</v>
      </c>
      <c r="D67" s="227">
        <f>-SUM(D45:D46)/D44</f>
        <v>0.33352750617240706</v>
      </c>
      <c r="E67" s="227">
        <f t="shared" ref="E67:F67" si="48">-SUM(E45:E46)/E44</f>
        <v>0.22562878870993658</v>
      </c>
      <c r="F67" s="227">
        <f t="shared" si="48"/>
        <v>0.23047593341001277</v>
      </c>
      <c r="G67" s="23">
        <v>0.22500000000000001</v>
      </c>
      <c r="H67" s="23">
        <f t="shared" si="42"/>
        <v>0.22500000000000001</v>
      </c>
      <c r="I67" s="23">
        <f t="shared" si="47"/>
        <v>0.22500000000000001</v>
      </c>
      <c r="J67" s="23">
        <f t="shared" si="47"/>
        <v>0.22500000000000001</v>
      </c>
      <c r="K67" s="23">
        <f t="shared" si="47"/>
        <v>0.22500000000000001</v>
      </c>
    </row>
    <row r="68" spans="3:11" ht="15" customHeight="1" x14ac:dyDescent="0.25">
      <c r="C68" s="17" t="s">
        <v>154</v>
      </c>
      <c r="D68" s="229">
        <f>D49/D47</f>
        <v>1.0140043464556318E-2</v>
      </c>
      <c r="E68" s="229">
        <f t="shared" ref="E68:F68" si="49">E49/E47</f>
        <v>0.2932335784273663</v>
      </c>
      <c r="F68" s="229">
        <f t="shared" si="49"/>
        <v>0.20976239206570577</v>
      </c>
      <c r="G68" s="229">
        <f>F68</f>
        <v>0.20976239206570577</v>
      </c>
      <c r="H68" s="229">
        <f t="shared" si="42"/>
        <v>0.20976239206570577</v>
      </c>
      <c r="I68" s="229">
        <f t="shared" si="47"/>
        <v>0.20976239206570577</v>
      </c>
      <c r="J68" s="229">
        <f t="shared" si="47"/>
        <v>0.20976239206570577</v>
      </c>
      <c r="K68" s="229">
        <f t="shared" si="47"/>
        <v>0.20976239206570577</v>
      </c>
    </row>
    <row r="69" spans="3:11" ht="15" customHeight="1" x14ac:dyDescent="0.25">
      <c r="C69" s="17"/>
      <c r="D69" s="24"/>
      <c r="E69" s="24"/>
      <c r="F69" s="24"/>
      <c r="G69" s="24"/>
      <c r="H69" s="24"/>
      <c r="I69" s="24"/>
      <c r="J69" s="24"/>
      <c r="K69" s="24"/>
    </row>
    <row r="70" spans="3:11" customFormat="1" x14ac:dyDescent="0.25">
      <c r="C70" s="41" t="s">
        <v>47</v>
      </c>
      <c r="D70" s="48"/>
      <c r="E70" s="48"/>
      <c r="F70" s="48"/>
      <c r="G70" s="42"/>
      <c r="H70" s="42"/>
      <c r="I70" s="42"/>
      <c r="J70" s="42"/>
      <c r="K70" s="42"/>
    </row>
    <row r="71" spans="3:11" customFormat="1" x14ac:dyDescent="0.25">
      <c r="C71" t="s">
        <v>45</v>
      </c>
      <c r="D71" s="43">
        <f>D$13</f>
        <v>2023</v>
      </c>
      <c r="E71" s="43">
        <f t="shared" ref="E71:K71" si="50">E$13</f>
        <v>2024</v>
      </c>
      <c r="F71" s="43">
        <f t="shared" si="50"/>
        <v>2025</v>
      </c>
      <c r="G71" s="44">
        <f t="shared" si="50"/>
        <v>2026</v>
      </c>
      <c r="H71" s="44">
        <f t="shared" si="50"/>
        <v>2027</v>
      </c>
      <c r="I71" s="44">
        <f t="shared" si="50"/>
        <v>2028</v>
      </c>
      <c r="J71" s="44">
        <f t="shared" si="50"/>
        <v>2029</v>
      </c>
      <c r="K71" s="44">
        <f t="shared" si="50"/>
        <v>2030</v>
      </c>
    </row>
    <row r="72" spans="3:11" customFormat="1" x14ac:dyDescent="0.25">
      <c r="C72" s="45" t="s">
        <v>46</v>
      </c>
      <c r="D72" s="46">
        <f>D$14</f>
        <v>45291</v>
      </c>
      <c r="E72" s="46">
        <f t="shared" ref="E72:K72" si="51">E$14</f>
        <v>45657</v>
      </c>
      <c r="F72" s="46">
        <f t="shared" si="51"/>
        <v>46022</v>
      </c>
      <c r="G72" s="46">
        <f t="shared" si="51"/>
        <v>46387</v>
      </c>
      <c r="H72" s="46">
        <f t="shared" si="51"/>
        <v>46752</v>
      </c>
      <c r="I72" s="46">
        <f t="shared" si="51"/>
        <v>47118</v>
      </c>
      <c r="J72" s="46">
        <f t="shared" si="51"/>
        <v>47483</v>
      </c>
      <c r="K72" s="46">
        <f t="shared" si="51"/>
        <v>47848</v>
      </c>
    </row>
    <row r="73" spans="3:11" s="37" customFormat="1" ht="15" customHeight="1" x14ac:dyDescent="0.25">
      <c r="C73" s="47" t="s">
        <v>3</v>
      </c>
    </row>
    <row r="74" spans="3:11" ht="15" customHeight="1" x14ac:dyDescent="0.25"/>
    <row r="75" spans="3:11" ht="15" customHeight="1" x14ac:dyDescent="0.25">
      <c r="C75" s="13" t="s">
        <v>4</v>
      </c>
    </row>
    <row r="76" spans="3:11" ht="15" customHeight="1" x14ac:dyDescent="0.25">
      <c r="C76" s="17" t="s">
        <v>236</v>
      </c>
      <c r="D76" s="10">
        <v>89847247605</v>
      </c>
      <c r="E76" s="10">
        <v>104117856511</v>
      </c>
      <c r="F76" s="10">
        <v>130058872016</v>
      </c>
      <c r="G76" s="196">
        <f>G214</f>
        <v>165545747037.05087</v>
      </c>
      <c r="H76" s="196">
        <f t="shared" ref="H76:K76" si="52">H214</f>
        <v>203824366596.16702</v>
      </c>
      <c r="I76" s="196">
        <f t="shared" si="52"/>
        <v>242468949266.75931</v>
      </c>
      <c r="J76" s="196">
        <f t="shared" si="52"/>
        <v>279324451715.81891</v>
      </c>
      <c r="K76" s="196">
        <f t="shared" si="52"/>
        <v>313425566884.54645</v>
      </c>
    </row>
    <row r="77" spans="3:11" ht="15" customHeight="1" x14ac:dyDescent="0.25">
      <c r="C77" s="17" t="s">
        <v>237</v>
      </c>
      <c r="D77" s="10">
        <v>0</v>
      </c>
      <c r="E77" s="10">
        <v>37201840</v>
      </c>
      <c r="F77" s="10">
        <v>19186855</v>
      </c>
      <c r="G77" s="19">
        <f>F77</f>
        <v>19186855</v>
      </c>
      <c r="H77" s="19">
        <f t="shared" ref="H77:K77" si="53">G77</f>
        <v>19186855</v>
      </c>
      <c r="I77" s="19">
        <f t="shared" si="53"/>
        <v>19186855</v>
      </c>
      <c r="J77" s="19">
        <f t="shared" si="53"/>
        <v>19186855</v>
      </c>
      <c r="K77" s="19">
        <f t="shared" si="53"/>
        <v>19186855</v>
      </c>
    </row>
    <row r="78" spans="3:11" ht="15" customHeight="1" x14ac:dyDescent="0.25">
      <c r="C78" s="17" t="s">
        <v>163</v>
      </c>
      <c r="D78" s="10">
        <v>1164597118</v>
      </c>
      <c r="E78" s="10">
        <v>3440526055</v>
      </c>
      <c r="F78" s="10">
        <v>7372154387</v>
      </c>
      <c r="G78" s="19">
        <f>G215</f>
        <v>9383664384.8352642</v>
      </c>
      <c r="H78" s="19">
        <f t="shared" ref="H78:K78" si="54">H215</f>
        <v>11553419425.278227</v>
      </c>
      <c r="I78" s="19">
        <f t="shared" si="54"/>
        <v>13743918429.71172</v>
      </c>
      <c r="J78" s="19">
        <f t="shared" si="54"/>
        <v>15833006623.798923</v>
      </c>
      <c r="K78" s="19">
        <f t="shared" si="54"/>
        <v>17765967304.572777</v>
      </c>
    </row>
    <row r="79" spans="3:11" ht="15" customHeight="1" x14ac:dyDescent="0.25">
      <c r="C79" s="17" t="s">
        <v>238</v>
      </c>
      <c r="D79" s="10">
        <v>10056310804</v>
      </c>
      <c r="E79" s="10">
        <v>17786055837</v>
      </c>
      <c r="F79" s="10">
        <v>21716321258</v>
      </c>
      <c r="G79" s="19">
        <f>G216</f>
        <v>27641671574.0079</v>
      </c>
      <c r="H79" s="19">
        <f t="shared" ref="H79:K79" si="55">H216</f>
        <v>34033167876.976486</v>
      </c>
      <c r="I79" s="19">
        <f t="shared" si="55"/>
        <v>40485770141.992905</v>
      </c>
      <c r="J79" s="19">
        <f t="shared" si="55"/>
        <v>46639644298.385117</v>
      </c>
      <c r="K79" s="19">
        <f t="shared" si="55"/>
        <v>52333610121.56279</v>
      </c>
    </row>
    <row r="80" spans="3:11" ht="15" customHeight="1" x14ac:dyDescent="0.25">
      <c r="C80" s="17" t="s">
        <v>239</v>
      </c>
      <c r="D80" s="10">
        <v>37479203176</v>
      </c>
      <c r="E80" s="10">
        <v>27648152656</v>
      </c>
      <c r="F80" s="10">
        <v>15925586014</v>
      </c>
      <c r="G80" s="19">
        <f>F80</f>
        <v>15925586014</v>
      </c>
      <c r="H80" s="19">
        <f t="shared" ref="H80:K80" si="56">G80</f>
        <v>15925586014</v>
      </c>
      <c r="I80" s="19">
        <f t="shared" si="56"/>
        <v>15925586014</v>
      </c>
      <c r="J80" s="19">
        <f t="shared" si="56"/>
        <v>15925586014</v>
      </c>
      <c r="K80" s="19">
        <f t="shared" si="56"/>
        <v>15925586014</v>
      </c>
    </row>
    <row r="81" spans="3:11" ht="15" customHeight="1" x14ac:dyDescent="0.25">
      <c r="C81" s="17" t="s">
        <v>240</v>
      </c>
      <c r="D81" s="10">
        <v>10661281494</v>
      </c>
      <c r="E81" s="10">
        <v>24792981062</v>
      </c>
      <c r="F81" s="10">
        <v>57596016203</v>
      </c>
      <c r="G81" s="19">
        <f>G217</f>
        <v>73311227299.516663</v>
      </c>
      <c r="H81" s="19">
        <f t="shared" ref="H81:K81" si="57">H217</f>
        <v>90262750545.728592</v>
      </c>
      <c r="I81" s="19">
        <f t="shared" si="57"/>
        <v>107376338993.42625</v>
      </c>
      <c r="J81" s="19">
        <f t="shared" si="57"/>
        <v>123697640903.2614</v>
      </c>
      <c r="K81" s="19">
        <f t="shared" si="57"/>
        <v>138799174165.49646</v>
      </c>
    </row>
    <row r="82" spans="3:11" ht="15" customHeight="1" x14ac:dyDescent="0.25">
      <c r="C82" s="17" t="s">
        <v>241</v>
      </c>
      <c r="D82" s="10">
        <v>309634506</v>
      </c>
      <c r="E82" s="10">
        <v>517425254</v>
      </c>
      <c r="F82" s="10">
        <v>1572451019</v>
      </c>
      <c r="G82" s="19">
        <f>F82</f>
        <v>1572451019</v>
      </c>
      <c r="H82" s="19">
        <f t="shared" ref="H82:K82" si="58">G82</f>
        <v>1572451019</v>
      </c>
      <c r="I82" s="19">
        <f t="shared" si="58"/>
        <v>1572451019</v>
      </c>
      <c r="J82" s="19">
        <f t="shared" si="58"/>
        <v>1572451019</v>
      </c>
      <c r="K82" s="19">
        <f t="shared" si="58"/>
        <v>1572451019</v>
      </c>
    </row>
    <row r="83" spans="3:11" ht="15" customHeight="1" x14ac:dyDescent="0.25">
      <c r="C83" s="17" t="s">
        <v>242</v>
      </c>
      <c r="D83" s="10">
        <v>6171020194</v>
      </c>
      <c r="E83" s="10">
        <v>10462621831</v>
      </c>
      <c r="F83" s="10">
        <v>20085613712</v>
      </c>
      <c r="G83" s="19">
        <f>F83</f>
        <v>20085613712</v>
      </c>
      <c r="H83" s="19">
        <f t="shared" ref="H83:K83" si="59">G83</f>
        <v>20085613712</v>
      </c>
      <c r="I83" s="19">
        <f t="shared" si="59"/>
        <v>20085613712</v>
      </c>
      <c r="J83" s="19">
        <f t="shared" si="59"/>
        <v>20085613712</v>
      </c>
      <c r="K83" s="19">
        <f t="shared" si="59"/>
        <v>20085613712</v>
      </c>
    </row>
    <row r="84" spans="3:11" ht="15" customHeight="1" x14ac:dyDescent="0.25">
      <c r="C84" s="17" t="s">
        <v>164</v>
      </c>
      <c r="D84" s="10">
        <v>8094269370</v>
      </c>
      <c r="E84" s="10">
        <v>44909587972</v>
      </c>
      <c r="F84" s="10">
        <v>44846514337</v>
      </c>
      <c r="G84" s="19">
        <f>G173</f>
        <v>56312300269.825851</v>
      </c>
      <c r="H84" s="19">
        <f t="shared" ref="H84:K84" si="60">H173</f>
        <v>70721548392.24527</v>
      </c>
      <c r="I84" s="19">
        <f t="shared" si="60"/>
        <v>87964673572.613541</v>
      </c>
      <c r="J84" s="19">
        <f t="shared" si="60"/>
        <v>108022451005.98431</v>
      </c>
      <c r="K84" s="19">
        <f t="shared" si="60"/>
        <v>132524674601.89153</v>
      </c>
    </row>
    <row r="85" spans="3:11" ht="15" customHeight="1" x14ac:dyDescent="0.25">
      <c r="C85" s="11" t="s">
        <v>5</v>
      </c>
      <c r="D85" s="12">
        <f>SUM(D76:D84)</f>
        <v>163783564267</v>
      </c>
      <c r="E85" s="12">
        <f t="shared" ref="E85:K85" si="61">SUM(E76:E84)</f>
        <v>233712409018</v>
      </c>
      <c r="F85" s="12">
        <f t="shared" si="61"/>
        <v>299192715801</v>
      </c>
      <c r="G85" s="12">
        <f t="shared" si="61"/>
        <v>369797448165.23657</v>
      </c>
      <c r="H85" s="12">
        <f t="shared" si="61"/>
        <v>447998090436.39563</v>
      </c>
      <c r="I85" s="12">
        <f t="shared" si="61"/>
        <v>529642488004.50372</v>
      </c>
      <c r="J85" s="12">
        <f t="shared" si="61"/>
        <v>611120032147.24878</v>
      </c>
      <c r="K85" s="12">
        <f t="shared" si="61"/>
        <v>692451830678.06995</v>
      </c>
    </row>
    <row r="86" spans="3:11" ht="15" customHeight="1" x14ac:dyDescent="0.25">
      <c r="E86" s="18"/>
      <c r="F86" s="18"/>
      <c r="G86" s="18"/>
      <c r="H86" s="18"/>
      <c r="I86" s="18"/>
      <c r="J86" s="18"/>
      <c r="K86" s="18"/>
    </row>
    <row r="87" spans="3:11" ht="15" customHeight="1" x14ac:dyDescent="0.25">
      <c r="C87" s="13" t="s">
        <v>6</v>
      </c>
      <c r="E87" s="18"/>
      <c r="F87" s="18"/>
      <c r="G87" s="18"/>
      <c r="H87" s="18"/>
      <c r="I87" s="18"/>
      <c r="J87" s="18"/>
      <c r="K87" s="18"/>
    </row>
    <row r="88" spans="3:11" ht="15" customHeight="1" x14ac:dyDescent="0.25">
      <c r="C88" s="25" t="s">
        <v>243</v>
      </c>
      <c r="D88" s="10">
        <v>6465302744</v>
      </c>
      <c r="E88" s="10">
        <v>75812139564</v>
      </c>
      <c r="F88" s="10">
        <v>71519687997</v>
      </c>
      <c r="G88" s="19">
        <f>G184</f>
        <v>81635089801.795288</v>
      </c>
      <c r="H88" s="19">
        <f t="shared" ref="H88:K88" si="62">H184</f>
        <v>93110038805.376343</v>
      </c>
      <c r="I88" s="19">
        <f t="shared" si="62"/>
        <v>105595511114.30159</v>
      </c>
      <c r="J88" s="19">
        <f t="shared" si="62"/>
        <v>118636592798.38</v>
      </c>
      <c r="K88" s="19">
        <f t="shared" si="62"/>
        <v>130257675949.54066</v>
      </c>
    </row>
    <row r="89" spans="3:11" ht="15" customHeight="1" x14ac:dyDescent="0.25">
      <c r="C89" s="17" t="s">
        <v>244</v>
      </c>
      <c r="D89" s="10">
        <v>2122251697</v>
      </c>
      <c r="E89" s="10">
        <v>14259983098</v>
      </c>
      <c r="F89" s="10">
        <v>23636141834</v>
      </c>
      <c r="G89" s="19">
        <f t="shared" ref="G89:G98" si="63">F89</f>
        <v>23636141834</v>
      </c>
      <c r="H89" s="19">
        <f t="shared" ref="H89:K89" si="64">G89</f>
        <v>23636141834</v>
      </c>
      <c r="I89" s="19">
        <f t="shared" si="64"/>
        <v>23636141834</v>
      </c>
      <c r="J89" s="19">
        <f t="shared" si="64"/>
        <v>23636141834</v>
      </c>
      <c r="K89" s="19">
        <f t="shared" si="64"/>
        <v>23636141834</v>
      </c>
    </row>
    <row r="90" spans="3:11" ht="15" customHeight="1" x14ac:dyDescent="0.25">
      <c r="C90" s="17" t="s">
        <v>245</v>
      </c>
      <c r="D90" s="10">
        <v>13154345174</v>
      </c>
      <c r="E90" s="10">
        <v>11166992701</v>
      </c>
      <c r="F90" s="10">
        <v>16370515348</v>
      </c>
      <c r="G90" s="19">
        <f t="shared" si="63"/>
        <v>16370515348</v>
      </c>
      <c r="H90" s="19">
        <f t="shared" ref="H90:K90" si="65">G90</f>
        <v>16370515348</v>
      </c>
      <c r="I90" s="19">
        <f t="shared" si="65"/>
        <v>16370515348</v>
      </c>
      <c r="J90" s="19">
        <f t="shared" si="65"/>
        <v>16370515348</v>
      </c>
      <c r="K90" s="19">
        <f t="shared" si="65"/>
        <v>16370515348</v>
      </c>
    </row>
    <row r="91" spans="3:11" ht="15" customHeight="1" x14ac:dyDescent="0.25">
      <c r="C91" s="17" t="s">
        <v>246</v>
      </c>
      <c r="D91" s="10">
        <v>10451554</v>
      </c>
      <c r="E91" s="10">
        <v>43848438</v>
      </c>
      <c r="F91" s="10">
        <v>96899410</v>
      </c>
      <c r="G91" s="19">
        <f t="shared" si="63"/>
        <v>96899410</v>
      </c>
      <c r="H91" s="19">
        <f t="shared" ref="H91:K91" si="66">G91</f>
        <v>96899410</v>
      </c>
      <c r="I91" s="19">
        <f t="shared" si="66"/>
        <v>96899410</v>
      </c>
      <c r="J91" s="19">
        <f t="shared" si="66"/>
        <v>96899410</v>
      </c>
      <c r="K91" s="19">
        <f t="shared" si="66"/>
        <v>96899410</v>
      </c>
    </row>
    <row r="92" spans="3:11" ht="15" customHeight="1" x14ac:dyDescent="0.25">
      <c r="C92" s="17" t="s">
        <v>162</v>
      </c>
      <c r="D92" s="10">
        <v>81378074</v>
      </c>
      <c r="E92" s="10">
        <v>196322206</v>
      </c>
      <c r="F92" s="10">
        <v>305717443</v>
      </c>
      <c r="G92" s="19">
        <f t="shared" si="63"/>
        <v>305717443</v>
      </c>
      <c r="H92" s="19">
        <f t="shared" ref="H92:K92" si="67">G92</f>
        <v>305717443</v>
      </c>
      <c r="I92" s="19">
        <f t="shared" si="67"/>
        <v>305717443</v>
      </c>
      <c r="J92" s="19">
        <f t="shared" si="67"/>
        <v>305717443</v>
      </c>
      <c r="K92" s="19">
        <f t="shared" si="67"/>
        <v>305717443</v>
      </c>
    </row>
    <row r="93" spans="3:11" ht="15" customHeight="1" x14ac:dyDescent="0.25">
      <c r="C93" s="17" t="s">
        <v>247</v>
      </c>
      <c r="D93" s="10">
        <v>10846488726</v>
      </c>
      <c r="E93" s="10">
        <v>12743456676</v>
      </c>
      <c r="F93" s="10">
        <v>12592486910</v>
      </c>
      <c r="G93" s="19">
        <f t="shared" si="63"/>
        <v>12592486910</v>
      </c>
      <c r="H93" s="19">
        <f t="shared" ref="H93:K93" si="68">G93</f>
        <v>12592486910</v>
      </c>
      <c r="I93" s="19">
        <f t="shared" si="68"/>
        <v>12592486910</v>
      </c>
      <c r="J93" s="19">
        <f t="shared" si="68"/>
        <v>12592486910</v>
      </c>
      <c r="K93" s="19">
        <f t="shared" si="68"/>
        <v>12592486910</v>
      </c>
    </row>
    <row r="94" spans="3:11" ht="15" customHeight="1" x14ac:dyDescent="0.25">
      <c r="C94" s="17" t="s">
        <v>248</v>
      </c>
      <c r="D94" s="10">
        <v>103939512</v>
      </c>
      <c r="E94" s="10">
        <v>623605610</v>
      </c>
      <c r="F94" s="10">
        <v>1426797845</v>
      </c>
      <c r="G94" s="19">
        <f t="shared" si="63"/>
        <v>1426797845</v>
      </c>
      <c r="H94" s="19">
        <f t="shared" ref="H94:K94" si="69">G94</f>
        <v>1426797845</v>
      </c>
      <c r="I94" s="19">
        <f t="shared" si="69"/>
        <v>1426797845</v>
      </c>
      <c r="J94" s="19">
        <f t="shared" si="69"/>
        <v>1426797845</v>
      </c>
      <c r="K94" s="19">
        <f t="shared" si="69"/>
        <v>1426797845</v>
      </c>
    </row>
    <row r="95" spans="3:11" ht="15" customHeight="1" x14ac:dyDescent="0.25">
      <c r="C95" s="17" t="s">
        <v>249</v>
      </c>
      <c r="D95" s="10">
        <v>854287345</v>
      </c>
      <c r="E95" s="10">
        <v>1748816386</v>
      </c>
      <c r="F95" s="10">
        <v>1802785911</v>
      </c>
      <c r="G95" s="19">
        <f t="shared" si="63"/>
        <v>1802785911</v>
      </c>
      <c r="H95" s="19">
        <f t="shared" ref="H95:K95" si="70">G95</f>
        <v>1802785911</v>
      </c>
      <c r="I95" s="19">
        <f t="shared" si="70"/>
        <v>1802785911</v>
      </c>
      <c r="J95" s="19">
        <f t="shared" si="70"/>
        <v>1802785911</v>
      </c>
      <c r="K95" s="19">
        <f t="shared" si="70"/>
        <v>1802785911</v>
      </c>
    </row>
    <row r="96" spans="3:11" ht="15" customHeight="1" x14ac:dyDescent="0.25">
      <c r="C96" s="17" t="s">
        <v>250</v>
      </c>
      <c r="D96" s="10">
        <v>3972195241</v>
      </c>
      <c r="E96" s="10">
        <v>4442204028</v>
      </c>
      <c r="F96" s="10">
        <v>8978073992</v>
      </c>
      <c r="G96" s="19">
        <f t="shared" si="63"/>
        <v>8978073992</v>
      </c>
      <c r="H96" s="19">
        <f t="shared" ref="H96:K96" si="71">G96</f>
        <v>8978073992</v>
      </c>
      <c r="I96" s="19">
        <f t="shared" si="71"/>
        <v>8978073992</v>
      </c>
      <c r="J96" s="19">
        <f t="shared" si="71"/>
        <v>8978073992</v>
      </c>
      <c r="K96" s="19">
        <f t="shared" si="71"/>
        <v>8978073992</v>
      </c>
    </row>
    <row r="97" spans="3:11" ht="15" customHeight="1" x14ac:dyDescent="0.25">
      <c r="C97" s="17" t="s">
        <v>251</v>
      </c>
      <c r="D97" s="10">
        <v>381681591</v>
      </c>
      <c r="E97" s="10">
        <v>229008953</v>
      </c>
      <c r="F97" s="10">
        <v>76336317</v>
      </c>
      <c r="G97" s="19">
        <f t="shared" si="63"/>
        <v>76336317</v>
      </c>
      <c r="H97" s="19">
        <f t="shared" ref="H97:K97" si="72">G97</f>
        <v>76336317</v>
      </c>
      <c r="I97" s="19">
        <f t="shared" si="72"/>
        <v>76336317</v>
      </c>
      <c r="J97" s="19">
        <f t="shared" si="72"/>
        <v>76336317</v>
      </c>
      <c r="K97" s="19">
        <f t="shared" si="72"/>
        <v>76336317</v>
      </c>
    </row>
    <row r="98" spans="3:11" ht="15" customHeight="1" x14ac:dyDescent="0.25">
      <c r="C98" s="17" t="s">
        <v>155</v>
      </c>
      <c r="D98" s="10">
        <v>258612096</v>
      </c>
      <c r="E98" s="10">
        <v>194221364</v>
      </c>
      <c r="F98" s="10">
        <v>224047904</v>
      </c>
      <c r="G98" s="19">
        <f t="shared" si="63"/>
        <v>224047904</v>
      </c>
      <c r="H98" s="19">
        <f t="shared" ref="H98:K98" si="73">G98</f>
        <v>224047904</v>
      </c>
      <c r="I98" s="19">
        <f t="shared" si="73"/>
        <v>224047904</v>
      </c>
      <c r="J98" s="19">
        <f t="shared" si="73"/>
        <v>224047904</v>
      </c>
      <c r="K98" s="19">
        <f t="shared" si="73"/>
        <v>224047904</v>
      </c>
    </row>
    <row r="99" spans="3:11" ht="15" customHeight="1" x14ac:dyDescent="0.25">
      <c r="C99" s="11" t="s">
        <v>7</v>
      </c>
      <c r="D99" s="12">
        <f>SUM(D88:D98)</f>
        <v>38250933754</v>
      </c>
      <c r="E99" s="12">
        <f t="shared" ref="E99:F99" si="74">SUM(E88:E98)</f>
        <v>121460599024</v>
      </c>
      <c r="F99" s="12">
        <f t="shared" si="74"/>
        <v>137029490911</v>
      </c>
      <c r="G99" s="12">
        <f t="shared" ref="G99" si="75">SUM(G88:G98)</f>
        <v>147144892715.79529</v>
      </c>
      <c r="H99" s="12">
        <f t="shared" ref="H99:K99" si="76">SUM(H88:H98)</f>
        <v>158619841719.37634</v>
      </c>
      <c r="I99" s="12">
        <f t="shared" si="76"/>
        <v>171105314028.30157</v>
      </c>
      <c r="J99" s="12">
        <f t="shared" si="76"/>
        <v>184146395712.38</v>
      </c>
      <c r="K99" s="12">
        <f t="shared" si="76"/>
        <v>195767478863.54065</v>
      </c>
    </row>
    <row r="100" spans="3:11" ht="15" customHeight="1" x14ac:dyDescent="0.25">
      <c r="E100" s="19"/>
      <c r="F100" s="19"/>
      <c r="G100" s="19"/>
      <c r="H100" s="19"/>
      <c r="I100" s="19"/>
      <c r="J100" s="19"/>
      <c r="K100" s="19"/>
    </row>
    <row r="101" spans="3:11" ht="15" customHeight="1" x14ac:dyDescent="0.25">
      <c r="C101" s="13" t="s">
        <v>8</v>
      </c>
      <c r="D101" s="14">
        <f>D85+D99</f>
        <v>202034498021</v>
      </c>
      <c r="E101" s="14">
        <f t="shared" ref="E101:F101" si="77">E85+E99</f>
        <v>355173008042</v>
      </c>
      <c r="F101" s="14">
        <f t="shared" si="77"/>
        <v>436222206712</v>
      </c>
      <c r="G101" s="14">
        <f t="shared" ref="G101:K101" si="78">G85+G99</f>
        <v>516942340881.03186</v>
      </c>
      <c r="H101" s="14">
        <f t="shared" si="78"/>
        <v>606617932155.77197</v>
      </c>
      <c r="I101" s="14">
        <f t="shared" si="78"/>
        <v>700747802032.8053</v>
      </c>
      <c r="J101" s="14">
        <f t="shared" si="78"/>
        <v>795266427859.62878</v>
      </c>
      <c r="K101" s="14">
        <f t="shared" si="78"/>
        <v>888219309541.6106</v>
      </c>
    </row>
    <row r="102" spans="3:11" ht="15" customHeight="1" x14ac:dyDescent="0.25">
      <c r="E102" s="18"/>
      <c r="F102" s="18"/>
      <c r="G102" s="18"/>
      <c r="H102" s="18"/>
      <c r="I102" s="18"/>
      <c r="J102" s="18"/>
      <c r="K102" s="18"/>
    </row>
    <row r="103" spans="3:11" s="37" customFormat="1" ht="15" customHeight="1" x14ac:dyDescent="0.25">
      <c r="C103" s="47" t="s">
        <v>9</v>
      </c>
      <c r="D103" s="49"/>
      <c r="E103" s="50"/>
      <c r="F103" s="50"/>
      <c r="G103" s="234"/>
      <c r="H103" s="234"/>
      <c r="I103" s="234"/>
      <c r="J103" s="234"/>
      <c r="K103" s="234"/>
    </row>
    <row r="104" spans="3:11" ht="15" customHeight="1" x14ac:dyDescent="0.25">
      <c r="E104" s="18"/>
      <c r="F104" s="18"/>
      <c r="G104" s="18"/>
      <c r="H104" s="18"/>
      <c r="I104" s="18"/>
      <c r="J104" s="18"/>
      <c r="K104" s="18"/>
    </row>
    <row r="105" spans="3:11" ht="15" customHeight="1" x14ac:dyDescent="0.25">
      <c r="C105" s="13" t="s">
        <v>10</v>
      </c>
      <c r="E105" s="18"/>
      <c r="F105" s="18"/>
      <c r="G105" s="18"/>
      <c r="H105" s="18"/>
      <c r="I105" s="18"/>
      <c r="J105" s="18"/>
      <c r="K105" s="18"/>
    </row>
    <row r="106" spans="3:11" ht="15" customHeight="1" x14ac:dyDescent="0.25">
      <c r="C106" s="17" t="s">
        <v>252</v>
      </c>
      <c r="D106" s="10">
        <v>985730454</v>
      </c>
      <c r="E106" s="10">
        <v>1189880894</v>
      </c>
      <c r="F106" s="10">
        <v>1273374323</v>
      </c>
      <c r="G106" s="19">
        <f>F106</f>
        <v>1273374323</v>
      </c>
      <c r="H106" s="19">
        <f t="shared" ref="H106:K106" si="79">G106</f>
        <v>1273374323</v>
      </c>
      <c r="I106" s="19">
        <f t="shared" si="79"/>
        <v>1273374323</v>
      </c>
      <c r="J106" s="19">
        <f t="shared" si="79"/>
        <v>1273374323</v>
      </c>
      <c r="K106" s="19">
        <f t="shared" si="79"/>
        <v>1273374323</v>
      </c>
    </row>
    <row r="107" spans="3:11" ht="15" customHeight="1" x14ac:dyDescent="0.25">
      <c r="C107" s="17" t="s">
        <v>253</v>
      </c>
      <c r="D107" s="10">
        <v>567525695</v>
      </c>
      <c r="E107" s="10">
        <v>962318948</v>
      </c>
      <c r="F107" s="10">
        <v>791101496</v>
      </c>
      <c r="G107" s="19">
        <f>F107</f>
        <v>791101496</v>
      </c>
      <c r="H107" s="19">
        <f t="shared" ref="H107:K107" si="80">G107</f>
        <v>791101496</v>
      </c>
      <c r="I107" s="19">
        <f t="shared" si="80"/>
        <v>791101496</v>
      </c>
      <c r="J107" s="19">
        <f t="shared" si="80"/>
        <v>791101496</v>
      </c>
      <c r="K107" s="19">
        <f t="shared" si="80"/>
        <v>791101496</v>
      </c>
    </row>
    <row r="108" spans="3:11" ht="15" customHeight="1" x14ac:dyDescent="0.25">
      <c r="C108" s="17" t="s">
        <v>254</v>
      </c>
      <c r="D108" s="10">
        <v>9945792</v>
      </c>
      <c r="E108" s="10">
        <v>18456306</v>
      </c>
      <c r="F108" s="10">
        <v>46571846</v>
      </c>
      <c r="G108" s="19">
        <f>F108</f>
        <v>46571846</v>
      </c>
      <c r="H108" s="19">
        <f t="shared" ref="H108:K108" si="81">G108</f>
        <v>46571846</v>
      </c>
      <c r="I108" s="19">
        <f t="shared" si="81"/>
        <v>46571846</v>
      </c>
      <c r="J108" s="19">
        <f t="shared" si="81"/>
        <v>46571846</v>
      </c>
      <c r="K108" s="19">
        <f t="shared" si="81"/>
        <v>46571846</v>
      </c>
    </row>
    <row r="109" spans="3:11" ht="15" customHeight="1" x14ac:dyDescent="0.25">
      <c r="C109" s="17" t="s">
        <v>255</v>
      </c>
      <c r="D109" s="10">
        <v>13734162769</v>
      </c>
      <c r="E109" s="10">
        <v>29529602683</v>
      </c>
      <c r="F109" s="10">
        <v>41142948322</v>
      </c>
      <c r="G109" s="19">
        <f>G221</f>
        <v>52368900404.075218</v>
      </c>
      <c r="H109" s="19">
        <f t="shared" ref="H109:K109" si="82">H221</f>
        <v>64477995631.077255</v>
      </c>
      <c r="I109" s="19">
        <f t="shared" si="82"/>
        <v>76702859979.78418</v>
      </c>
      <c r="J109" s="19">
        <f t="shared" si="82"/>
        <v>88361764975.180893</v>
      </c>
      <c r="K109" s="19">
        <f t="shared" si="82"/>
        <v>99149344456.394028</v>
      </c>
    </row>
    <row r="110" spans="3:11" ht="15" customHeight="1" x14ac:dyDescent="0.25">
      <c r="C110" s="17" t="s">
        <v>256</v>
      </c>
      <c r="D110" s="10">
        <v>48929217775</v>
      </c>
      <c r="E110" s="10">
        <v>81000925177</v>
      </c>
      <c r="F110" s="10">
        <v>117676166566</v>
      </c>
      <c r="G110" s="19">
        <f>G222</f>
        <v>149784390719.82996</v>
      </c>
      <c r="H110" s="19">
        <f t="shared" ref="H110:K110" si="83">H222</f>
        <v>184418561702.03677</v>
      </c>
      <c r="I110" s="19">
        <f t="shared" si="83"/>
        <v>219383853009.95102</v>
      </c>
      <c r="J110" s="19">
        <f t="shared" si="83"/>
        <v>252730399676.41461</v>
      </c>
      <c r="K110" s="19">
        <f t="shared" si="83"/>
        <v>283584800045.10193</v>
      </c>
    </row>
    <row r="111" spans="3:11" ht="15" customHeight="1" x14ac:dyDescent="0.25">
      <c r="C111" s="17" t="s">
        <v>257</v>
      </c>
      <c r="D111" s="10">
        <v>37479203176</v>
      </c>
      <c r="E111" s="10">
        <v>27648152656</v>
      </c>
      <c r="F111" s="10">
        <v>15925586014</v>
      </c>
      <c r="G111" s="19">
        <f>F111</f>
        <v>15925586014</v>
      </c>
      <c r="H111" s="19">
        <f t="shared" ref="H111:K111" si="84">G111</f>
        <v>15925586014</v>
      </c>
      <c r="I111" s="19">
        <f t="shared" si="84"/>
        <v>15925586014</v>
      </c>
      <c r="J111" s="19">
        <f t="shared" si="84"/>
        <v>15925586014</v>
      </c>
      <c r="K111" s="19">
        <f t="shared" si="84"/>
        <v>15925586014</v>
      </c>
    </row>
    <row r="112" spans="3:11" ht="15" customHeight="1" x14ac:dyDescent="0.25">
      <c r="C112" s="17" t="s">
        <v>258</v>
      </c>
      <c r="D112" s="10">
        <v>102536656</v>
      </c>
      <c r="E112" s="10">
        <v>59915020</v>
      </c>
      <c r="F112" s="10">
        <v>65936335</v>
      </c>
      <c r="G112" s="19">
        <f>F112</f>
        <v>65936335</v>
      </c>
      <c r="H112" s="19">
        <f t="shared" ref="H112:K112" si="85">G112</f>
        <v>65936335</v>
      </c>
      <c r="I112" s="19">
        <f t="shared" si="85"/>
        <v>65936335</v>
      </c>
      <c r="J112" s="19">
        <f t="shared" si="85"/>
        <v>65936335</v>
      </c>
      <c r="K112" s="19">
        <f t="shared" si="85"/>
        <v>65936335</v>
      </c>
    </row>
    <row r="113" spans="3:11" ht="15" customHeight="1" x14ac:dyDescent="0.25">
      <c r="C113" s="17" t="s">
        <v>259</v>
      </c>
      <c r="D113" s="10">
        <v>804355399</v>
      </c>
      <c r="E113" s="10">
        <v>1106272259</v>
      </c>
      <c r="F113" s="10">
        <v>1190005525</v>
      </c>
      <c r="G113" s="19">
        <f>G224</f>
        <v>1514701385.3088603</v>
      </c>
      <c r="H113" s="19">
        <f t="shared" ref="H113:K113" si="86">H224</f>
        <v>1864940996.4836938</v>
      </c>
      <c r="I113" s="19">
        <f t="shared" si="86"/>
        <v>2218529076.8390784</v>
      </c>
      <c r="J113" s="19">
        <f t="shared" si="86"/>
        <v>2555747529.2306728</v>
      </c>
      <c r="K113" s="19">
        <f t="shared" si="86"/>
        <v>2867764040.1416302</v>
      </c>
    </row>
    <row r="114" spans="3:11" ht="15" customHeight="1" x14ac:dyDescent="0.25">
      <c r="C114" s="17" t="s">
        <v>260</v>
      </c>
      <c r="D114" s="10">
        <v>1569524198</v>
      </c>
      <c r="E114" s="10">
        <v>2816999525</v>
      </c>
      <c r="F114" s="10">
        <v>4337072767</v>
      </c>
      <c r="G114" s="19">
        <f>F114</f>
        <v>4337072767</v>
      </c>
      <c r="H114" s="19">
        <f t="shared" ref="H114:K114" si="87">G114</f>
        <v>4337072767</v>
      </c>
      <c r="I114" s="19">
        <f t="shared" si="87"/>
        <v>4337072767</v>
      </c>
      <c r="J114" s="19">
        <f t="shared" si="87"/>
        <v>4337072767</v>
      </c>
      <c r="K114" s="19">
        <f t="shared" si="87"/>
        <v>4337072767</v>
      </c>
    </row>
    <row r="115" spans="3:11" ht="15" customHeight="1" x14ac:dyDescent="0.25">
      <c r="C115" s="17" t="s">
        <v>261</v>
      </c>
      <c r="D115" s="10">
        <v>12109403792</v>
      </c>
      <c r="E115" s="10">
        <v>26609571406</v>
      </c>
      <c r="F115" s="10">
        <v>36859191499</v>
      </c>
      <c r="G115" s="19">
        <f>G223</f>
        <v>46916310262.424927</v>
      </c>
      <c r="H115" s="19">
        <f t="shared" ref="H115:K115" si="88">H223</f>
        <v>57764620314.45472</v>
      </c>
      <c r="I115" s="19">
        <f t="shared" si="88"/>
        <v>68716645739.364342</v>
      </c>
      <c r="J115" s="19">
        <f t="shared" si="88"/>
        <v>79161638852.903198</v>
      </c>
      <c r="K115" s="19">
        <f t="shared" si="88"/>
        <v>88826027870.354858</v>
      </c>
    </row>
    <row r="116" spans="3:11" ht="15" customHeight="1" x14ac:dyDescent="0.25">
      <c r="C116" s="17" t="s">
        <v>285</v>
      </c>
      <c r="D116" s="10">
        <v>6375538</v>
      </c>
      <c r="E116" s="10"/>
      <c r="F116" s="10"/>
      <c r="G116" s="19"/>
      <c r="H116" s="19"/>
      <c r="I116" s="19"/>
      <c r="J116" s="19"/>
      <c r="K116" s="19"/>
    </row>
    <row r="117" spans="3:11" ht="15" customHeight="1" x14ac:dyDescent="0.25">
      <c r="C117" s="11" t="s">
        <v>11</v>
      </c>
      <c r="D117" s="12">
        <f>SUM(D106:D116)</f>
        <v>116297981244</v>
      </c>
      <c r="E117" s="12">
        <f t="shared" ref="E117:K117" si="89">SUM(E106:E115)</f>
        <v>170942094874</v>
      </c>
      <c r="F117" s="12">
        <f t="shared" si="89"/>
        <v>219307954693</v>
      </c>
      <c r="G117" s="12">
        <f t="shared" si="89"/>
        <v>273023945552.63898</v>
      </c>
      <c r="H117" s="12">
        <f t="shared" si="89"/>
        <v>330965761425.05243</v>
      </c>
      <c r="I117" s="12">
        <f t="shared" si="89"/>
        <v>389461530586.9386</v>
      </c>
      <c r="J117" s="12">
        <f t="shared" si="89"/>
        <v>445249193814.72937</v>
      </c>
      <c r="K117" s="12">
        <f t="shared" si="89"/>
        <v>496867579192.99243</v>
      </c>
    </row>
    <row r="118" spans="3:11" ht="15" customHeight="1" x14ac:dyDescent="0.25">
      <c r="E118" s="18"/>
      <c r="F118" s="18"/>
      <c r="G118" s="18"/>
      <c r="H118" s="18"/>
      <c r="I118" s="18"/>
      <c r="J118" s="18"/>
      <c r="K118" s="18"/>
    </row>
    <row r="119" spans="3:11" ht="15" customHeight="1" x14ac:dyDescent="0.25">
      <c r="C119" s="13" t="s">
        <v>12</v>
      </c>
      <c r="E119" s="18"/>
      <c r="F119" s="18"/>
      <c r="G119" s="18"/>
      <c r="H119" s="18"/>
      <c r="I119" s="18"/>
      <c r="J119" s="18"/>
      <c r="K119" s="18"/>
    </row>
    <row r="120" spans="3:11" ht="15" customHeight="1" x14ac:dyDescent="0.25">
      <c r="C120" s="17" t="s">
        <v>262</v>
      </c>
      <c r="D120" s="10">
        <v>9585544247</v>
      </c>
      <c r="E120" s="10">
        <v>6757172011</v>
      </c>
      <c r="F120" s="10">
        <v>9737728639</v>
      </c>
      <c r="G120" s="19">
        <f>F120</f>
        <v>9737728639</v>
      </c>
      <c r="H120" s="19">
        <f t="shared" ref="H120:K120" si="90">G120</f>
        <v>9737728639</v>
      </c>
      <c r="I120" s="19">
        <f t="shared" si="90"/>
        <v>9737728639</v>
      </c>
      <c r="J120" s="19">
        <f t="shared" si="90"/>
        <v>9737728639</v>
      </c>
      <c r="K120" s="19">
        <f t="shared" si="90"/>
        <v>9737728639</v>
      </c>
    </row>
    <row r="121" spans="3:11" ht="15" customHeight="1" x14ac:dyDescent="0.25">
      <c r="C121" s="17" t="s">
        <v>263</v>
      </c>
      <c r="D121" s="10">
        <v>36195672039</v>
      </c>
      <c r="E121" s="10">
        <v>45194793934</v>
      </c>
      <c r="F121" s="10">
        <v>46096201350</v>
      </c>
      <c r="G121" s="19">
        <f>G225</f>
        <v>58673660395.249969</v>
      </c>
      <c r="H121" s="19">
        <f t="shared" ref="H121:K121" si="91">H225</f>
        <v>72240585336.594955</v>
      </c>
      <c r="I121" s="19">
        <f t="shared" si="91"/>
        <v>85937216994.68898</v>
      </c>
      <c r="J121" s="19">
        <f t="shared" si="91"/>
        <v>98999752717.267517</v>
      </c>
      <c r="K121" s="19">
        <f t="shared" si="91"/>
        <v>111086062914.42055</v>
      </c>
    </row>
    <row r="122" spans="3:11" ht="15" customHeight="1" x14ac:dyDescent="0.25">
      <c r="C122" s="17" t="s">
        <v>264</v>
      </c>
      <c r="D122" s="10">
        <v>61388463</v>
      </c>
      <c r="E122" s="10">
        <v>183083764</v>
      </c>
      <c r="F122" s="10">
        <v>274305998</v>
      </c>
      <c r="G122" s="19">
        <f>F122</f>
        <v>274305998</v>
      </c>
      <c r="H122" s="19">
        <f t="shared" ref="H122:K122" si="92">G122</f>
        <v>274305998</v>
      </c>
      <c r="I122" s="19">
        <f t="shared" si="92"/>
        <v>274305998</v>
      </c>
      <c r="J122" s="19">
        <f t="shared" si="92"/>
        <v>274305998</v>
      </c>
      <c r="K122" s="19">
        <f t="shared" si="92"/>
        <v>274305998</v>
      </c>
    </row>
    <row r="123" spans="3:11" ht="15" customHeight="1" x14ac:dyDescent="0.25">
      <c r="C123" s="17" t="s">
        <v>265</v>
      </c>
      <c r="D123" s="10">
        <v>338708785</v>
      </c>
      <c r="E123" s="10">
        <v>225477105</v>
      </c>
      <c r="F123" s="10">
        <v>79345918</v>
      </c>
      <c r="G123" s="19">
        <f>F123</f>
        <v>79345918</v>
      </c>
      <c r="H123" s="19">
        <f t="shared" ref="H123:K123" si="93">G123</f>
        <v>79345918</v>
      </c>
      <c r="I123" s="19">
        <f t="shared" si="93"/>
        <v>79345918</v>
      </c>
      <c r="J123" s="19">
        <f t="shared" si="93"/>
        <v>79345918</v>
      </c>
      <c r="K123" s="19">
        <f t="shared" si="93"/>
        <v>79345918</v>
      </c>
    </row>
    <row r="124" spans="3:11" ht="15" customHeight="1" x14ac:dyDescent="0.25">
      <c r="C124" s="17" t="s">
        <v>165</v>
      </c>
      <c r="D124" s="10">
        <v>539428457</v>
      </c>
      <c r="E124" s="10">
        <v>1990572661</v>
      </c>
      <c r="F124" s="10">
        <v>3018529349</v>
      </c>
      <c r="G124" s="19">
        <f>F124</f>
        <v>3018529349</v>
      </c>
      <c r="H124" s="19">
        <f t="shared" ref="H124:K124" si="94">G124</f>
        <v>3018529349</v>
      </c>
      <c r="I124" s="19">
        <f t="shared" si="94"/>
        <v>3018529349</v>
      </c>
      <c r="J124" s="19">
        <f t="shared" si="94"/>
        <v>3018529349</v>
      </c>
      <c r="K124" s="19">
        <f t="shared" si="94"/>
        <v>3018529349</v>
      </c>
    </row>
    <row r="125" spans="3:11" ht="15" customHeight="1" x14ac:dyDescent="0.25">
      <c r="C125" s="11" t="s">
        <v>13</v>
      </c>
      <c r="D125" s="12">
        <f>SUM(D120:D124)</f>
        <v>46720741991</v>
      </c>
      <c r="E125" s="12">
        <f t="shared" ref="E125:F125" si="95">SUM(E120:E124)</f>
        <v>54351099475</v>
      </c>
      <c r="F125" s="12">
        <f t="shared" si="95"/>
        <v>59206111254</v>
      </c>
      <c r="G125" s="12">
        <f t="shared" ref="G125:K125" si="96">SUM(G120:G124)</f>
        <v>71783570299.249969</v>
      </c>
      <c r="H125" s="12">
        <f t="shared" si="96"/>
        <v>85350495240.594955</v>
      </c>
      <c r="I125" s="12">
        <f t="shared" si="96"/>
        <v>99047126898.68898</v>
      </c>
      <c r="J125" s="12">
        <f t="shared" si="96"/>
        <v>112109662621.26752</v>
      </c>
      <c r="K125" s="12">
        <f t="shared" si="96"/>
        <v>124195972818.42055</v>
      </c>
    </row>
    <row r="126" spans="3:11" ht="15" customHeight="1" x14ac:dyDescent="0.25">
      <c r="E126" s="18"/>
      <c r="F126" s="18"/>
      <c r="G126" s="18"/>
      <c r="H126" s="18"/>
      <c r="I126" s="18"/>
      <c r="J126" s="18"/>
      <c r="K126" s="18"/>
    </row>
    <row r="127" spans="3:11" ht="15" customHeight="1" x14ac:dyDescent="0.25">
      <c r="C127" s="13" t="s">
        <v>14</v>
      </c>
      <c r="D127" s="26">
        <f>D117+D125</f>
        <v>163018723235</v>
      </c>
      <c r="E127" s="26">
        <f t="shared" ref="E127:F127" si="97">E117+E125</f>
        <v>225293194349</v>
      </c>
      <c r="F127" s="26">
        <f t="shared" si="97"/>
        <v>278514065947</v>
      </c>
      <c r="G127" s="26">
        <f t="shared" ref="G127:K127" si="98">G117+G125</f>
        <v>344807515851.88892</v>
      </c>
      <c r="H127" s="26">
        <f t="shared" si="98"/>
        <v>416316256665.6474</v>
      </c>
      <c r="I127" s="26">
        <f t="shared" si="98"/>
        <v>488508657485.62756</v>
      </c>
      <c r="J127" s="26">
        <f t="shared" si="98"/>
        <v>557358856435.99683</v>
      </c>
      <c r="K127" s="26">
        <f t="shared" si="98"/>
        <v>621063552011.41296</v>
      </c>
    </row>
    <row r="128" spans="3:11" ht="15" customHeight="1" x14ac:dyDescent="0.25">
      <c r="E128" s="18"/>
      <c r="F128" s="18"/>
      <c r="G128" s="18"/>
      <c r="H128" s="18"/>
      <c r="I128" s="18"/>
      <c r="J128" s="18"/>
      <c r="K128" s="18"/>
    </row>
    <row r="129" spans="3:11" ht="15" customHeight="1" x14ac:dyDescent="0.25">
      <c r="C129" s="13" t="s">
        <v>15</v>
      </c>
      <c r="E129" s="18"/>
      <c r="F129" s="18"/>
      <c r="G129" s="18"/>
      <c r="H129" s="18"/>
      <c r="I129" s="18"/>
      <c r="J129" s="18"/>
      <c r="K129" s="18"/>
    </row>
    <row r="130" spans="3:11" ht="15" customHeight="1" x14ac:dyDescent="0.25">
      <c r="C130" s="17" t="s">
        <v>156</v>
      </c>
      <c r="D130" s="10">
        <v>20635622860</v>
      </c>
      <c r="E130" s="10">
        <v>20635622860</v>
      </c>
      <c r="F130" s="10">
        <v>20606537860</v>
      </c>
      <c r="G130" s="19">
        <f t="shared" ref="G130:G135" si="99">F130</f>
        <v>20606537860</v>
      </c>
      <c r="H130" s="19">
        <f t="shared" ref="H130:K130" si="100">G130</f>
        <v>20606537860</v>
      </c>
      <c r="I130" s="19">
        <f t="shared" si="100"/>
        <v>20606537860</v>
      </c>
      <c r="J130" s="19">
        <f t="shared" si="100"/>
        <v>20606537860</v>
      </c>
      <c r="K130" s="19">
        <f t="shared" si="100"/>
        <v>20606537860</v>
      </c>
    </row>
    <row r="131" spans="3:11" ht="15" customHeight="1" x14ac:dyDescent="0.25">
      <c r="C131" s="17" t="s">
        <v>266</v>
      </c>
      <c r="D131" s="10">
        <v>398039965</v>
      </c>
      <c r="E131" s="10">
        <v>432163000</v>
      </c>
      <c r="F131" s="10">
        <v>472261033</v>
      </c>
      <c r="G131" s="19">
        <f t="shared" si="99"/>
        <v>472261033</v>
      </c>
      <c r="H131" s="19">
        <f t="shared" ref="H131:K131" si="101">G131</f>
        <v>472261033</v>
      </c>
      <c r="I131" s="19">
        <f t="shared" si="101"/>
        <v>472261033</v>
      </c>
      <c r="J131" s="19">
        <f t="shared" si="101"/>
        <v>472261033</v>
      </c>
      <c r="K131" s="19">
        <f t="shared" si="101"/>
        <v>472261033</v>
      </c>
    </row>
    <row r="132" spans="3:11" ht="15" customHeight="1" x14ac:dyDescent="0.25">
      <c r="C132" s="17" t="s">
        <v>267</v>
      </c>
      <c r="D132" s="10">
        <v>61735404</v>
      </c>
      <c r="E132" s="10">
        <v>61735404</v>
      </c>
      <c r="F132" s="10">
        <v>0</v>
      </c>
      <c r="G132" s="19">
        <f t="shared" si="99"/>
        <v>0</v>
      </c>
      <c r="H132" s="19">
        <f t="shared" ref="H132:K132" si="102">G132</f>
        <v>0</v>
      </c>
      <c r="I132" s="19">
        <f t="shared" si="102"/>
        <v>0</v>
      </c>
      <c r="J132" s="19">
        <f t="shared" si="102"/>
        <v>0</v>
      </c>
      <c r="K132" s="19">
        <f t="shared" si="102"/>
        <v>0</v>
      </c>
    </row>
    <row r="133" spans="3:11" ht="15" customHeight="1" x14ac:dyDescent="0.25">
      <c r="C133" s="17" t="s">
        <v>268</v>
      </c>
      <c r="D133" s="10">
        <v>208161064</v>
      </c>
      <c r="E133" s="10">
        <v>1167370358</v>
      </c>
      <c r="F133" s="10">
        <v>97455508</v>
      </c>
      <c r="G133" s="19">
        <f t="shared" si="99"/>
        <v>97455508</v>
      </c>
      <c r="H133" s="19">
        <f t="shared" ref="H133:K133" si="103">G133</f>
        <v>97455508</v>
      </c>
      <c r="I133" s="19">
        <f t="shared" si="103"/>
        <v>97455508</v>
      </c>
      <c r="J133" s="19">
        <f t="shared" si="103"/>
        <v>97455508</v>
      </c>
      <c r="K133" s="19">
        <f t="shared" si="103"/>
        <v>97455508</v>
      </c>
    </row>
    <row r="134" spans="3:11" ht="15" customHeight="1" x14ac:dyDescent="0.25">
      <c r="C134" s="17" t="s">
        <v>269</v>
      </c>
      <c r="D134" s="10">
        <v>85846680</v>
      </c>
      <c r="E134" s="10">
        <v>1213593330</v>
      </c>
      <c r="F134" s="10">
        <v>903466257</v>
      </c>
      <c r="G134" s="19">
        <f t="shared" si="99"/>
        <v>903466257</v>
      </c>
      <c r="H134" s="19">
        <f t="shared" ref="H134:K134" si="104">G134</f>
        <v>903466257</v>
      </c>
      <c r="I134" s="19">
        <f t="shared" si="104"/>
        <v>903466257</v>
      </c>
      <c r="J134" s="19">
        <f t="shared" si="104"/>
        <v>903466257</v>
      </c>
      <c r="K134" s="19">
        <f t="shared" si="104"/>
        <v>903466257</v>
      </c>
    </row>
    <row r="135" spans="3:11" ht="15" customHeight="1" x14ac:dyDescent="0.25">
      <c r="C135" s="17" t="s">
        <v>270</v>
      </c>
      <c r="D135" s="10">
        <v>0</v>
      </c>
      <c r="E135" s="10">
        <v>-152235725</v>
      </c>
      <c r="F135" s="10">
        <v>0</v>
      </c>
      <c r="G135" s="235">
        <f t="shared" si="99"/>
        <v>0</v>
      </c>
      <c r="H135" s="235">
        <f t="shared" ref="H135:K135" si="105">G135</f>
        <v>0</v>
      </c>
      <c r="I135" s="235">
        <f t="shared" si="105"/>
        <v>0</v>
      </c>
      <c r="J135" s="235">
        <f t="shared" si="105"/>
        <v>0</v>
      </c>
      <c r="K135" s="235">
        <f t="shared" si="105"/>
        <v>0</v>
      </c>
    </row>
    <row r="136" spans="3:11" ht="15" customHeight="1" x14ac:dyDescent="0.25">
      <c r="C136" s="17" t="s">
        <v>16</v>
      </c>
      <c r="D136" s="10">
        <v>16959407149</v>
      </c>
      <c r="E136" s="10">
        <v>45795587523</v>
      </c>
      <c r="F136" s="10">
        <v>58967855362</v>
      </c>
      <c r="G136" s="19">
        <f>G260</f>
        <v>71377714786.496353</v>
      </c>
      <c r="H136" s="19">
        <f t="shared" ref="H136:K136" si="106">H260</f>
        <v>87014934116.796143</v>
      </c>
      <c r="I136" s="19">
        <f t="shared" si="106"/>
        <v>105891671408.33276</v>
      </c>
      <c r="J136" s="19">
        <f t="shared" si="106"/>
        <v>127982371334.3398</v>
      </c>
      <c r="K136" s="19">
        <f t="shared" si="106"/>
        <v>153151853068.10635</v>
      </c>
    </row>
    <row r="137" spans="3:11" ht="15" customHeight="1" x14ac:dyDescent="0.25">
      <c r="C137" s="255" t="s">
        <v>271</v>
      </c>
      <c r="D137" s="167">
        <f>SUM(D130:D136)</f>
        <v>38348813122</v>
      </c>
      <c r="E137" s="167">
        <f t="shared" ref="E137:K137" si="107">SUM(E130:E136)</f>
        <v>69153836750</v>
      </c>
      <c r="F137" s="167">
        <f t="shared" si="107"/>
        <v>81047576020</v>
      </c>
      <c r="G137" s="167">
        <f t="shared" si="107"/>
        <v>93457435444.496353</v>
      </c>
      <c r="H137" s="167">
        <f t="shared" si="107"/>
        <v>109094654774.79614</v>
      </c>
      <c r="I137" s="167">
        <f t="shared" si="107"/>
        <v>127971392066.33276</v>
      </c>
      <c r="J137" s="167">
        <f t="shared" si="107"/>
        <v>150062091992.33978</v>
      </c>
      <c r="K137" s="167">
        <f t="shared" si="107"/>
        <v>175231573726.10635</v>
      </c>
    </row>
    <row r="138" spans="3:11" ht="15" customHeight="1" x14ac:dyDescent="0.25">
      <c r="C138" s="17" t="s">
        <v>272</v>
      </c>
      <c r="D138" s="10">
        <v>666961664</v>
      </c>
      <c r="E138" s="10">
        <v>60725976943</v>
      </c>
      <c r="F138" s="10">
        <v>76660564745</v>
      </c>
      <c r="G138" s="19">
        <f>G266</f>
        <v>78677389584.646591</v>
      </c>
      <c r="H138" s="19">
        <f t="shared" ref="H138:K138" si="108">H266</f>
        <v>81207020715.3284</v>
      </c>
      <c r="I138" s="19">
        <f t="shared" si="108"/>
        <v>84267752480.845016</v>
      </c>
      <c r="J138" s="19">
        <f t="shared" si="108"/>
        <v>87845479431.292068</v>
      </c>
      <c r="K138" s="19">
        <f t="shared" si="108"/>
        <v>91924183804.091385</v>
      </c>
    </row>
    <row r="139" spans="3:11" ht="15" customHeight="1" x14ac:dyDescent="0.25">
      <c r="C139" s="27" t="s">
        <v>17</v>
      </c>
      <c r="D139" s="12">
        <f>SUM(D137:D138)</f>
        <v>39015774786</v>
      </c>
      <c r="E139" s="12">
        <f t="shared" ref="E139:F139" si="109">SUM(E137:E138)</f>
        <v>129879813693</v>
      </c>
      <c r="F139" s="12">
        <f t="shared" si="109"/>
        <v>157708140765</v>
      </c>
      <c r="G139" s="12">
        <f t="shared" ref="G139:K139" si="110">SUM(G137:G138)</f>
        <v>172134825029.14294</v>
      </c>
      <c r="H139" s="12">
        <f t="shared" si="110"/>
        <v>190301675490.12454</v>
      </c>
      <c r="I139" s="12">
        <f t="shared" si="110"/>
        <v>212239144547.1778</v>
      </c>
      <c r="J139" s="12">
        <f t="shared" si="110"/>
        <v>237907571423.63184</v>
      </c>
      <c r="K139" s="12">
        <f t="shared" si="110"/>
        <v>267155757530.19775</v>
      </c>
    </row>
    <row r="140" spans="3:11" ht="15" customHeight="1" x14ac:dyDescent="0.25">
      <c r="E140" s="19"/>
      <c r="F140" s="19"/>
      <c r="G140" s="19"/>
      <c r="H140" s="19"/>
      <c r="I140" s="19"/>
      <c r="J140" s="19"/>
      <c r="K140" s="19"/>
    </row>
    <row r="141" spans="3:11" ht="15" customHeight="1" x14ac:dyDescent="0.25">
      <c r="C141" s="13" t="s">
        <v>18</v>
      </c>
      <c r="D141" s="14">
        <f>D127+D139</f>
        <v>202034498021</v>
      </c>
      <c r="E141" s="14">
        <f t="shared" ref="E141:F141" si="111">E127+E139</f>
        <v>355173008042</v>
      </c>
      <c r="F141" s="14">
        <f t="shared" si="111"/>
        <v>436222206712</v>
      </c>
      <c r="G141" s="14">
        <f t="shared" ref="G141:K141" si="112">G127+G139</f>
        <v>516942340881.03186</v>
      </c>
      <c r="H141" s="14">
        <f t="shared" si="112"/>
        <v>606617932155.77197</v>
      </c>
      <c r="I141" s="14">
        <f t="shared" si="112"/>
        <v>700747802032.80542</v>
      </c>
      <c r="J141" s="14">
        <f t="shared" si="112"/>
        <v>795266427859.62866</v>
      </c>
      <c r="K141" s="14">
        <f t="shared" si="112"/>
        <v>888219309541.61072</v>
      </c>
    </row>
    <row r="142" spans="3:11" ht="15" customHeight="1" x14ac:dyDescent="0.25">
      <c r="E142" s="18"/>
      <c r="F142" s="18"/>
      <c r="G142" s="18"/>
      <c r="H142" s="18"/>
      <c r="I142" s="18"/>
      <c r="J142" s="18"/>
      <c r="K142" s="18"/>
    </row>
    <row r="143" spans="3:11" ht="15" customHeight="1" x14ac:dyDescent="0.25">
      <c r="C143" s="6" t="s">
        <v>19</v>
      </c>
      <c r="D143" s="18">
        <f>D101-D141</f>
        <v>0</v>
      </c>
      <c r="E143" s="18">
        <f t="shared" ref="E143:K143" si="113">E101-E141</f>
        <v>0</v>
      </c>
      <c r="F143" s="18">
        <f t="shared" si="113"/>
        <v>0</v>
      </c>
      <c r="G143" s="18">
        <f t="shared" si="113"/>
        <v>0</v>
      </c>
      <c r="H143" s="18">
        <f t="shared" si="113"/>
        <v>0</v>
      </c>
      <c r="I143" s="18">
        <f t="shared" si="113"/>
        <v>0</v>
      </c>
      <c r="J143" s="18">
        <f t="shared" si="113"/>
        <v>0</v>
      </c>
      <c r="K143" s="18">
        <f t="shared" si="113"/>
        <v>0</v>
      </c>
    </row>
    <row r="144" spans="3:11" ht="15" customHeight="1" x14ac:dyDescent="0.25"/>
    <row r="145" spans="3:11" customFormat="1" x14ac:dyDescent="0.25">
      <c r="C145" s="41" t="s">
        <v>48</v>
      </c>
      <c r="D145" s="48"/>
      <c r="E145" s="48"/>
      <c r="F145" s="48"/>
      <c r="G145" s="48"/>
      <c r="H145" s="48"/>
      <c r="I145" s="48"/>
      <c r="J145" s="48"/>
      <c r="K145" s="48"/>
    </row>
    <row r="146" spans="3:11" customFormat="1" x14ac:dyDescent="0.25">
      <c r="C146" t="s">
        <v>45</v>
      </c>
      <c r="D146" s="43"/>
      <c r="E146" s="43"/>
      <c r="F146" s="43"/>
      <c r="G146" s="44">
        <f t="shared" ref="G146:K146" si="114">G$13</f>
        <v>2026</v>
      </c>
      <c r="H146" s="44">
        <f t="shared" si="114"/>
        <v>2027</v>
      </c>
      <c r="I146" s="44">
        <f t="shared" si="114"/>
        <v>2028</v>
      </c>
      <c r="J146" s="44">
        <f t="shared" si="114"/>
        <v>2029</v>
      </c>
      <c r="K146" s="44">
        <f t="shared" si="114"/>
        <v>2030</v>
      </c>
    </row>
    <row r="147" spans="3:11" customFormat="1" x14ac:dyDescent="0.25">
      <c r="C147" s="45" t="s">
        <v>46</v>
      </c>
      <c r="D147" s="46"/>
      <c r="E147" s="46"/>
      <c r="F147" s="46"/>
      <c r="G147" s="46">
        <f t="shared" ref="G147:K147" si="115">G$14</f>
        <v>46387</v>
      </c>
      <c r="H147" s="46">
        <f t="shared" si="115"/>
        <v>46752</v>
      </c>
      <c r="I147" s="46">
        <f t="shared" si="115"/>
        <v>47118</v>
      </c>
      <c r="J147" s="46">
        <f t="shared" si="115"/>
        <v>47483</v>
      </c>
      <c r="K147" s="46">
        <f t="shared" si="115"/>
        <v>47848</v>
      </c>
    </row>
    <row r="148" spans="3:11" ht="15" customHeight="1" x14ac:dyDescent="0.25"/>
    <row r="149" spans="3:11" s="13" customFormat="1" ht="15" customHeight="1" x14ac:dyDescent="0.25">
      <c r="C149" s="17" t="s">
        <v>273</v>
      </c>
      <c r="D149" s="212"/>
      <c r="E149" s="212"/>
      <c r="F149" s="212"/>
      <c r="G149" s="212">
        <f>G44</f>
        <v>21427359208.280521</v>
      </c>
      <c r="H149" s="212">
        <f t="shared" ref="H149:K149" si="116">H44</f>
        <v>26878381901.644218</v>
      </c>
      <c r="I149" s="212">
        <f t="shared" si="116"/>
        <v>32523869610.268059</v>
      </c>
      <c r="J149" s="212">
        <f t="shared" si="116"/>
        <v>38019419362.059235</v>
      </c>
      <c r="K149" s="212">
        <f t="shared" si="116"/>
        <v>43344703676.711761</v>
      </c>
    </row>
    <row r="150" spans="3:11" ht="15" customHeight="1" x14ac:dyDescent="0.25">
      <c r="C150" s="17" t="s">
        <v>274</v>
      </c>
      <c r="D150" s="214"/>
      <c r="E150" s="213"/>
      <c r="F150" s="213"/>
      <c r="G150" s="213">
        <f>G193</f>
        <v>1816662311.916208</v>
      </c>
      <c r="H150" s="213">
        <f t="shared" ref="H150:K150" si="117">H193</f>
        <v>2236723393.217567</v>
      </c>
      <c r="I150" s="213">
        <f t="shared" si="117"/>
        <v>2660800472.5380211</v>
      </c>
      <c r="J150" s="213">
        <f t="shared" si="117"/>
        <v>3065244582.3039885</v>
      </c>
      <c r="K150" s="213">
        <f t="shared" si="117"/>
        <v>3439462656.945775</v>
      </c>
    </row>
    <row r="151" spans="3:11" s="13" customFormat="1" ht="15" customHeight="1" x14ac:dyDescent="0.25">
      <c r="C151" s="13" t="s">
        <v>275</v>
      </c>
      <c r="D151" s="212"/>
      <c r="E151" s="212"/>
      <c r="F151" s="212"/>
      <c r="G151" s="212">
        <f>SUM(G149:G150)</f>
        <v>23244021520.196728</v>
      </c>
      <c r="H151" s="212">
        <f>SUM(H149:H150)</f>
        <v>29115105294.861786</v>
      </c>
      <c r="I151" s="212">
        <f>SUM(I149:I150)</f>
        <v>35184670082.806076</v>
      </c>
      <c r="J151" s="212">
        <f>SUM(J149:J150)</f>
        <v>41084663944.36322</v>
      </c>
      <c r="K151" s="212">
        <f>SUM(K149:K150)</f>
        <v>46784166333.657539</v>
      </c>
    </row>
    <row r="152" spans="3:11" s="13" customFormat="1" ht="15" customHeight="1" x14ac:dyDescent="0.25">
      <c r="D152" s="218"/>
      <c r="E152" s="216"/>
      <c r="F152" s="216"/>
      <c r="G152" s="217"/>
      <c r="H152" s="217"/>
      <c r="I152" s="217"/>
      <c r="J152" s="217"/>
      <c r="K152" s="217"/>
    </row>
    <row r="153" spans="3:11" ht="15" customHeight="1" x14ac:dyDescent="0.25">
      <c r="C153" s="210" t="s">
        <v>167</v>
      </c>
      <c r="D153" s="213"/>
      <c r="E153" s="213"/>
      <c r="F153" s="213"/>
      <c r="G153" s="213"/>
      <c r="H153" s="213"/>
      <c r="I153" s="213"/>
      <c r="J153" s="213"/>
      <c r="K153" s="213"/>
    </row>
    <row r="154" spans="3:11" ht="15" customHeight="1" x14ac:dyDescent="0.25">
      <c r="C154" s="17" t="s">
        <v>298</v>
      </c>
      <c r="D154" s="213"/>
      <c r="E154" s="213"/>
      <c r="F154" s="213"/>
      <c r="G154" s="213">
        <f>G230</f>
        <v>7154503473.4782104</v>
      </c>
      <c r="H154" s="213">
        <f t="shared" ref="H154:K154" si="118">H230</f>
        <v>7717346665.0188599</v>
      </c>
      <c r="I154" s="213">
        <f t="shared" si="118"/>
        <v>7791128432.2402954</v>
      </c>
      <c r="J154" s="213">
        <f t="shared" si="118"/>
        <v>7430432240.9951172</v>
      </c>
      <c r="K154" s="213">
        <f t="shared" si="118"/>
        <v>6875120640.5020142</v>
      </c>
    </row>
    <row r="155" spans="3:11" ht="15" customHeight="1" x14ac:dyDescent="0.25">
      <c r="C155" s="17" t="s">
        <v>276</v>
      </c>
      <c r="D155" s="213"/>
      <c r="E155" s="213"/>
      <c r="F155" s="213"/>
      <c r="G155" s="213">
        <f>G45</f>
        <v>-4812581707.938117</v>
      </c>
      <c r="H155" s="213">
        <f>H45</f>
        <v>-6039061813.9449492</v>
      </c>
      <c r="I155" s="213">
        <f>I45</f>
        <v>-7309296548.385313</v>
      </c>
      <c r="J155" s="213">
        <f>J45</f>
        <v>-8545795242.5383282</v>
      </c>
      <c r="K155" s="213">
        <f>K45</f>
        <v>-9743984213.335146</v>
      </c>
    </row>
    <row r="156" spans="3:11" s="13" customFormat="1" ht="15" customHeight="1" x14ac:dyDescent="0.25">
      <c r="C156" s="13" t="s">
        <v>20</v>
      </c>
      <c r="D156" s="216"/>
      <c r="E156" s="216"/>
      <c r="F156" s="216"/>
      <c r="G156" s="216">
        <f>G151+SUM(G154:G154)</f>
        <v>30398524993.674938</v>
      </c>
      <c r="H156" s="216">
        <f>H151+SUM(H154:H154)</f>
        <v>36832451959.880646</v>
      </c>
      <c r="I156" s="216">
        <f>I151+SUM(I154:I154)</f>
        <v>42975798515.046371</v>
      </c>
      <c r="J156" s="216">
        <f>J151+SUM(J154:J154)</f>
        <v>48515096185.358337</v>
      </c>
      <c r="K156" s="216">
        <f>K151+SUM(K154:K154)</f>
        <v>53659286974.159554</v>
      </c>
    </row>
    <row r="157" spans="3:11" s="13" customFormat="1" ht="15" customHeight="1" x14ac:dyDescent="0.25">
      <c r="C157" s="13" t="s">
        <v>283</v>
      </c>
      <c r="D157" s="212"/>
      <c r="E157" s="212"/>
      <c r="F157" s="212"/>
      <c r="G157" s="212">
        <f>G156+G155</f>
        <v>25585943285.73682</v>
      </c>
      <c r="H157" s="212">
        <f t="shared" ref="H157:K157" si="119">H156+H155</f>
        <v>30793390145.935696</v>
      </c>
      <c r="I157" s="212">
        <f t="shared" si="119"/>
        <v>35666501966.661057</v>
      </c>
      <c r="J157" s="212">
        <f t="shared" si="119"/>
        <v>39969300942.820007</v>
      </c>
      <c r="K157" s="212">
        <f t="shared" si="119"/>
        <v>43915302760.824409</v>
      </c>
    </row>
    <row r="158" spans="3:11" ht="15" customHeight="1" x14ac:dyDescent="0.25">
      <c r="D158" s="219"/>
      <c r="E158" s="215"/>
      <c r="F158" s="215"/>
      <c r="G158" s="215"/>
      <c r="H158" s="215"/>
      <c r="I158" s="215"/>
      <c r="J158" s="215"/>
      <c r="K158" s="215"/>
    </row>
    <row r="159" spans="3:11" customFormat="1" x14ac:dyDescent="0.25">
      <c r="C159" s="241" t="s">
        <v>21</v>
      </c>
      <c r="D159" s="242"/>
      <c r="E159" s="242"/>
      <c r="F159" s="242"/>
      <c r="G159" s="242"/>
      <c r="H159" s="242"/>
      <c r="I159" s="242"/>
      <c r="J159" s="242"/>
      <c r="K159" s="242"/>
    </row>
    <row r="160" spans="3:11" ht="15" customHeight="1" x14ac:dyDescent="0.25">
      <c r="D160" s="219"/>
      <c r="E160" s="215"/>
      <c r="F160" s="215"/>
      <c r="G160" s="215"/>
      <c r="H160" s="215"/>
      <c r="I160" s="215"/>
      <c r="J160" s="215"/>
      <c r="K160" s="215"/>
    </row>
    <row r="161" spans="3:11" ht="15" customHeight="1" x14ac:dyDescent="0.25">
      <c r="C161" s="17" t="s">
        <v>277</v>
      </c>
      <c r="D161" s="219"/>
      <c r="E161" s="213"/>
      <c r="F161" s="213"/>
      <c r="G161" s="213">
        <f>-G182</f>
        <v>-11932064116.7115</v>
      </c>
      <c r="H161" s="213">
        <f t="shared" ref="H161:K161" si="120">-H182</f>
        <v>-13711672396.798615</v>
      </c>
      <c r="I161" s="213">
        <f t="shared" si="120"/>
        <v>-15146272781.463274</v>
      </c>
      <c r="J161" s="213">
        <f t="shared" si="120"/>
        <v>-16106326266.382404</v>
      </c>
      <c r="K161" s="213">
        <f t="shared" si="120"/>
        <v>-15060545808.106434</v>
      </c>
    </row>
    <row r="162" spans="3:11" ht="15" customHeight="1" x14ac:dyDescent="0.25">
      <c r="C162" s="13" t="s">
        <v>282</v>
      </c>
      <c r="D162" s="219"/>
      <c r="E162" s="216"/>
      <c r="F162" s="216"/>
      <c r="G162" s="216">
        <f>SUM(G161:G161)</f>
        <v>-11932064116.7115</v>
      </c>
      <c r="H162" s="216">
        <f>SUM(H161:H161)</f>
        <v>-13711672396.798615</v>
      </c>
      <c r="I162" s="216">
        <f>SUM(I161:I161)</f>
        <v>-15146272781.463274</v>
      </c>
      <c r="J162" s="216">
        <f>SUM(J161:J161)</f>
        <v>-16106326266.382404</v>
      </c>
      <c r="K162" s="216">
        <f>SUM(K161:K161)</f>
        <v>-15060545808.106434</v>
      </c>
    </row>
    <row r="163" spans="3:11" ht="15" customHeight="1" x14ac:dyDescent="0.25">
      <c r="D163" s="219"/>
      <c r="E163" s="220"/>
      <c r="F163" s="220"/>
      <c r="G163" s="215"/>
      <c r="H163" s="215"/>
      <c r="I163" s="215"/>
      <c r="J163" s="215"/>
      <c r="K163" s="215"/>
    </row>
    <row r="164" spans="3:11" s="37" customFormat="1" ht="15" customHeight="1" x14ac:dyDescent="0.25">
      <c r="C164" s="47" t="s">
        <v>22</v>
      </c>
      <c r="D164" s="221"/>
      <c r="E164" s="222"/>
      <c r="F164" s="222"/>
      <c r="G164" s="222"/>
      <c r="H164" s="222"/>
      <c r="I164" s="222"/>
      <c r="J164" s="222"/>
      <c r="K164" s="222"/>
    </row>
    <row r="165" spans="3:11" ht="15" customHeight="1" x14ac:dyDescent="0.25">
      <c r="D165" s="219"/>
      <c r="E165" s="220"/>
      <c r="F165" s="220"/>
      <c r="G165" s="215"/>
      <c r="H165" s="215"/>
      <c r="I165" s="215"/>
      <c r="J165" s="215"/>
      <c r="K165" s="215"/>
    </row>
    <row r="166" spans="3:11" ht="15" customHeight="1" x14ac:dyDescent="0.25">
      <c r="C166" s="17" t="s">
        <v>278</v>
      </c>
      <c r="D166" s="219"/>
      <c r="E166" s="213"/>
      <c r="F166" s="213"/>
      <c r="G166" s="213">
        <f>G238-F238</f>
        <v>0</v>
      </c>
      <c r="H166" s="213">
        <f t="shared" ref="H166:K166" si="121">H238-G238</f>
        <v>0</v>
      </c>
      <c r="I166" s="213">
        <f t="shared" si="121"/>
        <v>0</v>
      </c>
      <c r="J166" s="213">
        <f t="shared" si="121"/>
        <v>0</v>
      </c>
      <c r="K166" s="213">
        <f t="shared" si="121"/>
        <v>0</v>
      </c>
    </row>
    <row r="167" spans="3:11" ht="15" customHeight="1" x14ac:dyDescent="0.25">
      <c r="C167" s="17" t="s">
        <v>279</v>
      </c>
      <c r="D167" s="219"/>
      <c r="E167" s="213"/>
      <c r="F167" s="213"/>
      <c r="G167" s="213">
        <f>G258</f>
        <v>-719762603.7347548</v>
      </c>
      <c r="H167" s="213">
        <f t="shared" ref="H167:K167" si="122">H258</f>
        <v>-830795126.7807616</v>
      </c>
      <c r="I167" s="213">
        <f t="shared" si="122"/>
        <v>-1048766609.9700868</v>
      </c>
      <c r="J167" s="213">
        <f t="shared" si="122"/>
        <v>-1200466295.3576872</v>
      </c>
      <c r="K167" s="213">
        <f t="shared" si="122"/>
        <v>-1383070439.843473</v>
      </c>
    </row>
    <row r="168" spans="3:11" ht="15" customHeight="1" x14ac:dyDescent="0.25">
      <c r="C168" s="17" t="s">
        <v>280</v>
      </c>
      <c r="D168" s="219"/>
      <c r="E168" s="213"/>
      <c r="F168" s="213"/>
      <c r="G168" s="213">
        <f>G265</f>
        <v>-1468330632.4647133</v>
      </c>
      <c r="H168" s="213">
        <f t="shared" ref="H168:K168" si="123">H265</f>
        <v>-1841674499.9369071</v>
      </c>
      <c r="I168" s="213">
        <f t="shared" si="123"/>
        <v>-2228337394.859427</v>
      </c>
      <c r="J168" s="213">
        <f t="shared" si="123"/>
        <v>-2604730947.7091398</v>
      </c>
      <c r="K168" s="213">
        <f t="shared" si="123"/>
        <v>-2969462916.9672866</v>
      </c>
    </row>
    <row r="169" spans="3:11" ht="15" customHeight="1" x14ac:dyDescent="0.25">
      <c r="C169" s="13" t="s">
        <v>281</v>
      </c>
      <c r="D169" s="218"/>
      <c r="E169" s="216"/>
      <c r="F169" s="216"/>
      <c r="G169" s="216">
        <f>SUM(G166:G168)</f>
        <v>-2188093236.1994681</v>
      </c>
      <c r="H169" s="216">
        <f>SUM(H166:H168)</f>
        <v>-2672469626.7176685</v>
      </c>
      <c r="I169" s="216">
        <f>SUM(I166:I168)</f>
        <v>-3277104004.8295135</v>
      </c>
      <c r="J169" s="216">
        <f>SUM(J166:J168)</f>
        <v>-3805197243.0668268</v>
      </c>
      <c r="K169" s="216">
        <f>SUM(K166:K168)</f>
        <v>-4352533356.8107595</v>
      </c>
    </row>
    <row r="170" spans="3:11" ht="15" customHeight="1" x14ac:dyDescent="0.25">
      <c r="C170" s="13"/>
      <c r="D170" s="218"/>
      <c r="E170" s="216"/>
      <c r="F170" s="216"/>
      <c r="G170" s="216"/>
      <c r="H170" s="216"/>
      <c r="I170" s="216"/>
      <c r="J170" s="216"/>
      <c r="K170" s="216"/>
    </row>
    <row r="171" spans="3:11" ht="15" customHeight="1" x14ac:dyDescent="0.25">
      <c r="C171" s="13" t="s">
        <v>168</v>
      </c>
      <c r="D171" s="218"/>
      <c r="E171" s="216"/>
      <c r="F171" s="216"/>
      <c r="G171" s="216">
        <f>G157+G162+G169</f>
        <v>11465785932.825851</v>
      </c>
      <c r="H171" s="216">
        <f>H157+H162+H169</f>
        <v>14409248122.419413</v>
      </c>
      <c r="I171" s="216">
        <f>I157+I162+I169</f>
        <v>17243125180.368271</v>
      </c>
      <c r="J171" s="216">
        <f>J157+J162+J169</f>
        <v>20057777433.370777</v>
      </c>
      <c r="K171" s="216">
        <f>K157+K162+K169</f>
        <v>24502223595.907215</v>
      </c>
    </row>
    <row r="172" spans="3:11" ht="15" customHeight="1" x14ac:dyDescent="0.25">
      <c r="C172" s="6" t="s">
        <v>169</v>
      </c>
      <c r="D172" s="218"/>
      <c r="E172" s="216"/>
      <c r="F172" s="216"/>
      <c r="G172" s="216">
        <f>F84</f>
        <v>44846514337</v>
      </c>
      <c r="H172" s="216">
        <f>G84</f>
        <v>56312300269.825851</v>
      </c>
      <c r="I172" s="216">
        <f>H84</f>
        <v>70721548392.24527</v>
      </c>
      <c r="J172" s="216">
        <f>I84</f>
        <v>87964673572.613541</v>
      </c>
      <c r="K172" s="216">
        <f>J84</f>
        <v>108022451005.98431</v>
      </c>
    </row>
    <row r="173" spans="3:11" ht="15" customHeight="1" x14ac:dyDescent="0.25">
      <c r="C173" s="13" t="s">
        <v>170</v>
      </c>
      <c r="D173" s="219"/>
      <c r="E173" s="216"/>
      <c r="F173" s="216"/>
      <c r="G173" s="216">
        <f>G172+G171</f>
        <v>56312300269.825851</v>
      </c>
      <c r="H173" s="216">
        <f t="shared" ref="H173:K173" si="124">H172+H171</f>
        <v>70721548392.24527</v>
      </c>
      <c r="I173" s="216">
        <f t="shared" si="124"/>
        <v>87964673572.613541</v>
      </c>
      <c r="J173" s="216">
        <f t="shared" si="124"/>
        <v>108022451005.98431</v>
      </c>
      <c r="K173" s="216">
        <f t="shared" si="124"/>
        <v>132524674601.89153</v>
      </c>
    </row>
    <row r="174" spans="3:11" ht="15" customHeight="1" x14ac:dyDescent="0.25">
      <c r="C174" s="13"/>
      <c r="D174" s="219"/>
      <c r="E174" s="217"/>
      <c r="F174" s="216"/>
      <c r="G174" s="217"/>
      <c r="H174" s="217"/>
      <c r="I174" s="217"/>
      <c r="J174" s="217"/>
      <c r="K174" s="217"/>
    </row>
    <row r="175" spans="3:11" ht="15" customHeight="1" x14ac:dyDescent="0.25">
      <c r="C175" s="13" t="s">
        <v>23</v>
      </c>
      <c r="D175" s="219"/>
      <c r="E175" s="213"/>
      <c r="F175" s="213"/>
      <c r="G175" s="213">
        <f>G173-G84</f>
        <v>0</v>
      </c>
      <c r="H175" s="213">
        <f>H173-H84</f>
        <v>0</v>
      </c>
      <c r="I175" s="213">
        <f>I173-I84</f>
        <v>0</v>
      </c>
      <c r="J175" s="213">
        <f>J173-J84</f>
        <v>0</v>
      </c>
      <c r="K175" s="213">
        <f>K173-K84</f>
        <v>0</v>
      </c>
    </row>
    <row r="176" spans="3:11" ht="15" customHeight="1" x14ac:dyDescent="0.25"/>
    <row r="177" spans="1:11" customFormat="1" x14ac:dyDescent="0.25">
      <c r="C177" s="41" t="s">
        <v>32</v>
      </c>
      <c r="D177" s="42"/>
      <c r="E177" s="42"/>
      <c r="F177" s="42"/>
      <c r="G177" s="42"/>
      <c r="H177" s="42"/>
      <c r="I177" s="42"/>
      <c r="J177" s="42"/>
      <c r="K177" s="42"/>
    </row>
    <row r="178" spans="1:11" customFormat="1" x14ac:dyDescent="0.25">
      <c r="C178" t="s">
        <v>45</v>
      </c>
      <c r="D178" s="43">
        <f t="shared" ref="D178:F178" si="125">D$13</f>
        <v>2023</v>
      </c>
      <c r="E178" s="43">
        <f t="shared" si="125"/>
        <v>2024</v>
      </c>
      <c r="F178" s="43">
        <f t="shared" si="125"/>
        <v>2025</v>
      </c>
      <c r="G178" s="44">
        <f t="shared" ref="G178:K178" si="126">G$13</f>
        <v>2026</v>
      </c>
      <c r="H178" s="44">
        <f t="shared" si="126"/>
        <v>2027</v>
      </c>
      <c r="I178" s="44">
        <f t="shared" si="126"/>
        <v>2028</v>
      </c>
      <c r="J178" s="44">
        <f t="shared" si="126"/>
        <v>2029</v>
      </c>
      <c r="K178" s="44">
        <f t="shared" si="126"/>
        <v>2030</v>
      </c>
    </row>
    <row r="179" spans="1:11" customFormat="1" x14ac:dyDescent="0.25">
      <c r="C179" s="45" t="s">
        <v>46</v>
      </c>
      <c r="D179" s="46">
        <f t="shared" ref="D179:F179" si="127">D$14</f>
        <v>45291</v>
      </c>
      <c r="E179" s="46">
        <f t="shared" si="127"/>
        <v>45657</v>
      </c>
      <c r="F179" s="46">
        <f t="shared" si="127"/>
        <v>46022</v>
      </c>
      <c r="G179" s="46">
        <f t="shared" ref="G179:K179" si="128">G$14</f>
        <v>46387</v>
      </c>
      <c r="H179" s="46">
        <f t="shared" si="128"/>
        <v>46752</v>
      </c>
      <c r="I179" s="46">
        <f t="shared" si="128"/>
        <v>47118</v>
      </c>
      <c r="J179" s="46">
        <f t="shared" si="128"/>
        <v>47483</v>
      </c>
      <c r="K179" s="46">
        <f t="shared" si="128"/>
        <v>47848</v>
      </c>
    </row>
    <row r="180" spans="1:11" ht="15" customHeight="1" x14ac:dyDescent="0.25"/>
    <row r="181" spans="1:11" ht="15" customHeight="1" x14ac:dyDescent="0.25">
      <c r="C181" s="17" t="s">
        <v>33</v>
      </c>
      <c r="D181" s="197"/>
      <c r="E181" s="198">
        <f>D184</f>
        <v>6465302744</v>
      </c>
      <c r="F181" s="198">
        <f>E184</f>
        <v>75812139564</v>
      </c>
      <c r="G181" s="198">
        <f>F184</f>
        <v>71519687997</v>
      </c>
      <c r="H181" s="198">
        <f t="shared" ref="H181:K181" si="129">G184</f>
        <v>81635089801.795288</v>
      </c>
      <c r="I181" s="198">
        <f t="shared" si="129"/>
        <v>93110038805.376343</v>
      </c>
      <c r="J181" s="198">
        <f t="shared" si="129"/>
        <v>105595511114.30159</v>
      </c>
      <c r="K181" s="198">
        <f t="shared" si="129"/>
        <v>118636592798.38</v>
      </c>
    </row>
    <row r="182" spans="1:11" ht="15" customHeight="1" x14ac:dyDescent="0.25">
      <c r="C182" s="31" t="s">
        <v>34</v>
      </c>
      <c r="D182" s="258">
        <v>3190477225</v>
      </c>
      <c r="E182" s="258">
        <v>72577614536</v>
      </c>
      <c r="F182" s="258">
        <v>11352483464</v>
      </c>
      <c r="G182" s="196">
        <f>G202*G186</f>
        <v>11932064116.7115</v>
      </c>
      <c r="H182" s="196">
        <f t="shared" ref="H182:K182" si="130">H202*H186</f>
        <v>13711672396.798615</v>
      </c>
      <c r="I182" s="196">
        <f t="shared" si="130"/>
        <v>15146272781.463274</v>
      </c>
      <c r="J182" s="196">
        <f t="shared" si="130"/>
        <v>16106326266.382404</v>
      </c>
      <c r="K182" s="196">
        <f t="shared" si="130"/>
        <v>15060545808.106434</v>
      </c>
    </row>
    <row r="183" spans="1:11" ht="15" customHeight="1" x14ac:dyDescent="0.25">
      <c r="C183" s="31" t="s">
        <v>35</v>
      </c>
      <c r="D183" s="211">
        <f>D193</f>
        <v>491823556</v>
      </c>
      <c r="E183" s="211">
        <v>1092796744</v>
      </c>
      <c r="F183" s="211">
        <v>1371517763</v>
      </c>
      <c r="G183" s="196">
        <f>G202*G187</f>
        <v>1745739672.5883343</v>
      </c>
      <c r="H183" s="196">
        <f t="shared" ref="H183:K183" si="131">H202*H187</f>
        <v>2149401536.2864017</v>
      </c>
      <c r="I183" s="196">
        <f t="shared" si="131"/>
        <v>2556922613.125504</v>
      </c>
      <c r="J183" s="196">
        <f t="shared" si="131"/>
        <v>2945577193.0833926</v>
      </c>
      <c r="K183" s="196">
        <f t="shared" si="131"/>
        <v>3305185764.7021346</v>
      </c>
    </row>
    <row r="184" spans="1:11" ht="15" customHeight="1" x14ac:dyDescent="0.25">
      <c r="C184" s="16" t="s">
        <v>36</v>
      </c>
      <c r="D184" s="259">
        <f>D88</f>
        <v>6465302744</v>
      </c>
      <c r="E184" s="259">
        <f>E88</f>
        <v>75812139564</v>
      </c>
      <c r="F184" s="259">
        <f>F88</f>
        <v>71519687997</v>
      </c>
      <c r="G184" s="259">
        <f>G181+G182-G193</f>
        <v>81635089801.795288</v>
      </c>
      <c r="H184" s="259">
        <f t="shared" ref="H184:K184" si="132">H181+H182-H193</f>
        <v>93110038805.376343</v>
      </c>
      <c r="I184" s="259">
        <f t="shared" si="132"/>
        <v>105595511114.30159</v>
      </c>
      <c r="J184" s="259">
        <f t="shared" si="132"/>
        <v>118636592798.38</v>
      </c>
      <c r="K184" s="259">
        <f t="shared" si="132"/>
        <v>130257675949.54066</v>
      </c>
    </row>
    <row r="185" spans="1:11" ht="15" customHeight="1" x14ac:dyDescent="0.25">
      <c r="C185" s="13"/>
      <c r="D185" s="10"/>
      <c r="E185" s="167"/>
      <c r="F185" s="167"/>
      <c r="G185" s="168"/>
      <c r="H185" s="168"/>
      <c r="I185" s="168"/>
      <c r="J185" s="168"/>
      <c r="K185" s="168"/>
    </row>
    <row r="186" spans="1:11" ht="15" customHeight="1" x14ac:dyDescent="0.25">
      <c r="C186" s="6" t="s">
        <v>151</v>
      </c>
      <c r="D186" s="1">
        <f>D182/D202</f>
        <v>0.1122166747161646</v>
      </c>
      <c r="E186" s="1">
        <f t="shared" ref="E186:F186" si="133">E182/E202</f>
        <v>1.7008936651801121</v>
      </c>
      <c r="F186" s="1">
        <f t="shared" si="133"/>
        <v>0.18165384862885015</v>
      </c>
      <c r="G186" s="1">
        <v>0.15</v>
      </c>
      <c r="H186" s="1">
        <v>0.14000000000000001</v>
      </c>
      <c r="I186" s="1">
        <v>0.13</v>
      </c>
      <c r="J186" s="1">
        <v>0.12</v>
      </c>
      <c r="K186" s="1">
        <v>0.1</v>
      </c>
    </row>
    <row r="187" spans="1:11" ht="15" customHeight="1" x14ac:dyDescent="0.25">
      <c r="C187" s="6" t="s">
        <v>293</v>
      </c>
      <c r="D187" s="1"/>
      <c r="E187" s="1">
        <f>E183/E202</f>
        <v>2.5610252845622027E-2</v>
      </c>
      <c r="F187" s="1">
        <f t="shared" ref="F187" si="134">F183/F202</f>
        <v>2.1945989254407352E-2</v>
      </c>
      <c r="G187" s="1">
        <f>F187</f>
        <v>2.1945989254407352E-2</v>
      </c>
      <c r="H187" s="1">
        <f>F187</f>
        <v>2.1945989254407352E-2</v>
      </c>
      <c r="I187" s="1">
        <f t="shared" ref="I187:K187" si="135">H187</f>
        <v>2.1945989254407352E-2</v>
      </c>
      <c r="J187" s="1">
        <f t="shared" si="135"/>
        <v>2.1945989254407352E-2</v>
      </c>
      <c r="K187" s="1">
        <f t="shared" si="135"/>
        <v>2.1945989254407352E-2</v>
      </c>
    </row>
    <row r="188" spans="1:11" ht="15" customHeight="1" x14ac:dyDescent="0.25">
      <c r="D188" s="30"/>
      <c r="E188" s="1"/>
      <c r="F188" s="1"/>
      <c r="G188" s="1"/>
      <c r="H188" s="1"/>
      <c r="I188" s="1"/>
      <c r="J188" s="1"/>
      <c r="K188" s="1"/>
    </row>
    <row r="189" spans="1:11" s="37" customFormat="1" ht="15" customHeight="1" x14ac:dyDescent="0.25">
      <c r="C189" s="47" t="s">
        <v>37</v>
      </c>
      <c r="D189" s="50"/>
      <c r="E189" s="50"/>
      <c r="F189" s="50"/>
      <c r="G189" s="50"/>
      <c r="H189" s="50"/>
      <c r="I189" s="50"/>
      <c r="J189" s="50"/>
      <c r="K189" s="50"/>
    </row>
    <row r="190" spans="1:11" s="33" customFormat="1" ht="15" customHeight="1" x14ac:dyDescent="0.25">
      <c r="C190" s="34"/>
      <c r="D190" s="35"/>
      <c r="E190" s="36"/>
      <c r="F190" s="36"/>
      <c r="G190" s="36"/>
      <c r="H190" s="36"/>
      <c r="I190" s="36"/>
      <c r="J190" s="36"/>
      <c r="K190" s="36"/>
    </row>
    <row r="191" spans="1:11" s="33" customFormat="1" ht="15" customHeight="1" x14ac:dyDescent="0.25">
      <c r="C191" s="37" t="s">
        <v>38</v>
      </c>
      <c r="D191" s="10"/>
      <c r="E191" s="10">
        <v>26493853</v>
      </c>
      <c r="F191" s="199">
        <v>55719453</v>
      </c>
      <c r="G191" s="38">
        <f>G202*G192</f>
        <v>70922639.327873647</v>
      </c>
      <c r="H191" s="38">
        <f t="shared" ref="H191:K191" si="136">H202*H192</f>
        <v>87321856.931165367</v>
      </c>
      <c r="I191" s="38">
        <f t="shared" si="136"/>
        <v>103877859.41251694</v>
      </c>
      <c r="J191" s="38">
        <f t="shared" si="136"/>
        <v>119667389.22059593</v>
      </c>
      <c r="K191" s="38">
        <f t="shared" si="136"/>
        <v>134276892.24364033</v>
      </c>
    </row>
    <row r="192" spans="1:11" s="33" customFormat="1" ht="15" customHeight="1" x14ac:dyDescent="0.25">
      <c r="A192" s="34"/>
      <c r="B192" s="34"/>
      <c r="C192" s="25" t="s">
        <v>39</v>
      </c>
      <c r="D192" s="39"/>
      <c r="E192" s="39">
        <f>E191/E202</f>
        <v>6.2089704962073138E-4</v>
      </c>
      <c r="F192" s="39">
        <f t="shared" ref="F192" si="137">F191/F202</f>
        <v>8.9158051742962042E-4</v>
      </c>
      <c r="G192" s="39">
        <f>F192</f>
        <v>8.9158051742962042E-4</v>
      </c>
      <c r="H192" s="39">
        <f t="shared" ref="H192:K192" si="138">G192</f>
        <v>8.9158051742962042E-4</v>
      </c>
      <c r="I192" s="39">
        <f t="shared" si="138"/>
        <v>8.9158051742962042E-4</v>
      </c>
      <c r="J192" s="39">
        <f t="shared" si="138"/>
        <v>8.9158051742962042E-4</v>
      </c>
      <c r="K192" s="39">
        <f t="shared" si="138"/>
        <v>8.9158051742962042E-4</v>
      </c>
    </row>
    <row r="193" spans="3:11" ht="15" customHeight="1" x14ac:dyDescent="0.25">
      <c r="C193" s="40" t="s">
        <v>40</v>
      </c>
      <c r="D193" s="32">
        <v>491823556</v>
      </c>
      <c r="E193" s="32">
        <f>E183+E191</f>
        <v>1119290597</v>
      </c>
      <c r="F193" s="32">
        <f>F183+F191</f>
        <v>1427237216</v>
      </c>
      <c r="G193" s="32">
        <f t="shared" ref="G193:K193" si="139">G183+G191</f>
        <v>1816662311.916208</v>
      </c>
      <c r="H193" s="32">
        <f t="shared" si="139"/>
        <v>2236723393.217567</v>
      </c>
      <c r="I193" s="32">
        <f t="shared" si="139"/>
        <v>2660800472.5380211</v>
      </c>
      <c r="J193" s="32">
        <f t="shared" si="139"/>
        <v>3065244582.3039885</v>
      </c>
      <c r="K193" s="32">
        <f t="shared" si="139"/>
        <v>3439462656.945775</v>
      </c>
    </row>
    <row r="195" spans="3:11" x14ac:dyDescent="0.25">
      <c r="C195" s="13" t="s">
        <v>171</v>
      </c>
      <c r="D195" s="28"/>
      <c r="E195" s="13"/>
      <c r="F195" s="13"/>
      <c r="G195" s="13"/>
      <c r="H195" s="13"/>
      <c r="I195" s="13"/>
      <c r="J195" s="13"/>
      <c r="K195" s="13"/>
    </row>
    <row r="196" spans="3:11" x14ac:dyDescent="0.25">
      <c r="C196" s="51" t="s">
        <v>45</v>
      </c>
      <c r="D196" s="52">
        <f t="shared" ref="D196:F196" si="140">D$13</f>
        <v>2023</v>
      </c>
      <c r="E196" s="52">
        <f t="shared" si="140"/>
        <v>2024</v>
      </c>
      <c r="F196" s="52">
        <f t="shared" si="140"/>
        <v>2025</v>
      </c>
      <c r="G196" s="53">
        <f t="shared" ref="G196:K196" si="141">G$13</f>
        <v>2026</v>
      </c>
      <c r="H196" s="53">
        <f t="shared" si="141"/>
        <v>2027</v>
      </c>
      <c r="I196" s="53">
        <f t="shared" si="141"/>
        <v>2028</v>
      </c>
      <c r="J196" s="53">
        <f t="shared" si="141"/>
        <v>2029</v>
      </c>
      <c r="K196" s="53">
        <f t="shared" si="141"/>
        <v>2030</v>
      </c>
    </row>
    <row r="197" spans="3:11" x14ac:dyDescent="0.25">
      <c r="C197" s="45" t="s">
        <v>46</v>
      </c>
      <c r="D197" s="46">
        <f t="shared" ref="D197:K197" si="142">D$14</f>
        <v>45291</v>
      </c>
      <c r="E197" s="46">
        <f t="shared" si="142"/>
        <v>45657</v>
      </c>
      <c r="F197" s="46">
        <f t="shared" si="142"/>
        <v>46022</v>
      </c>
      <c r="G197" s="46">
        <f t="shared" si="142"/>
        <v>46387</v>
      </c>
      <c r="H197" s="46">
        <f t="shared" si="142"/>
        <v>46752</v>
      </c>
      <c r="I197" s="46">
        <f t="shared" si="142"/>
        <v>47118</v>
      </c>
      <c r="J197" s="46">
        <f t="shared" si="142"/>
        <v>47483</v>
      </c>
      <c r="K197" s="46">
        <f t="shared" si="142"/>
        <v>47848</v>
      </c>
    </row>
    <row r="198" spans="3:11" x14ac:dyDescent="0.25">
      <c r="C198" s="37"/>
      <c r="D198" s="49"/>
      <c r="E198" s="37"/>
      <c r="F198" s="37"/>
      <c r="G198" s="37"/>
      <c r="H198" s="37"/>
    </row>
    <row r="199" spans="3:11" x14ac:dyDescent="0.25">
      <c r="C199" s="6" t="s">
        <v>286</v>
      </c>
      <c r="D199" s="213">
        <f>D16</f>
        <v>21578730465</v>
      </c>
      <c r="E199" s="213">
        <f>E16</f>
        <v>24518320655</v>
      </c>
      <c r="F199" s="213">
        <f>F16</f>
        <v>36705735436</v>
      </c>
      <c r="G199" s="213">
        <f>F199*(1+G205)</f>
        <v>46983341358.080002</v>
      </c>
      <c r="H199" s="213">
        <f t="shared" ref="H199:K199" si="143">G199*(1+H205)</f>
        <v>58259343284.019203</v>
      </c>
      <c r="I199" s="213">
        <f t="shared" si="143"/>
        <v>69911211940.823044</v>
      </c>
      <c r="J199" s="213">
        <f t="shared" si="143"/>
        <v>81097005851.354721</v>
      </c>
      <c r="K199" s="213">
        <f t="shared" si="143"/>
        <v>91639616612.030823</v>
      </c>
    </row>
    <row r="200" spans="3:11" x14ac:dyDescent="0.25">
      <c r="C200" s="6" t="s">
        <v>287</v>
      </c>
      <c r="D200" s="213">
        <f>D19</f>
        <v>3540936070</v>
      </c>
      <c r="E200" s="213">
        <f>E19</f>
        <v>11496509789</v>
      </c>
      <c r="F200" s="213">
        <f>F19</f>
        <v>14889682025</v>
      </c>
      <c r="G200" s="213">
        <f t="shared" ref="G200:K200" si="144">F200*(1+G206)</f>
        <v>18612102531.25</v>
      </c>
      <c r="H200" s="213">
        <f t="shared" si="144"/>
        <v>22520644062.8125</v>
      </c>
      <c r="I200" s="213">
        <f t="shared" si="144"/>
        <v>26349153553.490623</v>
      </c>
      <c r="J200" s="213">
        <f t="shared" si="144"/>
        <v>30038035050.979313</v>
      </c>
      <c r="K200" s="213">
        <f t="shared" si="144"/>
        <v>33342218906.58704</v>
      </c>
    </row>
    <row r="201" spans="3:11" x14ac:dyDescent="0.25">
      <c r="C201" s="6" t="s">
        <v>288</v>
      </c>
      <c r="D201" s="213">
        <f>D22</f>
        <v>3311733995</v>
      </c>
      <c r="E201" s="213">
        <f>E22</f>
        <v>6655452844</v>
      </c>
      <c r="F201" s="213">
        <f>F22</f>
        <v>10899726736</v>
      </c>
      <c r="G201" s="213">
        <f t="shared" ref="G201:K201" si="145">F201*(1+G207)</f>
        <v>13951650222.08</v>
      </c>
      <c r="H201" s="213">
        <f t="shared" si="145"/>
        <v>17160529773.1584</v>
      </c>
      <c r="I201" s="213">
        <f t="shared" si="145"/>
        <v>20249425132.326912</v>
      </c>
      <c r="J201" s="213">
        <f t="shared" si="145"/>
        <v>23084344650.852684</v>
      </c>
      <c r="K201" s="213">
        <f t="shared" si="145"/>
        <v>25623622562.44648</v>
      </c>
    </row>
    <row r="202" spans="3:11" x14ac:dyDescent="0.25">
      <c r="C202" s="16" t="s">
        <v>157</v>
      </c>
      <c r="D202" s="224">
        <f>SUM(D199:D201)</f>
        <v>28431400530</v>
      </c>
      <c r="E202" s="224">
        <f t="shared" ref="E202:F202" si="146">SUM(E199:E201)</f>
        <v>42670283288</v>
      </c>
      <c r="F202" s="224">
        <f t="shared" si="146"/>
        <v>62495144197</v>
      </c>
      <c r="G202" s="224">
        <f t="shared" ref="G202" si="147">SUM(G199:G201)</f>
        <v>79547094111.410004</v>
      </c>
      <c r="H202" s="224">
        <f t="shared" ref="H202" si="148">SUM(H199:H201)</f>
        <v>97940517119.990097</v>
      </c>
      <c r="I202" s="224">
        <f t="shared" ref="I202" si="149">SUM(I199:I201)</f>
        <v>116509790626.64056</v>
      </c>
      <c r="J202" s="224">
        <f t="shared" ref="J202" si="150">SUM(J199:J201)</f>
        <v>134219385553.18671</v>
      </c>
      <c r="K202" s="224">
        <f t="shared" ref="K202" si="151">SUM(K199:K201)</f>
        <v>150605458081.06433</v>
      </c>
    </row>
    <row r="203" spans="3:11" x14ac:dyDescent="0.25">
      <c r="C203" s="6" t="s">
        <v>289</v>
      </c>
      <c r="D203" s="213">
        <f t="shared" ref="D203:K203" si="152">D202-SUM(D16+D19+D22)</f>
        <v>0</v>
      </c>
      <c r="E203" s="213">
        <f t="shared" si="152"/>
        <v>0</v>
      </c>
      <c r="F203" s="213">
        <f t="shared" si="152"/>
        <v>0</v>
      </c>
      <c r="G203" s="213">
        <f t="shared" si="152"/>
        <v>0</v>
      </c>
      <c r="H203" s="213">
        <f t="shared" si="152"/>
        <v>0</v>
      </c>
      <c r="I203" s="213">
        <f t="shared" si="152"/>
        <v>0</v>
      </c>
      <c r="J203" s="213">
        <f t="shared" si="152"/>
        <v>0</v>
      </c>
      <c r="K203" s="213">
        <f t="shared" si="152"/>
        <v>0</v>
      </c>
    </row>
    <row r="204" spans="3:11" x14ac:dyDescent="0.25">
      <c r="C204" s="37"/>
      <c r="D204" s="6"/>
    </row>
    <row r="205" spans="3:11" x14ac:dyDescent="0.25">
      <c r="C205" s="6" t="s">
        <v>286</v>
      </c>
      <c r="E205" s="1">
        <f>E199/D199-1</f>
        <v>0.13622628053897423</v>
      </c>
      <c r="F205" s="1">
        <f t="shared" ref="F205:F207" si="153">F199/E199-1</f>
        <v>0.49707379850726574</v>
      </c>
      <c r="G205" s="228">
        <v>0.28000000000000003</v>
      </c>
      <c r="H205" s="228">
        <v>0.24</v>
      </c>
      <c r="I205" s="228">
        <v>0.2</v>
      </c>
      <c r="J205" s="228">
        <v>0.16</v>
      </c>
      <c r="K205" s="228">
        <v>0.13</v>
      </c>
    </row>
    <row r="206" spans="3:11" x14ac:dyDescent="0.25">
      <c r="C206" s="6" t="s">
        <v>287</v>
      </c>
      <c r="E206" s="1">
        <f t="shared" ref="E206" si="154">E200/D200-1</f>
        <v>2.2467431102194397</v>
      </c>
      <c r="F206" s="1">
        <f t="shared" si="153"/>
        <v>0.29514803173104132</v>
      </c>
      <c r="G206" s="228">
        <v>0.25</v>
      </c>
      <c r="H206" s="228">
        <v>0.21</v>
      </c>
      <c r="I206" s="228">
        <v>0.17</v>
      </c>
      <c r="J206" s="228">
        <v>0.14000000000000001</v>
      </c>
      <c r="K206" s="228">
        <v>0.11</v>
      </c>
    </row>
    <row r="207" spans="3:11" x14ac:dyDescent="0.25">
      <c r="C207" s="6" t="s">
        <v>288</v>
      </c>
      <c r="E207" s="1">
        <f t="shared" ref="E207" si="155">E201/D201-1</f>
        <v>1.0096580383715268</v>
      </c>
      <c r="F207" s="1">
        <f t="shared" si="153"/>
        <v>0.63771376516119149</v>
      </c>
      <c r="G207" s="228">
        <v>0.28000000000000003</v>
      </c>
      <c r="H207" s="228">
        <v>0.23</v>
      </c>
      <c r="I207" s="228">
        <v>0.18</v>
      </c>
      <c r="J207" s="228">
        <v>0.14000000000000001</v>
      </c>
      <c r="K207" s="228">
        <v>0.11</v>
      </c>
    </row>
    <row r="208" spans="3:11" x14ac:dyDescent="0.25">
      <c r="G208" s="225"/>
      <c r="H208" s="225"/>
      <c r="I208" s="225"/>
      <c r="J208" s="225"/>
      <c r="K208" s="225"/>
    </row>
    <row r="209" spans="3:11" x14ac:dyDescent="0.25">
      <c r="C209" s="13" t="s">
        <v>172</v>
      </c>
    </row>
    <row r="210" spans="3:11" x14ac:dyDescent="0.25">
      <c r="C210" s="51" t="s">
        <v>45</v>
      </c>
      <c r="D210" s="52">
        <f t="shared" ref="D210:K210" si="156">D$13</f>
        <v>2023</v>
      </c>
      <c r="E210" s="52">
        <f t="shared" si="156"/>
        <v>2024</v>
      </c>
      <c r="F210" s="52">
        <f t="shared" si="156"/>
        <v>2025</v>
      </c>
      <c r="G210" s="53">
        <f t="shared" si="156"/>
        <v>2026</v>
      </c>
      <c r="H210" s="53">
        <f t="shared" si="156"/>
        <v>2027</v>
      </c>
      <c r="I210" s="53">
        <f t="shared" si="156"/>
        <v>2028</v>
      </c>
      <c r="J210" s="53">
        <f t="shared" si="156"/>
        <v>2029</v>
      </c>
      <c r="K210" s="53">
        <f t="shared" si="156"/>
        <v>2030</v>
      </c>
    </row>
    <row r="211" spans="3:11" x14ac:dyDescent="0.25">
      <c r="C211" s="45" t="s">
        <v>46</v>
      </c>
      <c r="D211" s="46">
        <f t="shared" ref="D211:K211" si="157">D$14</f>
        <v>45291</v>
      </c>
      <c r="E211" s="46">
        <f t="shared" si="157"/>
        <v>45657</v>
      </c>
      <c r="F211" s="46">
        <f t="shared" si="157"/>
        <v>46022</v>
      </c>
      <c r="G211" s="46">
        <f t="shared" si="157"/>
        <v>46387</v>
      </c>
      <c r="H211" s="46">
        <f t="shared" si="157"/>
        <v>46752</v>
      </c>
      <c r="I211" s="46">
        <f t="shared" si="157"/>
        <v>47118</v>
      </c>
      <c r="J211" s="46">
        <f t="shared" si="157"/>
        <v>47483</v>
      </c>
      <c r="K211" s="46">
        <f t="shared" si="157"/>
        <v>47848</v>
      </c>
    </row>
    <row r="212" spans="3:11" x14ac:dyDescent="0.25">
      <c r="D212" s="6"/>
    </row>
    <row r="213" spans="3:11" x14ac:dyDescent="0.25">
      <c r="C213" s="13" t="s">
        <v>173</v>
      </c>
      <c r="D213" s="6"/>
    </row>
    <row r="214" spans="3:11" x14ac:dyDescent="0.25">
      <c r="C214" s="17" t="s">
        <v>236</v>
      </c>
      <c r="D214" s="29">
        <f>D76</f>
        <v>89847247605</v>
      </c>
      <c r="E214" s="29">
        <f>E76</f>
        <v>104117856511</v>
      </c>
      <c r="F214" s="29">
        <f>F76</f>
        <v>130058872016</v>
      </c>
      <c r="G214" s="29">
        <f>$F214/$F$202*G$202</f>
        <v>165545747037.05087</v>
      </c>
      <c r="H214" s="29">
        <f t="shared" ref="H214:K214" si="158">$F214/$F$202*H$202</f>
        <v>203824366596.16702</v>
      </c>
      <c r="I214" s="29">
        <f t="shared" si="158"/>
        <v>242468949266.75931</v>
      </c>
      <c r="J214" s="29">
        <f t="shared" si="158"/>
        <v>279324451715.81891</v>
      </c>
      <c r="K214" s="29">
        <f t="shared" si="158"/>
        <v>313425566884.54645</v>
      </c>
    </row>
    <row r="215" spans="3:11" x14ac:dyDescent="0.25">
      <c r="C215" s="17" t="s">
        <v>163</v>
      </c>
      <c r="D215" s="29">
        <f t="shared" ref="D215:F216" si="159">D78</f>
        <v>1164597118</v>
      </c>
      <c r="E215" s="29">
        <f t="shared" si="159"/>
        <v>3440526055</v>
      </c>
      <c r="F215" s="29">
        <f t="shared" si="159"/>
        <v>7372154387</v>
      </c>
      <c r="G215" s="29">
        <f t="shared" ref="G215:K217" si="160">$F215/$F$202*G$202</f>
        <v>9383664384.8352642</v>
      </c>
      <c r="H215" s="29">
        <f t="shared" si="160"/>
        <v>11553419425.278227</v>
      </c>
      <c r="I215" s="29">
        <f t="shared" si="160"/>
        <v>13743918429.71172</v>
      </c>
      <c r="J215" s="29">
        <f t="shared" si="160"/>
        <v>15833006623.798923</v>
      </c>
      <c r="K215" s="29">
        <f t="shared" si="160"/>
        <v>17765967304.572777</v>
      </c>
    </row>
    <row r="216" spans="3:11" x14ac:dyDescent="0.25">
      <c r="C216" s="17" t="s">
        <v>294</v>
      </c>
      <c r="D216" s="29">
        <f t="shared" si="159"/>
        <v>10056310804</v>
      </c>
      <c r="E216" s="29">
        <f t="shared" si="159"/>
        <v>17786055837</v>
      </c>
      <c r="F216" s="29">
        <f t="shared" si="159"/>
        <v>21716321258</v>
      </c>
      <c r="G216" s="29">
        <f t="shared" si="160"/>
        <v>27641671574.0079</v>
      </c>
      <c r="H216" s="29">
        <f t="shared" si="160"/>
        <v>34033167876.976486</v>
      </c>
      <c r="I216" s="29">
        <f t="shared" si="160"/>
        <v>40485770141.992905</v>
      </c>
      <c r="J216" s="29">
        <f t="shared" si="160"/>
        <v>46639644298.385117</v>
      </c>
      <c r="K216" s="29">
        <f t="shared" si="160"/>
        <v>52333610121.56279</v>
      </c>
    </row>
    <row r="217" spans="3:11" x14ac:dyDescent="0.25">
      <c r="C217" s="17" t="s">
        <v>295</v>
      </c>
      <c r="D217" s="29">
        <f>D81</f>
        <v>10661281494</v>
      </c>
      <c r="E217" s="29">
        <f>E81</f>
        <v>24792981062</v>
      </c>
      <c r="F217" s="29">
        <f>F81</f>
        <v>57596016203</v>
      </c>
      <c r="G217" s="29">
        <f t="shared" si="160"/>
        <v>73311227299.516663</v>
      </c>
      <c r="H217" s="29">
        <f t="shared" si="160"/>
        <v>90262750545.728592</v>
      </c>
      <c r="I217" s="29">
        <f t="shared" si="160"/>
        <v>107376338993.42625</v>
      </c>
      <c r="J217" s="29">
        <f t="shared" si="160"/>
        <v>123697640903.2614</v>
      </c>
      <c r="K217" s="29">
        <f t="shared" si="160"/>
        <v>138799174165.49646</v>
      </c>
    </row>
    <row r="218" spans="3:11" x14ac:dyDescent="0.25">
      <c r="C218" s="13" t="s">
        <v>174</v>
      </c>
      <c r="D218" s="230">
        <f t="shared" ref="D218:K218" si="161">SUM(D214:D217)</f>
        <v>111729437021</v>
      </c>
      <c r="E218" s="230">
        <f t="shared" si="161"/>
        <v>150137419465</v>
      </c>
      <c r="F218" s="230">
        <f t="shared" si="161"/>
        <v>216743363864</v>
      </c>
      <c r="G218" s="230">
        <f t="shared" si="161"/>
        <v>275882310295.41071</v>
      </c>
      <c r="H218" s="230">
        <f t="shared" si="161"/>
        <v>339673704444.15033</v>
      </c>
      <c r="I218" s="230">
        <f t="shared" si="161"/>
        <v>404074976831.8902</v>
      </c>
      <c r="J218" s="230">
        <f t="shared" si="161"/>
        <v>465494743541.2644</v>
      </c>
      <c r="K218" s="230">
        <f t="shared" si="161"/>
        <v>522324318476.17847</v>
      </c>
    </row>
    <row r="219" spans="3:11" x14ac:dyDescent="0.25">
      <c r="C219" s="13"/>
      <c r="E219" s="7"/>
      <c r="F219" s="7"/>
      <c r="G219" s="7"/>
      <c r="H219" s="7"/>
      <c r="I219" s="7"/>
      <c r="J219" s="7"/>
      <c r="K219" s="7"/>
    </row>
    <row r="220" spans="3:11" x14ac:dyDescent="0.25">
      <c r="C220" s="13" t="s">
        <v>178</v>
      </c>
      <c r="E220" s="7"/>
      <c r="F220" s="7"/>
      <c r="G220" s="7"/>
      <c r="H220" s="7"/>
      <c r="I220" s="7"/>
      <c r="J220" s="7"/>
      <c r="K220" s="7"/>
    </row>
    <row r="221" spans="3:11" x14ac:dyDescent="0.25">
      <c r="C221" s="17" t="s">
        <v>255</v>
      </c>
      <c r="D221" s="196">
        <f t="shared" ref="D221:F222" si="162">D109</f>
        <v>13734162769</v>
      </c>
      <c r="E221" s="196">
        <f t="shared" si="162"/>
        <v>29529602683</v>
      </c>
      <c r="F221" s="196">
        <f t="shared" si="162"/>
        <v>41142948322</v>
      </c>
      <c r="G221" s="29">
        <f>$F221/$F$202*G$202</f>
        <v>52368900404.075218</v>
      </c>
      <c r="H221" s="29">
        <f t="shared" ref="H221:K221" si="163">$F221/$F$202*H$202</f>
        <v>64477995631.077255</v>
      </c>
      <c r="I221" s="29">
        <f t="shared" si="163"/>
        <v>76702859979.78418</v>
      </c>
      <c r="J221" s="29">
        <f t="shared" si="163"/>
        <v>88361764975.180893</v>
      </c>
      <c r="K221" s="29">
        <f t="shared" si="163"/>
        <v>99149344456.394028</v>
      </c>
    </row>
    <row r="222" spans="3:11" x14ac:dyDescent="0.25">
      <c r="C222" s="17" t="s">
        <v>256</v>
      </c>
      <c r="D222" s="196">
        <f t="shared" si="162"/>
        <v>48929217775</v>
      </c>
      <c r="E222" s="196">
        <f t="shared" si="162"/>
        <v>81000925177</v>
      </c>
      <c r="F222" s="196">
        <f t="shared" si="162"/>
        <v>117676166566</v>
      </c>
      <c r="G222" s="29">
        <f t="shared" ref="G222:K225" si="164">$F222/$F$202*G$202</f>
        <v>149784390719.82996</v>
      </c>
      <c r="H222" s="29">
        <f t="shared" si="164"/>
        <v>184418561702.03677</v>
      </c>
      <c r="I222" s="29">
        <f t="shared" si="164"/>
        <v>219383853009.95102</v>
      </c>
      <c r="J222" s="29">
        <f t="shared" si="164"/>
        <v>252730399676.41461</v>
      </c>
      <c r="K222" s="29">
        <f t="shared" si="164"/>
        <v>283584800045.10193</v>
      </c>
    </row>
    <row r="223" spans="3:11" x14ac:dyDescent="0.25">
      <c r="C223" s="17" t="s">
        <v>296</v>
      </c>
      <c r="D223" s="196">
        <f>D115</f>
        <v>12109403792</v>
      </c>
      <c r="E223" s="196">
        <f>E115</f>
        <v>26609571406</v>
      </c>
      <c r="F223" s="196">
        <f>F115</f>
        <v>36859191499</v>
      </c>
      <c r="G223" s="29">
        <f t="shared" si="164"/>
        <v>46916310262.424927</v>
      </c>
      <c r="H223" s="29">
        <f t="shared" si="164"/>
        <v>57764620314.45472</v>
      </c>
      <c r="I223" s="29">
        <f t="shared" si="164"/>
        <v>68716645739.364342</v>
      </c>
      <c r="J223" s="29">
        <f t="shared" si="164"/>
        <v>79161638852.903198</v>
      </c>
      <c r="K223" s="29">
        <f t="shared" si="164"/>
        <v>88826027870.354858</v>
      </c>
    </row>
    <row r="224" spans="3:11" x14ac:dyDescent="0.25">
      <c r="C224" s="17" t="s">
        <v>297</v>
      </c>
      <c r="D224" s="196">
        <f>D113</f>
        <v>804355399</v>
      </c>
      <c r="E224" s="196">
        <f>E113</f>
        <v>1106272259</v>
      </c>
      <c r="F224" s="196">
        <f>F113</f>
        <v>1190005525</v>
      </c>
      <c r="G224" s="29">
        <f t="shared" si="164"/>
        <v>1514701385.3088603</v>
      </c>
      <c r="H224" s="29">
        <f t="shared" si="164"/>
        <v>1864940996.4836938</v>
      </c>
      <c r="I224" s="29">
        <f t="shared" si="164"/>
        <v>2218529076.8390784</v>
      </c>
      <c r="J224" s="29">
        <f t="shared" si="164"/>
        <v>2555747529.2306728</v>
      </c>
      <c r="K224" s="29">
        <f t="shared" si="164"/>
        <v>2867764040.1416302</v>
      </c>
    </row>
    <row r="225" spans="3:11" x14ac:dyDescent="0.25">
      <c r="C225" s="17" t="s">
        <v>263</v>
      </c>
      <c r="D225" s="196">
        <f>D121</f>
        <v>36195672039</v>
      </c>
      <c r="E225" s="196">
        <f>E121</f>
        <v>45194793934</v>
      </c>
      <c r="F225" s="196">
        <f>F121</f>
        <v>46096201350</v>
      </c>
      <c r="G225" s="29">
        <f t="shared" si="164"/>
        <v>58673660395.249969</v>
      </c>
      <c r="H225" s="29">
        <f t="shared" si="164"/>
        <v>72240585336.594955</v>
      </c>
      <c r="I225" s="29">
        <f t="shared" si="164"/>
        <v>85937216994.68898</v>
      </c>
      <c r="J225" s="29">
        <f t="shared" si="164"/>
        <v>98999752717.267517</v>
      </c>
      <c r="K225" s="29">
        <f t="shared" si="164"/>
        <v>111086062914.42055</v>
      </c>
    </row>
    <row r="226" spans="3:11" x14ac:dyDescent="0.25">
      <c r="C226" s="13" t="s">
        <v>179</v>
      </c>
      <c r="D226" s="233">
        <f>SUM(D221:D225)</f>
        <v>111772811774</v>
      </c>
      <c r="E226" s="233">
        <f t="shared" ref="E226:G226" si="165">SUM(E221:E225)</f>
        <v>183441165459</v>
      </c>
      <c r="F226" s="233">
        <f t="shared" si="165"/>
        <v>242964513262</v>
      </c>
      <c r="G226" s="233">
        <f t="shared" si="165"/>
        <v>309257963166.88892</v>
      </c>
      <c r="H226" s="233">
        <f t="shared" ref="H226" si="166">SUM(H221:H225)</f>
        <v>380766703980.6474</v>
      </c>
      <c r="I226" s="233">
        <f t="shared" ref="I226" si="167">SUM(I221:I225)</f>
        <v>452959104800.62756</v>
      </c>
      <c r="J226" s="233">
        <f t="shared" ref="J226" si="168">SUM(J221:J225)</f>
        <v>521809303750.99689</v>
      </c>
      <c r="K226" s="233">
        <f t="shared" ref="K226" si="169">SUM(K221:K225)</f>
        <v>585513999326.41296</v>
      </c>
    </row>
    <row r="227" spans="3:11" x14ac:dyDescent="0.25">
      <c r="E227" s="7"/>
      <c r="F227" s="7"/>
      <c r="G227" s="7"/>
      <c r="H227" s="7"/>
      <c r="I227" s="7"/>
      <c r="J227" s="7"/>
      <c r="K227" s="7"/>
    </row>
    <row r="228" spans="3:11" x14ac:dyDescent="0.25">
      <c r="C228" s="6" t="s">
        <v>175</v>
      </c>
      <c r="D228" s="196">
        <f>D218-D226</f>
        <v>-43374753</v>
      </c>
      <c r="E228" s="196">
        <f t="shared" ref="E228:K228" si="170">E218-E226</f>
        <v>-33303745994</v>
      </c>
      <c r="F228" s="196">
        <f t="shared" si="170"/>
        <v>-26221149398</v>
      </c>
      <c r="G228" s="196">
        <f t="shared" si="170"/>
        <v>-33375652871.47821</v>
      </c>
      <c r="H228" s="196">
        <f t="shared" si="170"/>
        <v>-41092999536.49707</v>
      </c>
      <c r="I228" s="196">
        <f t="shared" si="170"/>
        <v>-48884127968.737366</v>
      </c>
      <c r="J228" s="196">
        <f t="shared" si="170"/>
        <v>-56314560209.732483</v>
      </c>
      <c r="K228" s="196">
        <f t="shared" si="170"/>
        <v>-63189680850.234497</v>
      </c>
    </row>
    <row r="229" spans="3:11" x14ac:dyDescent="0.25">
      <c r="C229" s="6" t="s">
        <v>176</v>
      </c>
      <c r="D229" s="1">
        <f t="shared" ref="D229:K229" si="171">D228/D202</f>
        <v>-1.5255932592638975E-3</v>
      </c>
      <c r="E229" s="1">
        <f t="shared" si="171"/>
        <v>-0.78049038880803223</v>
      </c>
      <c r="F229" s="1">
        <f t="shared" si="171"/>
        <v>-0.41957098803299847</v>
      </c>
      <c r="G229" s="1">
        <f t="shared" si="171"/>
        <v>-0.41957098803299847</v>
      </c>
      <c r="H229" s="1">
        <f t="shared" si="171"/>
        <v>-0.41957098803299869</v>
      </c>
      <c r="I229" s="1">
        <f t="shared" si="171"/>
        <v>-0.41957098803299847</v>
      </c>
      <c r="J229" s="1">
        <f t="shared" si="171"/>
        <v>-0.4195709880329983</v>
      </c>
      <c r="K229" s="1">
        <f t="shared" si="171"/>
        <v>-0.41957098803299847</v>
      </c>
    </row>
    <row r="230" spans="3:11" x14ac:dyDescent="0.25">
      <c r="C230" s="6" t="s">
        <v>177</v>
      </c>
      <c r="D230" s="196"/>
      <c r="E230" s="196">
        <f>D228-E228</f>
        <v>33260371241</v>
      </c>
      <c r="F230" s="196">
        <f t="shared" ref="F230:K230" si="172">E228-F228</f>
        <v>-7082596596</v>
      </c>
      <c r="G230" s="196">
        <f t="shared" si="172"/>
        <v>7154503473.4782104</v>
      </c>
      <c r="H230" s="196">
        <f t="shared" si="172"/>
        <v>7717346665.0188599</v>
      </c>
      <c r="I230" s="196">
        <f t="shared" si="172"/>
        <v>7791128432.2402954</v>
      </c>
      <c r="J230" s="196">
        <f t="shared" si="172"/>
        <v>7430432240.9951172</v>
      </c>
      <c r="K230" s="196">
        <f t="shared" si="172"/>
        <v>6875120640.5020142</v>
      </c>
    </row>
    <row r="232" spans="3:11" x14ac:dyDescent="0.25">
      <c r="C232" s="13" t="s">
        <v>180</v>
      </c>
    </row>
    <row r="233" spans="3:11" x14ac:dyDescent="0.25">
      <c r="C233" s="51" t="s">
        <v>45</v>
      </c>
      <c r="D233" s="52">
        <f t="shared" ref="D233:K233" si="173">D$13</f>
        <v>2023</v>
      </c>
      <c r="E233" s="52">
        <f t="shared" si="173"/>
        <v>2024</v>
      </c>
      <c r="F233" s="52">
        <f t="shared" si="173"/>
        <v>2025</v>
      </c>
      <c r="G233" s="53">
        <f t="shared" si="173"/>
        <v>2026</v>
      </c>
      <c r="H233" s="53">
        <f t="shared" si="173"/>
        <v>2027</v>
      </c>
      <c r="I233" s="53">
        <f t="shared" si="173"/>
        <v>2028</v>
      </c>
      <c r="J233" s="53">
        <f t="shared" si="173"/>
        <v>2029</v>
      </c>
      <c r="K233" s="53">
        <f t="shared" si="173"/>
        <v>2030</v>
      </c>
    </row>
    <row r="234" spans="3:11" x14ac:dyDescent="0.25">
      <c r="C234" s="45" t="s">
        <v>46</v>
      </c>
      <c r="D234" s="46">
        <f t="shared" ref="D234:K234" si="174">D$14</f>
        <v>45291</v>
      </c>
      <c r="E234" s="46">
        <f t="shared" si="174"/>
        <v>45657</v>
      </c>
      <c r="F234" s="46">
        <f t="shared" si="174"/>
        <v>46022</v>
      </c>
      <c r="G234" s="46">
        <f t="shared" si="174"/>
        <v>46387</v>
      </c>
      <c r="H234" s="46">
        <f t="shared" si="174"/>
        <v>46752</v>
      </c>
      <c r="I234" s="46">
        <f t="shared" si="174"/>
        <v>47118</v>
      </c>
      <c r="J234" s="46">
        <f t="shared" si="174"/>
        <v>47483</v>
      </c>
      <c r="K234" s="46">
        <f t="shared" si="174"/>
        <v>47848</v>
      </c>
    </row>
    <row r="236" spans="3:11" x14ac:dyDescent="0.25">
      <c r="C236" s="13" t="s">
        <v>181</v>
      </c>
      <c r="D236" s="196"/>
      <c r="E236" s="196"/>
      <c r="F236" s="196"/>
      <c r="G236" s="196"/>
      <c r="H236" s="196"/>
      <c r="I236" s="196"/>
      <c r="J236" s="196"/>
      <c r="K236" s="196"/>
    </row>
    <row r="237" spans="3:11" x14ac:dyDescent="0.25">
      <c r="C237" s="31" t="s">
        <v>33</v>
      </c>
      <c r="D237" s="196"/>
      <c r="E237" s="196">
        <f>D238</f>
        <v>11210134651</v>
      </c>
      <c r="F237" s="196">
        <f t="shared" ref="F237:K237" si="175">E238</f>
        <v>9110911923</v>
      </c>
      <c r="G237" s="196">
        <f t="shared" si="175"/>
        <v>12123082302</v>
      </c>
      <c r="H237" s="196">
        <f t="shared" si="175"/>
        <v>12123082302</v>
      </c>
      <c r="I237" s="196">
        <f t="shared" si="175"/>
        <v>12123082302</v>
      </c>
      <c r="J237" s="196">
        <f t="shared" si="175"/>
        <v>12123082302</v>
      </c>
      <c r="K237" s="196">
        <f t="shared" si="175"/>
        <v>12123082302</v>
      </c>
    </row>
    <row r="238" spans="3:11" x14ac:dyDescent="0.25">
      <c r="C238" s="31" t="s">
        <v>182</v>
      </c>
      <c r="D238" s="196">
        <f>D106+D107+D108+D120+D122</f>
        <v>11210134651</v>
      </c>
      <c r="E238" s="196">
        <f>E106+E107+E108+E120+E122</f>
        <v>9110911923</v>
      </c>
      <c r="F238" s="196">
        <f>F106+F107+F108+F120+F122</f>
        <v>12123082302</v>
      </c>
      <c r="G238" s="196">
        <f>F238</f>
        <v>12123082302</v>
      </c>
      <c r="H238" s="196">
        <f t="shared" ref="H238:K238" si="176">G238</f>
        <v>12123082302</v>
      </c>
      <c r="I238" s="196">
        <f t="shared" si="176"/>
        <v>12123082302</v>
      </c>
      <c r="J238" s="196">
        <f t="shared" si="176"/>
        <v>12123082302</v>
      </c>
      <c r="K238" s="196">
        <f t="shared" si="176"/>
        <v>12123082302</v>
      </c>
    </row>
    <row r="239" spans="3:11" x14ac:dyDescent="0.25">
      <c r="C239" s="31" t="s">
        <v>183</v>
      </c>
      <c r="D239" s="196"/>
      <c r="E239" s="196">
        <f>AVERAGE(E237,E238)</f>
        <v>10160523287</v>
      </c>
      <c r="F239" s="196">
        <f>AVERAGE(F237,F238)</f>
        <v>10616997112.5</v>
      </c>
      <c r="G239" s="196">
        <f t="shared" ref="G239:K239" si="177">AVERAGE(G237,G238)</f>
        <v>12123082302</v>
      </c>
      <c r="H239" s="196">
        <f t="shared" si="177"/>
        <v>12123082302</v>
      </c>
      <c r="I239" s="196">
        <f t="shared" si="177"/>
        <v>12123082302</v>
      </c>
      <c r="J239" s="196">
        <f t="shared" si="177"/>
        <v>12123082302</v>
      </c>
      <c r="K239" s="196">
        <f t="shared" si="177"/>
        <v>12123082302</v>
      </c>
    </row>
    <row r="240" spans="3:11" x14ac:dyDescent="0.25">
      <c r="C240" s="31" t="s">
        <v>184</v>
      </c>
      <c r="D240" s="1"/>
      <c r="E240" s="1">
        <f>-E39/E239</f>
        <v>0.13467643037153348</v>
      </c>
      <c r="F240" s="1">
        <f>-F39/F239</f>
        <v>0.37077795211654296</v>
      </c>
      <c r="G240" s="228">
        <v>0.25</v>
      </c>
      <c r="H240" s="228">
        <v>0.23</v>
      </c>
      <c r="I240" s="228">
        <v>0.21</v>
      </c>
      <c r="J240" s="228">
        <v>0.2</v>
      </c>
      <c r="K240" s="228">
        <v>0.19</v>
      </c>
    </row>
    <row r="242" spans="3:11" x14ac:dyDescent="0.25">
      <c r="C242" s="13" t="s">
        <v>185</v>
      </c>
    </row>
    <row r="243" spans="3:11" x14ac:dyDescent="0.25">
      <c r="C243" s="17" t="s">
        <v>186</v>
      </c>
      <c r="D243" s="196">
        <f t="shared" ref="D243:K243" si="178">D84+D83+D96</f>
        <v>18237484805</v>
      </c>
      <c r="E243" s="196">
        <f t="shared" si="178"/>
        <v>59814413831</v>
      </c>
      <c r="F243" s="196">
        <f t="shared" si="178"/>
        <v>73910202041</v>
      </c>
      <c r="G243" s="196">
        <f t="shared" si="178"/>
        <v>85375987973.825851</v>
      </c>
      <c r="H243" s="196">
        <f t="shared" si="178"/>
        <v>99785236096.24527</v>
      </c>
      <c r="I243" s="196">
        <f t="shared" si="178"/>
        <v>117028361276.61354</v>
      </c>
      <c r="J243" s="196">
        <f t="shared" si="178"/>
        <v>137086138709.98431</v>
      </c>
      <c r="K243" s="196">
        <f t="shared" si="178"/>
        <v>161588362305.89154</v>
      </c>
    </row>
    <row r="244" spans="3:11" x14ac:dyDescent="0.25">
      <c r="C244" s="17" t="s">
        <v>187</v>
      </c>
      <c r="D244" s="196"/>
      <c r="E244" s="196">
        <f>AVERAGE(D243,E243)</f>
        <v>39025949318</v>
      </c>
      <c r="F244" s="196">
        <f>AVERAGE(E243,F243)</f>
        <v>66862307936</v>
      </c>
      <c r="G244" s="196">
        <f t="shared" ref="G244" si="179">AVERAGE(F243,G243)</f>
        <v>79643095007.412933</v>
      </c>
      <c r="H244" s="196">
        <f t="shared" ref="H244:K244" si="180">AVERAGE(H243,I243)</f>
        <v>108406798686.42941</v>
      </c>
      <c r="I244" s="196">
        <f t="shared" si="180"/>
        <v>127057249993.29892</v>
      </c>
      <c r="J244" s="196">
        <f t="shared" si="180"/>
        <v>149337250507.93793</v>
      </c>
      <c r="K244" s="196">
        <f t="shared" si="180"/>
        <v>161588362305.89154</v>
      </c>
    </row>
    <row r="245" spans="3:11" x14ac:dyDescent="0.25">
      <c r="C245" s="17" t="s">
        <v>188</v>
      </c>
      <c r="D245" s="1"/>
      <c r="E245" s="1"/>
      <c r="F245" s="1">
        <f>F38/F244</f>
        <v>6.3264554987376917E-2</v>
      </c>
      <c r="G245" s="1">
        <f>F245</f>
        <v>6.3264554987376917E-2</v>
      </c>
      <c r="H245" s="1">
        <f t="shared" ref="H245:K245" si="181">G245</f>
        <v>6.3264554987376917E-2</v>
      </c>
      <c r="I245" s="1">
        <f t="shared" si="181"/>
        <v>6.3264554987376917E-2</v>
      </c>
      <c r="J245" s="1">
        <f t="shared" si="181"/>
        <v>6.3264554987376917E-2</v>
      </c>
      <c r="K245" s="1">
        <f t="shared" si="181"/>
        <v>6.3264554987376917E-2</v>
      </c>
    </row>
    <row r="247" spans="3:11" x14ac:dyDescent="0.25">
      <c r="C247" s="6" t="s">
        <v>161</v>
      </c>
      <c r="D247" s="196"/>
      <c r="E247" s="196">
        <f>-E240*E237</f>
        <v>-1509740918.7809162</v>
      </c>
      <c r="F247" s="196">
        <f t="shared" ref="F247:G247" si="182">-F240*F237</f>
        <v>-3378125264.7241344</v>
      </c>
      <c r="G247" s="196">
        <f t="shared" si="182"/>
        <v>-3030770575.5</v>
      </c>
      <c r="H247" s="196">
        <f t="shared" ref="H247:K247" si="183">-H240*H237</f>
        <v>-2788308929.46</v>
      </c>
      <c r="I247" s="196">
        <f t="shared" si="183"/>
        <v>-2545847283.4200001</v>
      </c>
      <c r="J247" s="196">
        <f t="shared" si="183"/>
        <v>-2424616460.4000001</v>
      </c>
      <c r="K247" s="196">
        <f t="shared" si="183"/>
        <v>-2303385637.3800001</v>
      </c>
    </row>
    <row r="248" spans="3:11" x14ac:dyDescent="0.25">
      <c r="C248" s="6" t="s">
        <v>160</v>
      </c>
      <c r="D248" s="196"/>
      <c r="E248" s="196">
        <f>E245*D243</f>
        <v>0</v>
      </c>
      <c r="F248" s="196">
        <f>F245*E243</f>
        <v>3784132272.8490181</v>
      </c>
      <c r="G248" s="196">
        <f t="shared" ref="G248:K248" si="184">G245*F243</f>
        <v>4675896041.1509819</v>
      </c>
      <c r="H248" s="196">
        <f t="shared" si="184"/>
        <v>5401273885.7717361</v>
      </c>
      <c r="I248" s="196">
        <f t="shared" si="184"/>
        <v>6312868555.9392967</v>
      </c>
      <c r="J248" s="196">
        <f t="shared" si="184"/>
        <v>7403747197.0669289</v>
      </c>
      <c r="K248" s="196">
        <f t="shared" si="184"/>
        <v>8672693560.4249821</v>
      </c>
    </row>
    <row r="249" spans="3:11" x14ac:dyDescent="0.25">
      <c r="C249" s="6" t="s">
        <v>166</v>
      </c>
      <c r="D249" s="196"/>
      <c r="E249" s="196">
        <f>SUM(E247:E248)</f>
        <v>-1509740918.7809162</v>
      </c>
      <c r="F249" s="196">
        <f t="shared" ref="F249:K249" si="185">SUM(F247:F248)</f>
        <v>406007008.12488365</v>
      </c>
      <c r="G249" s="196">
        <f t="shared" si="185"/>
        <v>1645125465.6509819</v>
      </c>
      <c r="H249" s="196">
        <f t="shared" si="185"/>
        <v>2612964956.3117361</v>
      </c>
      <c r="I249" s="196">
        <f t="shared" si="185"/>
        <v>3767021272.5192966</v>
      </c>
      <c r="J249" s="196">
        <f t="shared" si="185"/>
        <v>4979130736.6669292</v>
      </c>
      <c r="K249" s="196">
        <f t="shared" si="185"/>
        <v>6369307923.044982</v>
      </c>
    </row>
    <row r="251" spans="3:11" x14ac:dyDescent="0.25">
      <c r="C251" s="13" t="s">
        <v>189</v>
      </c>
    </row>
    <row r="252" spans="3:11" x14ac:dyDescent="0.25">
      <c r="C252" s="51" t="s">
        <v>45</v>
      </c>
      <c r="D252" s="52">
        <f t="shared" ref="D252:K252" si="186">D$13</f>
        <v>2023</v>
      </c>
      <c r="E252" s="52">
        <f t="shared" si="186"/>
        <v>2024</v>
      </c>
      <c r="F252" s="52">
        <f t="shared" si="186"/>
        <v>2025</v>
      </c>
      <c r="G252" s="53">
        <f t="shared" si="186"/>
        <v>2026</v>
      </c>
      <c r="H252" s="53">
        <f t="shared" si="186"/>
        <v>2027</v>
      </c>
      <c r="I252" s="53">
        <f t="shared" si="186"/>
        <v>2028</v>
      </c>
      <c r="J252" s="53">
        <f t="shared" si="186"/>
        <v>2029</v>
      </c>
      <c r="K252" s="53">
        <f t="shared" si="186"/>
        <v>2030</v>
      </c>
    </row>
    <row r="253" spans="3:11" x14ac:dyDescent="0.25">
      <c r="C253" s="45" t="s">
        <v>46</v>
      </c>
      <c r="D253" s="46">
        <f t="shared" ref="D253:K253" si="187">D$14</f>
        <v>45291</v>
      </c>
      <c r="E253" s="46">
        <f t="shared" si="187"/>
        <v>45657</v>
      </c>
      <c r="F253" s="46">
        <f t="shared" si="187"/>
        <v>46022</v>
      </c>
      <c r="G253" s="46">
        <f t="shared" si="187"/>
        <v>46387</v>
      </c>
      <c r="H253" s="46">
        <f t="shared" si="187"/>
        <v>46752</v>
      </c>
      <c r="I253" s="46">
        <f t="shared" si="187"/>
        <v>47118</v>
      </c>
      <c r="J253" s="46">
        <f t="shared" si="187"/>
        <v>47483</v>
      </c>
      <c r="K253" s="46">
        <f t="shared" si="187"/>
        <v>47848</v>
      </c>
    </row>
    <row r="255" spans="3:11" x14ac:dyDescent="0.25">
      <c r="C255" s="13" t="s">
        <v>190</v>
      </c>
    </row>
    <row r="256" spans="3:11" x14ac:dyDescent="0.25">
      <c r="C256" s="17" t="s">
        <v>33</v>
      </c>
      <c r="D256" s="196"/>
      <c r="E256" s="196">
        <f>D260</f>
        <v>16959407149</v>
      </c>
      <c r="F256" s="196">
        <f t="shared" ref="F256:K256" si="188">E260</f>
        <v>45795587523</v>
      </c>
      <c r="G256" s="196">
        <f t="shared" si="188"/>
        <v>58967855362</v>
      </c>
      <c r="H256" s="196">
        <f t="shared" si="188"/>
        <v>71377714786.496353</v>
      </c>
      <c r="I256" s="196">
        <f t="shared" si="188"/>
        <v>87014934116.796143</v>
      </c>
      <c r="J256" s="196">
        <f t="shared" si="188"/>
        <v>105891671408.33276</v>
      </c>
      <c r="K256" s="196">
        <f t="shared" si="188"/>
        <v>127982371334.3398</v>
      </c>
    </row>
    <row r="257" spans="3:11" x14ac:dyDescent="0.25">
      <c r="C257" s="17" t="s">
        <v>191</v>
      </c>
      <c r="D257" s="196"/>
      <c r="E257" s="196">
        <f t="shared" ref="E257:K257" si="189">E48</f>
        <v>9025066065</v>
      </c>
      <c r="F257" s="196">
        <f t="shared" si="189"/>
        <v>14383890306</v>
      </c>
      <c r="G257" s="196">
        <f t="shared" si="189"/>
        <v>13129622028.231113</v>
      </c>
      <c r="H257" s="196">
        <f t="shared" si="189"/>
        <v>16468014457.080557</v>
      </c>
      <c r="I257" s="196">
        <f t="shared" si="189"/>
        <v>19925503901.506714</v>
      </c>
      <c r="J257" s="196">
        <f t="shared" si="189"/>
        <v>23291166221.364719</v>
      </c>
      <c r="K257" s="196">
        <f t="shared" si="189"/>
        <v>26552552173.61002</v>
      </c>
    </row>
    <row r="258" spans="3:11" x14ac:dyDescent="0.25">
      <c r="C258" s="17" t="s">
        <v>192</v>
      </c>
      <c r="D258" s="196"/>
      <c r="E258" s="196">
        <v>-573644203</v>
      </c>
      <c r="F258" s="196">
        <v>-662784950</v>
      </c>
      <c r="G258" s="196">
        <f>-G268*G48</f>
        <v>-719762603.7347548</v>
      </c>
      <c r="H258" s="196">
        <f>-H268*H48</f>
        <v>-830795126.7807616</v>
      </c>
      <c r="I258" s="196">
        <f>-I268*I48</f>
        <v>-1048766609.9700868</v>
      </c>
      <c r="J258" s="196">
        <f>-J268*J48</f>
        <v>-1200466295.3576872</v>
      </c>
      <c r="K258" s="196">
        <f>-K268*K48</f>
        <v>-1383070439.843473</v>
      </c>
    </row>
    <row r="259" spans="3:11" x14ac:dyDescent="0.25">
      <c r="C259" s="17" t="s">
        <v>193</v>
      </c>
      <c r="D259" s="196"/>
      <c r="E259" s="199">
        <v>0</v>
      </c>
      <c r="F259" s="199">
        <v>0</v>
      </c>
      <c r="G259" s="199">
        <v>0</v>
      </c>
      <c r="H259" s="199">
        <v>0</v>
      </c>
      <c r="I259" s="199">
        <v>0</v>
      </c>
      <c r="J259" s="199">
        <v>0</v>
      </c>
      <c r="K259" s="199">
        <v>0</v>
      </c>
    </row>
    <row r="260" spans="3:11" x14ac:dyDescent="0.25">
      <c r="C260" s="17" t="s">
        <v>194</v>
      </c>
      <c r="D260" s="196">
        <f>D136</f>
        <v>16959407149</v>
      </c>
      <c r="E260" s="196">
        <f>E136</f>
        <v>45795587523</v>
      </c>
      <c r="F260" s="196">
        <f>F136</f>
        <v>58967855362</v>
      </c>
      <c r="G260" s="196">
        <f>SUM(G256:G259)</f>
        <v>71377714786.496353</v>
      </c>
      <c r="H260" s="196">
        <f t="shared" ref="H260:K260" si="190">SUM(H256:H259)</f>
        <v>87014934116.796143</v>
      </c>
      <c r="I260" s="196">
        <f t="shared" si="190"/>
        <v>105891671408.33276</v>
      </c>
      <c r="J260" s="196">
        <f t="shared" si="190"/>
        <v>127982371334.3398</v>
      </c>
      <c r="K260" s="196">
        <f t="shared" si="190"/>
        <v>153151853068.10635</v>
      </c>
    </row>
    <row r="261" spans="3:11" x14ac:dyDescent="0.25">
      <c r="D261" s="196"/>
      <c r="E261" s="196"/>
      <c r="F261" s="196"/>
      <c r="G261" s="196"/>
      <c r="H261" s="196"/>
      <c r="I261" s="196"/>
      <c r="J261" s="196"/>
      <c r="K261" s="196"/>
    </row>
    <row r="262" spans="3:11" x14ac:dyDescent="0.25">
      <c r="C262" s="13" t="s">
        <v>195</v>
      </c>
      <c r="D262" s="196"/>
      <c r="E262" s="196"/>
      <c r="F262" s="196"/>
      <c r="G262" s="196"/>
      <c r="H262" s="196"/>
      <c r="I262" s="196"/>
      <c r="J262" s="196"/>
      <c r="K262" s="196"/>
    </row>
    <row r="263" spans="3:11" x14ac:dyDescent="0.25">
      <c r="C263" s="17" t="s">
        <v>33</v>
      </c>
      <c r="D263" s="196"/>
      <c r="E263" s="196">
        <f>D266</f>
        <v>666961664</v>
      </c>
      <c r="F263" s="196">
        <f t="shared" ref="F263:K263" si="191">E266</f>
        <v>60725976943</v>
      </c>
      <c r="G263" s="196">
        <f t="shared" si="191"/>
        <v>76660564745</v>
      </c>
      <c r="H263" s="196">
        <f t="shared" si="191"/>
        <v>78677389584.646591</v>
      </c>
      <c r="I263" s="196">
        <f t="shared" si="191"/>
        <v>81207020715.3284</v>
      </c>
      <c r="J263" s="196">
        <f t="shared" si="191"/>
        <v>84267752480.845016</v>
      </c>
      <c r="K263" s="196">
        <f t="shared" si="191"/>
        <v>87845479431.292068</v>
      </c>
    </row>
    <row r="264" spans="3:11" x14ac:dyDescent="0.25">
      <c r="C264" s="17" t="s">
        <v>196</v>
      </c>
      <c r="D264" s="196">
        <f t="shared" ref="D264:K264" si="192">D49</f>
        <v>33941588</v>
      </c>
      <c r="E264" s="196">
        <f t="shared" si="192"/>
        <v>3744451260</v>
      </c>
      <c r="F264" s="196">
        <f t="shared" si="192"/>
        <v>3818091176</v>
      </c>
      <c r="G264" s="196">
        <f t="shared" si="192"/>
        <v>3485155472.11129</v>
      </c>
      <c r="H264" s="196">
        <f t="shared" si="192"/>
        <v>4371305630.6187115</v>
      </c>
      <c r="I264" s="196">
        <f t="shared" si="192"/>
        <v>5289069160.3760309</v>
      </c>
      <c r="J264" s="196">
        <f t="shared" si="192"/>
        <v>6182457898.1561861</v>
      </c>
      <c r="K264" s="196">
        <f t="shared" si="192"/>
        <v>7048167289.7665968</v>
      </c>
    </row>
    <row r="265" spans="3:11" x14ac:dyDescent="0.25">
      <c r="C265" s="17" t="s">
        <v>197</v>
      </c>
      <c r="D265" s="196"/>
      <c r="E265" s="196">
        <v>-758587070</v>
      </c>
      <c r="F265" s="196">
        <v>-2443693751</v>
      </c>
      <c r="G265" s="196">
        <f>-AVERAGE(-$E$265/$E$49,-$F$265/$F$49)*G49</f>
        <v>-1468330632.4647133</v>
      </c>
      <c r="H265" s="196">
        <f>-AVERAGE(-$E$265/$E$49,-$F$265/$F$49)*H49</f>
        <v>-1841674499.9369071</v>
      </c>
      <c r="I265" s="196">
        <f>-AVERAGE(-$E$265/$E$49,-$F$265/$F$49)*I49</f>
        <v>-2228337394.859427</v>
      </c>
      <c r="J265" s="196">
        <f>-AVERAGE(-$E$265/$E$49,-$F$265/$F$49)*J49</f>
        <v>-2604730947.7091398</v>
      </c>
      <c r="K265" s="196">
        <f>-AVERAGE(-$E$265/$E$49,-$F$265/$F$49)*K49</f>
        <v>-2969462916.9672866</v>
      </c>
    </row>
    <row r="266" spans="3:11" x14ac:dyDescent="0.25">
      <c r="C266" s="17" t="s">
        <v>194</v>
      </c>
      <c r="D266" s="196">
        <f>D138</f>
        <v>666961664</v>
      </c>
      <c r="E266" s="196">
        <f>E138</f>
        <v>60725976943</v>
      </c>
      <c r="F266" s="196">
        <f>F138</f>
        <v>76660564745</v>
      </c>
      <c r="G266" s="196">
        <f>SUM(G263:G265)</f>
        <v>78677389584.646591</v>
      </c>
      <c r="H266" s="196">
        <f t="shared" ref="H266:K266" si="193">SUM(H263:H265)</f>
        <v>81207020715.3284</v>
      </c>
      <c r="I266" s="196">
        <f t="shared" si="193"/>
        <v>84267752480.845016</v>
      </c>
      <c r="J266" s="196">
        <f t="shared" si="193"/>
        <v>87845479431.292068</v>
      </c>
      <c r="K266" s="196">
        <f t="shared" si="193"/>
        <v>91924183804.091385</v>
      </c>
    </row>
    <row r="267" spans="3:11" x14ac:dyDescent="0.25">
      <c r="D267" s="196"/>
      <c r="E267" s="196"/>
      <c r="F267" s="196"/>
      <c r="G267" s="196"/>
      <c r="H267" s="196"/>
      <c r="I267" s="196"/>
      <c r="J267" s="196"/>
      <c r="K267" s="196"/>
    </row>
    <row r="268" spans="3:11" x14ac:dyDescent="0.25">
      <c r="C268" s="6" t="s">
        <v>41</v>
      </c>
      <c r="D268" s="1"/>
      <c r="E268" s="261">
        <f>-E258/E48</f>
        <v>6.3561219260725707E-2</v>
      </c>
      <c r="F268" s="261">
        <f>-F258/F48</f>
        <v>4.6078281737419138E-2</v>
      </c>
      <c r="G268" s="261">
        <f>AVERAGE(E$268:F$268)</f>
        <v>5.4819750499072423E-2</v>
      </c>
      <c r="H268" s="261">
        <f t="shared" ref="H268:K268" si="194">AVERAGE(F$268:G$268)</f>
        <v>5.0449016118245781E-2</v>
      </c>
      <c r="I268" s="261">
        <f t="shared" si="194"/>
        <v>5.2634383308659105E-2</v>
      </c>
      <c r="J268" s="261">
        <f t="shared" si="194"/>
        <v>5.1541699713452446E-2</v>
      </c>
      <c r="K268" s="261">
        <f t="shared" si="194"/>
        <v>5.2088041511055776E-2</v>
      </c>
    </row>
    <row r="269" spans="3:11" x14ac:dyDescent="0.25">
      <c r="C269" s="6" t="s">
        <v>198</v>
      </c>
      <c r="D269" s="1">
        <f>D49/D47</f>
        <v>1.0140043464556318E-2</v>
      </c>
      <c r="E269" s="1">
        <f>E49/E47</f>
        <v>0.2932335784273663</v>
      </c>
      <c r="F269" s="1">
        <f>F49/F47</f>
        <v>0.20976239206570577</v>
      </c>
      <c r="G269" s="1">
        <f>F269</f>
        <v>0.20976239206570577</v>
      </c>
      <c r="H269" s="1">
        <f t="shared" ref="H269:K269" si="195">G269</f>
        <v>0.20976239206570577</v>
      </c>
      <c r="I269" s="1">
        <f t="shared" si="195"/>
        <v>0.20976239206570577</v>
      </c>
      <c r="J269" s="1">
        <f t="shared" si="195"/>
        <v>0.20976239206570577</v>
      </c>
      <c r="K269" s="1">
        <f t="shared" si="195"/>
        <v>0.20976239206570577</v>
      </c>
    </row>
  </sheetData>
  <conditionalFormatting sqref="C63:C66">
    <cfRule type="expression" dxfId="2" priority="1">
      <formula>#REF!=$C63</formula>
    </cfRule>
  </conditionalFormatting>
  <pageMargins left="0.7" right="0.7" top="0.75" bottom="0.75" header="0.511811023622047" footer="0.511811023622047"/>
  <pageSetup orientation="portrait" horizontalDpi="300" verticalDpi="30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1C78B-746E-4B38-A917-82AB9CD19F60}">
  <dimension ref="B1:G52"/>
  <sheetViews>
    <sheetView zoomScaleNormal="100" workbookViewId="0">
      <selection activeCell="C6" sqref="C6"/>
    </sheetView>
  </sheetViews>
  <sheetFormatPr defaultColWidth="8.7109375" defaultRowHeight="15" x14ac:dyDescent="0.25"/>
  <cols>
    <col min="1" max="1" width="2" style="262" customWidth="1"/>
    <col min="2" max="2" width="83.28515625" style="262" bestFit="1" customWidth="1"/>
    <col min="3" max="3" width="15.28515625" style="262" bestFit="1" customWidth="1"/>
    <col min="4" max="7" width="15" style="262" customWidth="1"/>
    <col min="8" max="16384" width="8.7109375" style="262"/>
  </cols>
  <sheetData>
    <row r="1" spans="2:3" ht="15.75" thickBot="1" x14ac:dyDescent="0.3"/>
    <row r="2" spans="2:3" ht="15.75" customHeight="1" thickBot="1" x14ac:dyDescent="0.3">
      <c r="B2" s="55" t="s">
        <v>301</v>
      </c>
    </row>
    <row r="3" spans="2:3" ht="15" customHeight="1" x14ac:dyDescent="0.25">
      <c r="B3" s="263" t="s">
        <v>302</v>
      </c>
    </row>
    <row r="5" spans="2:3" s="264" customFormat="1" ht="15" customHeight="1" x14ac:dyDescent="0.25">
      <c r="B5" s="265" t="s">
        <v>332</v>
      </c>
    </row>
    <row r="6" spans="2:3" ht="15" customHeight="1" x14ac:dyDescent="0.25">
      <c r="B6" s="3" t="s">
        <v>303</v>
      </c>
      <c r="C6" s="266">
        <v>441000000000</v>
      </c>
    </row>
    <row r="7" spans="2:3" ht="15" customHeight="1" x14ac:dyDescent="0.25">
      <c r="B7" s="3" t="s">
        <v>304</v>
      </c>
      <c r="C7" s="227">
        <f>(FSM!F59-FSM!F63)*(1-FSM!F67)</f>
        <v>0.18464760755780932</v>
      </c>
    </row>
    <row r="8" spans="2:3" ht="15" customHeight="1" x14ac:dyDescent="0.25">
      <c r="B8" s="3" t="s">
        <v>305</v>
      </c>
      <c r="C8" s="267">
        <v>115000000</v>
      </c>
    </row>
    <row r="9" spans="2:3" ht="15" customHeight="1" x14ac:dyDescent="0.25">
      <c r="B9" s="3" t="s">
        <v>306</v>
      </c>
      <c r="C9" s="268">
        <v>1000</v>
      </c>
    </row>
    <row r="10" spans="2:3" ht="15" customHeight="1" x14ac:dyDescent="0.25">
      <c r="B10" s="3" t="s">
        <v>307</v>
      </c>
      <c r="C10" s="227">
        <v>0.18</v>
      </c>
    </row>
    <row r="11" spans="2:3" ht="15" customHeight="1" x14ac:dyDescent="0.25">
      <c r="B11" s="3" t="s">
        <v>31</v>
      </c>
      <c r="C11" s="269">
        <f>FSM!D10</f>
        <v>2060653786</v>
      </c>
    </row>
    <row r="12" spans="2:3" ht="15" customHeight="1" x14ac:dyDescent="0.25">
      <c r="B12" s="3" t="s">
        <v>308</v>
      </c>
      <c r="C12" s="282">
        <f>FSM!D7</f>
        <v>97</v>
      </c>
    </row>
    <row r="14" spans="2:3" s="264" customFormat="1" ht="15" customHeight="1" x14ac:dyDescent="0.25">
      <c r="B14" s="265" t="s">
        <v>333</v>
      </c>
    </row>
    <row r="15" spans="2:3" ht="15" customHeight="1" x14ac:dyDescent="0.25">
      <c r="B15" s="3" t="s">
        <v>309</v>
      </c>
      <c r="C15" s="269">
        <f>FSM!F137</f>
        <v>81047576020</v>
      </c>
    </row>
    <row r="16" spans="2:3" ht="15" customHeight="1" x14ac:dyDescent="0.25">
      <c r="B16" s="3" t="s">
        <v>310</v>
      </c>
      <c r="C16" s="269">
        <f>FSM!F138</f>
        <v>76660564745</v>
      </c>
    </row>
    <row r="17" spans="2:3" ht="15" customHeight="1" x14ac:dyDescent="0.25">
      <c r="B17" s="3" t="s">
        <v>311</v>
      </c>
      <c r="C17" s="269">
        <f>FSM!F84</f>
        <v>44846514337</v>
      </c>
    </row>
    <row r="18" spans="2:3" ht="15" customHeight="1" x14ac:dyDescent="0.25">
      <c r="B18" s="3" t="s">
        <v>312</v>
      </c>
      <c r="C18" s="269">
        <f>FSM!F83+FSM!F96</f>
        <v>29063687704</v>
      </c>
    </row>
    <row r="19" spans="2:3" ht="15" customHeight="1" x14ac:dyDescent="0.25">
      <c r="B19" s="3" t="s">
        <v>313</v>
      </c>
      <c r="C19" s="269">
        <f>FSM!F82+FSM!F95</f>
        <v>3375236930</v>
      </c>
    </row>
    <row r="20" spans="2:3" ht="15" customHeight="1" x14ac:dyDescent="0.25">
      <c r="B20" s="3" t="s">
        <v>314</v>
      </c>
      <c r="C20" s="269">
        <f>-FSM!F238</f>
        <v>-12123082302</v>
      </c>
    </row>
    <row r="21" spans="2:3" ht="15" customHeight="1" x14ac:dyDescent="0.25">
      <c r="B21" s="265" t="s">
        <v>315</v>
      </c>
      <c r="C21" s="271">
        <f>SUM(C17:C20)</f>
        <v>65162356669</v>
      </c>
    </row>
    <row r="22" spans="2:3" ht="15" customHeight="1" x14ac:dyDescent="0.25">
      <c r="B22" s="3" t="s">
        <v>316</v>
      </c>
      <c r="C22" s="269">
        <f>FSM!F89</f>
        <v>23636141834</v>
      </c>
    </row>
    <row r="24" spans="2:3" s="264" customFormat="1" ht="15" customHeight="1" x14ac:dyDescent="0.25">
      <c r="B24" s="265" t="s">
        <v>334</v>
      </c>
    </row>
    <row r="25" spans="2:3" ht="15" customHeight="1" x14ac:dyDescent="0.25">
      <c r="B25" s="3" t="s">
        <v>309</v>
      </c>
      <c r="C25" s="272">
        <f>C15</f>
        <v>81047576020</v>
      </c>
    </row>
    <row r="26" spans="2:3" ht="15" customHeight="1" x14ac:dyDescent="0.25">
      <c r="B26" s="3" t="s">
        <v>317</v>
      </c>
      <c r="C26" s="272">
        <f>C6*C7</f>
        <v>81429594932.993912</v>
      </c>
    </row>
    <row r="27" spans="2:3" ht="15" customHeight="1" x14ac:dyDescent="0.25">
      <c r="B27" s="3" t="s">
        <v>318</v>
      </c>
      <c r="C27" s="272">
        <f>C8*C9</f>
        <v>115000000000</v>
      </c>
    </row>
    <row r="28" spans="2:3" ht="15" customHeight="1" x14ac:dyDescent="0.25">
      <c r="B28" s="265" t="s">
        <v>319</v>
      </c>
      <c r="C28" s="271">
        <f>C26+C27</f>
        <v>196429594932.9939</v>
      </c>
    </row>
    <row r="29" spans="2:3" ht="15" customHeight="1" x14ac:dyDescent="0.25">
      <c r="B29" s="3" t="s">
        <v>320</v>
      </c>
      <c r="C29" s="272">
        <f>-C28*C10</f>
        <v>-35357327087.938904</v>
      </c>
    </row>
    <row r="30" spans="2:3" ht="15" customHeight="1" x14ac:dyDescent="0.25">
      <c r="B30" s="265" t="s">
        <v>321</v>
      </c>
      <c r="C30" s="271">
        <f>C28+C29</f>
        <v>161072267845.05499</v>
      </c>
    </row>
    <row r="31" spans="2:3" ht="15" customHeight="1" x14ac:dyDescent="0.25">
      <c r="B31" s="265" t="s">
        <v>322</v>
      </c>
      <c r="C31" s="271">
        <f>C25+C30</f>
        <v>242119843865.05499</v>
      </c>
    </row>
    <row r="32" spans="2:3" ht="15" customHeight="1" x14ac:dyDescent="0.25">
      <c r="B32" s="265" t="s">
        <v>323</v>
      </c>
      <c r="C32" s="273">
        <f>C31/C11</f>
        <v>117.49661467152202</v>
      </c>
    </row>
    <row r="33" spans="2:7" ht="15" customHeight="1" x14ac:dyDescent="0.25">
      <c r="B33" s="3" t="s">
        <v>308</v>
      </c>
      <c r="C33" s="274">
        <f>C12</f>
        <v>97</v>
      </c>
    </row>
    <row r="34" spans="2:7" ht="15" customHeight="1" x14ac:dyDescent="0.25">
      <c r="B34" s="265" t="s">
        <v>324</v>
      </c>
      <c r="C34" s="275">
        <f>C32/C33-1</f>
        <v>0.2113053058919796</v>
      </c>
    </row>
    <row r="37" spans="2:7" s="264" customFormat="1" ht="15" customHeight="1" x14ac:dyDescent="0.25">
      <c r="B37" s="265" t="s">
        <v>335</v>
      </c>
    </row>
    <row r="38" spans="2:7" ht="15" customHeight="1" x14ac:dyDescent="0.25">
      <c r="B38" s="276" t="s">
        <v>325</v>
      </c>
      <c r="C38" s="277">
        <v>500</v>
      </c>
      <c r="D38" s="277">
        <v>1000</v>
      </c>
      <c r="E38" s="277">
        <v>1500</v>
      </c>
      <c r="F38" s="277">
        <v>2000</v>
      </c>
      <c r="G38" s="277">
        <v>2500</v>
      </c>
    </row>
    <row r="39" spans="2:7" ht="15" customHeight="1" x14ac:dyDescent="0.25">
      <c r="B39" s="278">
        <v>0.1</v>
      </c>
      <c r="C39" s="274">
        <f t="shared" ref="C39:G43" si="0">($C$15 + (($C$6*$B39 + $C$8*C$38)*(1-$C$10)))/$C$11</f>
        <v>79.760888091271042</v>
      </c>
      <c r="D39" s="274">
        <f t="shared" si="0"/>
        <v>102.64197579282248</v>
      </c>
      <c r="E39" s="274">
        <f t="shared" si="0"/>
        <v>125.52306349437391</v>
      </c>
      <c r="F39" s="274">
        <f t="shared" si="0"/>
        <v>148.40415119592535</v>
      </c>
      <c r="G39" s="274">
        <f t="shared" si="0"/>
        <v>171.28523889747677</v>
      </c>
    </row>
    <row r="40" spans="2:7" ht="15" customHeight="1" x14ac:dyDescent="0.25">
      <c r="B40" s="278">
        <v>0.125</v>
      </c>
      <c r="C40" s="274">
        <f t="shared" si="0"/>
        <v>84.148087950568524</v>
      </c>
      <c r="D40" s="274">
        <f t="shared" si="0"/>
        <v>107.02917565211995</v>
      </c>
      <c r="E40" s="274">
        <f t="shared" si="0"/>
        <v>129.91026335367138</v>
      </c>
      <c r="F40" s="274">
        <f t="shared" si="0"/>
        <v>152.79135105522283</v>
      </c>
      <c r="G40" s="274">
        <f t="shared" si="0"/>
        <v>175.67243875677426</v>
      </c>
    </row>
    <row r="41" spans="2:7" ht="15" customHeight="1" x14ac:dyDescent="0.25">
      <c r="B41" s="278">
        <v>0.15</v>
      </c>
      <c r="C41" s="274">
        <f t="shared" si="0"/>
        <v>88.535287809865991</v>
      </c>
      <c r="D41" s="279">
        <f t="shared" si="0"/>
        <v>111.41637551141743</v>
      </c>
      <c r="E41" s="274">
        <f t="shared" si="0"/>
        <v>134.29746321296886</v>
      </c>
      <c r="F41" s="274">
        <f t="shared" si="0"/>
        <v>157.17855091452029</v>
      </c>
      <c r="G41" s="274">
        <f t="shared" si="0"/>
        <v>180.05963861607174</v>
      </c>
    </row>
    <row r="42" spans="2:7" ht="15" customHeight="1" x14ac:dyDescent="0.25">
      <c r="B42" s="278">
        <v>0.17499999999999999</v>
      </c>
      <c r="C42" s="274">
        <f t="shared" si="0"/>
        <v>92.922487669163459</v>
      </c>
      <c r="D42" s="274">
        <f t="shared" si="0"/>
        <v>115.8035753707149</v>
      </c>
      <c r="E42" s="274">
        <f t="shared" si="0"/>
        <v>138.68466307226632</v>
      </c>
      <c r="F42" s="274">
        <f t="shared" si="0"/>
        <v>161.56575077381777</v>
      </c>
      <c r="G42" s="274">
        <f t="shared" si="0"/>
        <v>184.44683847536919</v>
      </c>
    </row>
    <row r="43" spans="2:7" ht="15" customHeight="1" x14ac:dyDescent="0.25">
      <c r="B43" s="278">
        <v>0.2</v>
      </c>
      <c r="C43" s="274">
        <f t="shared" si="0"/>
        <v>97.309687528460927</v>
      </c>
      <c r="D43" s="274">
        <f t="shared" si="0"/>
        <v>120.19077523001236</v>
      </c>
      <c r="E43" s="274">
        <f t="shared" si="0"/>
        <v>143.0718629315638</v>
      </c>
      <c r="F43" s="274">
        <f t="shared" si="0"/>
        <v>165.95295063311522</v>
      </c>
      <c r="G43" s="274">
        <f t="shared" si="0"/>
        <v>188.83403833466667</v>
      </c>
    </row>
    <row r="46" spans="2:7" s="264" customFormat="1" ht="15" customHeight="1" x14ac:dyDescent="0.25">
      <c r="B46" s="265" t="s">
        <v>336</v>
      </c>
    </row>
    <row r="47" spans="2:7" ht="15" customHeight="1" x14ac:dyDescent="0.25">
      <c r="B47" s="3" t="s">
        <v>326</v>
      </c>
      <c r="C47" s="270">
        <v>119.7</v>
      </c>
    </row>
    <row r="48" spans="2:7" ht="15" customHeight="1" x14ac:dyDescent="0.25">
      <c r="B48" s="3" t="s">
        <v>327</v>
      </c>
      <c r="C48" s="270">
        <v>130</v>
      </c>
    </row>
    <row r="49" spans="2:3" ht="15" customHeight="1" x14ac:dyDescent="0.25">
      <c r="B49" s="3" t="s">
        <v>328</v>
      </c>
      <c r="C49" s="272">
        <f>AVERAGE(C47:C48)*C11</f>
        <v>257272625182.09998</v>
      </c>
    </row>
    <row r="50" spans="2:3" ht="15" customHeight="1" x14ac:dyDescent="0.25">
      <c r="B50" s="3" t="s">
        <v>329</v>
      </c>
      <c r="C50" s="227">
        <f>C32/AVERAGE(C47:C48)-1</f>
        <v>-5.8897759939751437E-2</v>
      </c>
    </row>
    <row r="51" spans="2:3" ht="15" customHeight="1" x14ac:dyDescent="0.25">
      <c r="B51" s="3" t="s">
        <v>330</v>
      </c>
      <c r="C51" s="270">
        <f ca="1">DCF!C73</f>
        <v>60.543106355280848</v>
      </c>
    </row>
    <row r="52" spans="2:3" ht="15" customHeight="1" x14ac:dyDescent="0.25">
      <c r="B52" s="3" t="s">
        <v>331</v>
      </c>
      <c r="C52" s="280">
        <f>(C12*C11)/C15</f>
        <v>2.4662479380342606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BFB8B-B60E-497E-A730-4D15A5E1DAC7}">
  <dimension ref="B1:Q132"/>
  <sheetViews>
    <sheetView showGridLines="0" zoomScaleNormal="100" workbookViewId="0">
      <selection activeCell="B3" sqref="B3"/>
    </sheetView>
  </sheetViews>
  <sheetFormatPr defaultColWidth="9.140625" defaultRowHeight="15" x14ac:dyDescent="0.25"/>
  <cols>
    <col min="1" max="1" width="1.42578125" style="54" customWidth="1"/>
    <col min="2" max="2" width="54.42578125" style="54" customWidth="1"/>
    <col min="3" max="3" width="16.7109375" style="54" bestFit="1" customWidth="1"/>
    <col min="4" max="4" width="15.5703125" style="54" bestFit="1" customWidth="1"/>
    <col min="5" max="9" width="16.42578125" style="54" customWidth="1"/>
    <col min="10" max="10" width="1.7109375" style="54" customWidth="1"/>
    <col min="11" max="11" width="12.140625" style="54" bestFit="1" customWidth="1"/>
    <col min="12" max="16" width="9.42578125" style="54" customWidth="1"/>
    <col min="17" max="16384" width="9.140625" style="54"/>
  </cols>
  <sheetData>
    <row r="1" spans="2:10" ht="15.75" thickBot="1" x14ac:dyDescent="0.3"/>
    <row r="2" spans="2:10" ht="15.75" thickBot="1" x14ac:dyDescent="0.3">
      <c r="B2" s="55" t="s">
        <v>49</v>
      </c>
      <c r="C2" s="56"/>
      <c r="D2" s="56"/>
      <c r="E2" s="56"/>
      <c r="F2" s="56"/>
      <c r="G2" s="56"/>
      <c r="H2" s="56"/>
      <c r="I2" s="56"/>
    </row>
    <row r="3" spans="2:10" x14ac:dyDescent="0.25">
      <c r="B3" s="195" t="str">
        <f>FSM!C3</f>
        <v>All amounts are shown in Egyptian pounds, except per-share data, ratios, and shares outstanding</v>
      </c>
    </row>
    <row r="4" spans="2:10" x14ac:dyDescent="0.25">
      <c r="B4" s="54" t="s">
        <v>50</v>
      </c>
      <c r="C4" s="58"/>
      <c r="D4" s="58">
        <v>46022</v>
      </c>
      <c r="F4" s="54" t="s">
        <v>51</v>
      </c>
      <c r="H4" s="59">
        <f>+WACC!E21</f>
        <v>0.21924063984259889</v>
      </c>
      <c r="I4" s="54" t="s">
        <v>52</v>
      </c>
    </row>
    <row r="5" spans="2:10" x14ac:dyDescent="0.25">
      <c r="B5" s="54" t="s">
        <v>53</v>
      </c>
      <c r="C5" s="60"/>
      <c r="D5" s="60">
        <f>EOMONTH(D4,12)</f>
        <v>46387</v>
      </c>
      <c r="F5" s="54" t="s">
        <v>54</v>
      </c>
      <c r="H5" s="163">
        <v>97</v>
      </c>
    </row>
    <row r="6" spans="2:10" x14ac:dyDescent="0.25">
      <c r="B6" s="54" t="s">
        <v>55</v>
      </c>
      <c r="C6" s="58"/>
      <c r="D6" s="58">
        <v>46022</v>
      </c>
      <c r="F6" s="54" t="s">
        <v>56</v>
      </c>
      <c r="H6" s="61">
        <v>46176</v>
      </c>
      <c r="J6" s="62"/>
    </row>
    <row r="7" spans="2:10" x14ac:dyDescent="0.25">
      <c r="B7" s="54" t="s">
        <v>57</v>
      </c>
      <c r="C7" s="58"/>
      <c r="D7" s="58">
        <v>46178</v>
      </c>
      <c r="E7" s="62"/>
      <c r="F7" s="231" t="s">
        <v>158</v>
      </c>
      <c r="G7" s="62"/>
      <c r="H7" s="163">
        <f ca="1">C73</f>
        <v>60.543106355280848</v>
      </c>
    </row>
    <row r="8" spans="2:10" x14ac:dyDescent="0.25">
      <c r="B8" s="54" t="s">
        <v>58</v>
      </c>
      <c r="C8" s="143"/>
      <c r="D8" s="143">
        <f>YEARFRAC(D7,D5)</f>
        <v>0.57222222222222219</v>
      </c>
      <c r="F8" s="231" t="s">
        <v>159</v>
      </c>
      <c r="H8" s="223"/>
    </row>
    <row r="9" spans="2:10" x14ac:dyDescent="0.25">
      <c r="D9" s="64"/>
    </row>
    <row r="10" spans="2:10" x14ac:dyDescent="0.25">
      <c r="B10" s="65" t="s">
        <v>59</v>
      </c>
      <c r="C10" s="66"/>
      <c r="D10" s="67"/>
      <c r="F10" s="66"/>
      <c r="G10" s="66"/>
      <c r="H10" s="66"/>
      <c r="I10" s="66"/>
    </row>
    <row r="11" spans="2:10" ht="17.25" customHeight="1" x14ac:dyDescent="0.4">
      <c r="C11" s="68" t="s">
        <v>60</v>
      </c>
      <c r="D11" s="68" t="s">
        <v>61</v>
      </c>
      <c r="E11" s="69" t="s">
        <v>62</v>
      </c>
      <c r="F11" s="68"/>
      <c r="G11" s="68"/>
      <c r="H11" s="68"/>
      <c r="I11" s="68"/>
    </row>
    <row r="12" spans="2:10" x14ac:dyDescent="0.25">
      <c r="B12" s="70" t="s">
        <v>63</v>
      </c>
      <c r="C12" s="71">
        <f>D7</f>
        <v>46178</v>
      </c>
      <c r="D12" s="257">
        <f>D4</f>
        <v>46022</v>
      </c>
      <c r="E12" s="257">
        <f>EOMONTH(D12,12)</f>
        <v>46387</v>
      </c>
      <c r="F12" s="257">
        <f>EOMONTH(E12,12)</f>
        <v>46752</v>
      </c>
      <c r="G12" s="257">
        <f t="shared" ref="G12:I12" si="0">EOMONTH(F12,12)</f>
        <v>47118</v>
      </c>
      <c r="H12" s="257">
        <f t="shared" si="0"/>
        <v>47483</v>
      </c>
      <c r="I12" s="257">
        <f t="shared" si="0"/>
        <v>47848</v>
      </c>
    </row>
    <row r="13" spans="2:10" x14ac:dyDescent="0.25">
      <c r="B13" s="70"/>
      <c r="D13" s="186"/>
      <c r="E13" s="194"/>
      <c r="F13" s="194"/>
      <c r="G13" s="194"/>
      <c r="H13" s="194"/>
      <c r="I13" s="192"/>
    </row>
    <row r="14" spans="2:10" x14ac:dyDescent="0.25">
      <c r="B14" s="54" t="s">
        <v>64</v>
      </c>
      <c r="C14" s="164">
        <f>+E14*(1-$D$8)+D14*$D$8</f>
        <v>69789589438.164276</v>
      </c>
      <c r="D14" s="187">
        <f>FSM!F202</f>
        <v>62495144197</v>
      </c>
      <c r="E14" s="187">
        <f>FSM!G202</f>
        <v>79547094111.410004</v>
      </c>
      <c r="F14" s="187">
        <f>FSM!H202</f>
        <v>97940517119.990097</v>
      </c>
      <c r="G14" s="187">
        <f>FSM!I202</f>
        <v>116509790626.64056</v>
      </c>
      <c r="H14" s="187">
        <f>FSM!J202</f>
        <v>134219385553.18671</v>
      </c>
      <c r="I14" s="187">
        <f>FSM!K202</f>
        <v>150605458081.06433</v>
      </c>
    </row>
    <row r="15" spans="2:10" x14ac:dyDescent="0.25">
      <c r="B15" s="74" t="s">
        <v>42</v>
      </c>
      <c r="D15" s="188"/>
      <c r="E15" s="188">
        <f>E14/D14-1</f>
        <v>0.27285239731039068</v>
      </c>
      <c r="F15" s="188">
        <f t="shared" ref="F15:I15" si="1">F14/E14-1</f>
        <v>0.23122683756139617</v>
      </c>
      <c r="G15" s="188">
        <f t="shared" si="1"/>
        <v>0.18959746234442121</v>
      </c>
      <c r="H15" s="188">
        <f t="shared" si="1"/>
        <v>0.15200091624314327</v>
      </c>
      <c r="I15" s="188">
        <f t="shared" si="1"/>
        <v>0.12208424632807136</v>
      </c>
    </row>
    <row r="16" spans="2:10" x14ac:dyDescent="0.25">
      <c r="B16" s="54" t="s">
        <v>25</v>
      </c>
      <c r="C16" s="164">
        <f>+E16*(1-$D$8)+D16*$D$8</f>
        <v>23834771817.492058</v>
      </c>
      <c r="D16" s="187">
        <f>FSM!F51</f>
        <v>24176652284</v>
      </c>
      <c r="E16" s="187">
        <f>FSM!G51</f>
        <v>23377451193.461952</v>
      </c>
      <c r="F16" s="187">
        <f>FSM!H51</f>
        <v>28700756558.767616</v>
      </c>
      <c r="G16" s="187">
        <f>FSM!I51</f>
        <v>34040342109.824806</v>
      </c>
      <c r="H16" s="187">
        <f>FSM!J51</f>
        <v>39132670617.000282</v>
      </c>
      <c r="I16" s="187">
        <f>FSM!K51</f>
        <v>43816213894.558334</v>
      </c>
    </row>
    <row r="17" spans="2:13" x14ac:dyDescent="0.25">
      <c r="B17" s="74" t="s">
        <v>65</v>
      </c>
      <c r="D17" s="188">
        <f>D16/D14</f>
        <v>0.3868564925266717</v>
      </c>
      <c r="E17" s="188">
        <f t="shared" ref="E17:I17" si="2">E16/E14</f>
        <v>0.29388190045912388</v>
      </c>
      <c r="F17" s="188">
        <f t="shared" si="2"/>
        <v>0.2930427304524581</v>
      </c>
      <c r="G17" s="188">
        <f t="shared" si="2"/>
        <v>0.29216722411688301</v>
      </c>
      <c r="H17" s="188">
        <f t="shared" si="2"/>
        <v>0.29155751574718169</v>
      </c>
      <c r="I17" s="188">
        <f t="shared" si="2"/>
        <v>0.29093377127789077</v>
      </c>
    </row>
    <row r="18" spans="2:13" x14ac:dyDescent="0.25">
      <c r="B18" s="54" t="s">
        <v>66</v>
      </c>
      <c r="C18" s="164">
        <f>+E18*(1-$D$8)+D18*$D$8</f>
        <v>21791456248.00819</v>
      </c>
      <c r="D18" s="187">
        <f>FSM!F37+FSM!F43</f>
        <v>23321984260</v>
      </c>
      <c r="E18" s="187">
        <f>FSM!G37+FSM!G43</f>
        <v>19744126569.629539</v>
      </c>
      <c r="F18" s="187">
        <f>FSM!H37+FSM!H43</f>
        <v>24227309772.332481</v>
      </c>
      <c r="G18" s="187">
        <f>FSM!I37+FSM!I43</f>
        <v>28718741164.748764</v>
      </c>
      <c r="H18" s="187">
        <f>FSM!J37+FSM!J43</f>
        <v>33002181452.392307</v>
      </c>
      <c r="I18" s="187">
        <f>FSM!K37+FSM!K43</f>
        <v>36937288580.666779</v>
      </c>
    </row>
    <row r="19" spans="2:13" x14ac:dyDescent="0.25">
      <c r="B19" s="74" t="s">
        <v>65</v>
      </c>
      <c r="D19" s="188">
        <f>D18/D14</f>
        <v>0.37318074163463633</v>
      </c>
      <c r="E19" s="188">
        <f t="shared" ref="E19:I19" si="3">E18/E14</f>
        <v>0.24820676091544996</v>
      </c>
      <c r="F19" s="188">
        <f t="shared" si="3"/>
        <v>0.24736759090878416</v>
      </c>
      <c r="G19" s="188">
        <f t="shared" si="3"/>
        <v>0.24649208457320904</v>
      </c>
      <c r="H19" s="188">
        <f t="shared" si="3"/>
        <v>0.24588237620350775</v>
      </c>
      <c r="I19" s="188">
        <f t="shared" si="3"/>
        <v>0.24525863173421678</v>
      </c>
    </row>
    <row r="20" spans="2:13" x14ac:dyDescent="0.25">
      <c r="B20" s="74"/>
      <c r="D20" s="187"/>
      <c r="E20" s="187"/>
      <c r="F20" s="187"/>
      <c r="G20" s="187"/>
      <c r="H20" s="187"/>
      <c r="I20" s="193"/>
    </row>
    <row r="21" spans="2:13" x14ac:dyDescent="0.25">
      <c r="B21" s="54" t="s">
        <v>67</v>
      </c>
      <c r="D21" s="189">
        <f>D18*D22</f>
        <v>5375156091.2971258</v>
      </c>
      <c r="E21" s="189">
        <f t="shared" ref="E21:I21" si="4">E18*E22</f>
        <v>4442428478.166647</v>
      </c>
      <c r="F21" s="189">
        <f t="shared" si="4"/>
        <v>5451144698.7748089</v>
      </c>
      <c r="G21" s="189">
        <f t="shared" si="4"/>
        <v>6461716762.0684719</v>
      </c>
      <c r="H21" s="189">
        <f t="shared" si="4"/>
        <v>7425490826.788269</v>
      </c>
      <c r="I21" s="189">
        <f t="shared" si="4"/>
        <v>8310889930.6500254</v>
      </c>
    </row>
    <row r="22" spans="2:13" ht="15" customHeight="1" x14ac:dyDescent="0.25">
      <c r="B22" s="74" t="s">
        <v>27</v>
      </c>
      <c r="D22" s="190">
        <f>FSM!F67</f>
        <v>0.23047593341001277</v>
      </c>
      <c r="E22" s="190">
        <f>FSM!G67</f>
        <v>0.22500000000000001</v>
      </c>
      <c r="F22" s="190">
        <f>FSM!H67</f>
        <v>0.22500000000000001</v>
      </c>
      <c r="G22" s="190">
        <f>FSM!I67</f>
        <v>0.22500000000000001</v>
      </c>
      <c r="H22" s="190">
        <f>FSM!J67</f>
        <v>0.22500000000000001</v>
      </c>
      <c r="I22" s="190">
        <f>FSM!K67</f>
        <v>0.22500000000000001</v>
      </c>
    </row>
    <row r="23" spans="2:13" x14ac:dyDescent="0.25">
      <c r="B23" s="75" t="s">
        <v>68</v>
      </c>
      <c r="C23" s="75"/>
      <c r="D23" s="191">
        <f>D18*(1-D22)</f>
        <v>17946828168.702873</v>
      </c>
      <c r="E23" s="191">
        <f t="shared" ref="E23:I23" si="5">E18*(1-E22)</f>
        <v>15301698091.462894</v>
      </c>
      <c r="F23" s="191">
        <f t="shared" si="5"/>
        <v>18776165073.557674</v>
      </c>
      <c r="G23" s="191">
        <f t="shared" si="5"/>
        <v>22257024402.680294</v>
      </c>
      <c r="H23" s="191">
        <f t="shared" si="5"/>
        <v>25576690625.604038</v>
      </c>
      <c r="I23" s="191">
        <f t="shared" si="5"/>
        <v>28626398650.016754</v>
      </c>
    </row>
    <row r="24" spans="2:13" x14ac:dyDescent="0.25">
      <c r="D24" s="72"/>
      <c r="E24" s="72"/>
      <c r="F24" s="72"/>
      <c r="G24" s="72"/>
      <c r="H24" s="72"/>
      <c r="I24" s="72"/>
    </row>
    <row r="25" spans="2:13" x14ac:dyDescent="0.25">
      <c r="B25" s="54" t="s">
        <v>24</v>
      </c>
      <c r="D25" s="73">
        <f>-FSM!F43</f>
        <v>427334012</v>
      </c>
      <c r="E25" s="73">
        <f>-FSM!G43</f>
        <v>1816662311.916208</v>
      </c>
      <c r="F25" s="73">
        <f>-FSM!H43</f>
        <v>2236723393.217567</v>
      </c>
      <c r="G25" s="73">
        <f>-FSM!I43</f>
        <v>2660800472.5380211</v>
      </c>
      <c r="H25" s="73">
        <f>-FSM!J43</f>
        <v>3065244582.3039885</v>
      </c>
      <c r="I25" s="73">
        <f>-FSM!K43</f>
        <v>3439462656.945775</v>
      </c>
      <c r="M25" s="77"/>
    </row>
    <row r="26" spans="2:13" x14ac:dyDescent="0.25">
      <c r="B26" s="54" t="s">
        <v>69</v>
      </c>
      <c r="D26" s="72"/>
      <c r="E26" s="72">
        <f>D32-E32</f>
        <v>7154503473.4782104</v>
      </c>
      <c r="F26" s="72">
        <f t="shared" ref="F26:I26" si="6">E32-F32</f>
        <v>7717346665.0188599</v>
      </c>
      <c r="G26" s="72">
        <f t="shared" si="6"/>
        <v>7791128432.2402954</v>
      </c>
      <c r="H26" s="72">
        <f t="shared" si="6"/>
        <v>7430432240.9951172</v>
      </c>
      <c r="I26" s="72">
        <f t="shared" si="6"/>
        <v>6875120640.5020142</v>
      </c>
      <c r="M26" s="77"/>
    </row>
    <row r="27" spans="2:13" x14ac:dyDescent="0.25">
      <c r="B27" s="54" t="s">
        <v>70</v>
      </c>
      <c r="D27" s="73"/>
      <c r="E27" s="73">
        <f>-FSM!G182</f>
        <v>-11932064116.7115</v>
      </c>
      <c r="F27" s="73">
        <f>-FSM!H182</f>
        <v>-13711672396.798615</v>
      </c>
      <c r="G27" s="73">
        <f>-FSM!I182</f>
        <v>-15146272781.463274</v>
      </c>
      <c r="H27" s="73">
        <f>-FSM!J182</f>
        <v>-16106326266.382404</v>
      </c>
      <c r="I27" s="73">
        <f>-FSM!K182</f>
        <v>-15060545808.106434</v>
      </c>
      <c r="M27" s="77"/>
    </row>
    <row r="28" spans="2:13" x14ac:dyDescent="0.25">
      <c r="B28" s="74" t="s">
        <v>39</v>
      </c>
      <c r="D28" s="1"/>
      <c r="E28" s="1">
        <f>E27/E14</f>
        <v>-0.15</v>
      </c>
      <c r="F28" s="1">
        <f t="shared" ref="F28:I28" si="7">F27/F14</f>
        <v>-0.14000000000000001</v>
      </c>
      <c r="G28" s="1">
        <f t="shared" si="7"/>
        <v>-0.13</v>
      </c>
      <c r="H28" s="1">
        <f t="shared" si="7"/>
        <v>-0.12</v>
      </c>
      <c r="I28" s="1">
        <f t="shared" si="7"/>
        <v>-0.1</v>
      </c>
      <c r="M28" s="77"/>
    </row>
    <row r="29" spans="2:13" x14ac:dyDescent="0.25">
      <c r="B29" s="231"/>
      <c r="D29" s="73"/>
      <c r="E29" s="73"/>
      <c r="F29" s="73"/>
      <c r="G29" s="73"/>
      <c r="H29" s="73"/>
      <c r="I29" s="73"/>
      <c r="M29" s="77"/>
    </row>
    <row r="30" spans="2:13" x14ac:dyDescent="0.25">
      <c r="B30" s="75" t="s">
        <v>71</v>
      </c>
      <c r="C30" s="75"/>
      <c r="D30" s="76"/>
      <c r="E30" s="76">
        <f>E23+E25+E26+E27</f>
        <v>12340799760.145815</v>
      </c>
      <c r="F30" s="76">
        <f t="shared" ref="F30:I30" si="8">F23+F25+F26+F27</f>
        <v>15018562734.995487</v>
      </c>
      <c r="G30" s="76">
        <f t="shared" si="8"/>
        <v>17562680525.995338</v>
      </c>
      <c r="H30" s="76">
        <f t="shared" si="8"/>
        <v>19966041182.520741</v>
      </c>
      <c r="I30" s="76">
        <f t="shared" si="8"/>
        <v>23880436139.358105</v>
      </c>
      <c r="M30" s="76"/>
    </row>
    <row r="31" spans="2:13" x14ac:dyDescent="0.25">
      <c r="D31" s="73"/>
      <c r="E31" s="73"/>
      <c r="F31" s="73"/>
      <c r="G31" s="73"/>
      <c r="H31" s="73"/>
      <c r="I31" s="73"/>
      <c r="M31" s="77"/>
    </row>
    <row r="32" spans="2:13" x14ac:dyDescent="0.25">
      <c r="B32" s="54" t="s">
        <v>72</v>
      </c>
      <c r="C32" s="73"/>
      <c r="D32" s="73">
        <f>FSM!F218-FSM!F226</f>
        <v>-26221149398</v>
      </c>
      <c r="E32" s="73">
        <f>FSM!G218-FSM!G226</f>
        <v>-33375652871.47821</v>
      </c>
      <c r="F32" s="73">
        <f>FSM!H218-FSM!H226</f>
        <v>-41092999536.49707</v>
      </c>
      <c r="G32" s="73">
        <f>FSM!I218-FSM!I226</f>
        <v>-48884127968.737366</v>
      </c>
      <c r="H32" s="73">
        <f>FSM!J218-FSM!J226</f>
        <v>-56314560209.732483</v>
      </c>
      <c r="I32" s="73">
        <f>FSM!K218-FSM!K226</f>
        <v>-63189680850.234497</v>
      </c>
    </row>
    <row r="33" spans="2:13" x14ac:dyDescent="0.25">
      <c r="B33" s="74" t="s">
        <v>39</v>
      </c>
      <c r="D33" s="63">
        <f>D32/D14</f>
        <v>-0.41957098803299847</v>
      </c>
      <c r="E33" s="63">
        <f t="shared" ref="E33:I33" si="9">E32/E14</f>
        <v>-0.41957098803299847</v>
      </c>
      <c r="F33" s="63">
        <f t="shared" si="9"/>
        <v>-0.41957098803299869</v>
      </c>
      <c r="G33" s="63">
        <f t="shared" si="9"/>
        <v>-0.41957098803299847</v>
      </c>
      <c r="H33" s="63">
        <f t="shared" si="9"/>
        <v>-0.4195709880329983</v>
      </c>
      <c r="I33" s="63">
        <f t="shared" si="9"/>
        <v>-0.41957098803299847</v>
      </c>
      <c r="J33" s="73"/>
    </row>
    <row r="34" spans="2:13" x14ac:dyDescent="0.25">
      <c r="D34"/>
      <c r="E34" s="63"/>
      <c r="F34" s="63"/>
      <c r="G34" s="63"/>
      <c r="H34" s="63"/>
      <c r="I34" s="63"/>
      <c r="J34" s="73"/>
      <c r="K34" s="78"/>
      <c r="M34" s="63"/>
    </row>
    <row r="35" spans="2:13" x14ac:dyDescent="0.25">
      <c r="B35" s="65" t="str">
        <f>"Present value of UFCF on "&amp;TEXT(D7,"mmm dd, yyyy")&amp;" valuation date"</f>
        <v>Present value of UFCF on Jun 05, 2026 valuation date</v>
      </c>
      <c r="C35" s="66"/>
      <c r="D35" s="79"/>
      <c r="E35" s="66"/>
      <c r="F35" s="79"/>
      <c r="G35" s="79"/>
      <c r="H35" s="79"/>
      <c r="I35" s="79"/>
      <c r="J35" s="73"/>
    </row>
    <row r="36" spans="2:13" ht="17.25" x14ac:dyDescent="0.4">
      <c r="B36" s="75"/>
      <c r="D36" s="80" t="s">
        <v>73</v>
      </c>
      <c r="E36" s="80" t="s">
        <v>74</v>
      </c>
      <c r="F36" s="81" t="s">
        <v>75</v>
      </c>
      <c r="G36" s="81" t="s">
        <v>76</v>
      </c>
      <c r="H36" s="81" t="s">
        <v>77</v>
      </c>
      <c r="I36" s="81" t="s">
        <v>78</v>
      </c>
      <c r="J36" s="73"/>
    </row>
    <row r="37" spans="2:13" x14ac:dyDescent="0.25">
      <c r="B37" s="54" t="s">
        <v>79</v>
      </c>
      <c r="D37" s="82">
        <f>D7</f>
        <v>46178</v>
      </c>
      <c r="E37" s="165">
        <f ca="1">IF($H$7=1,AVERAGE(E12,D37),E12)</f>
        <v>46387</v>
      </c>
      <c r="F37" s="165">
        <f ca="1">IF($H$7=1,AVERAGE(F12,E12),F12)</f>
        <v>46752</v>
      </c>
      <c r="G37" s="165">
        <f ca="1">IF($H$7=1,AVERAGE(G12,F12),G12)</f>
        <v>47118</v>
      </c>
      <c r="H37" s="165">
        <f ca="1">IF($H$7=1,AVERAGE(H12,G12),H12)</f>
        <v>47483</v>
      </c>
      <c r="I37" s="165">
        <f ca="1">IF($H$7=1,AVERAGE(I12,H12),I12)</f>
        <v>47848</v>
      </c>
      <c r="J37" s="73"/>
    </row>
    <row r="38" spans="2:13" x14ac:dyDescent="0.25">
      <c r="B38" s="54" t="s">
        <v>80</v>
      </c>
      <c r="C38" s="83">
        <f>D8</f>
        <v>0.57222222222222219</v>
      </c>
      <c r="D38" s="77"/>
      <c r="E38" s="84">
        <f>E30*C38</f>
        <v>7061679862.7501049</v>
      </c>
      <c r="F38" s="84">
        <f>F30</f>
        <v>15018562734.995487</v>
      </c>
      <c r="G38" s="84">
        <f t="shared" ref="G38:I38" si="10">G30</f>
        <v>17562680525.995338</v>
      </c>
      <c r="H38" s="84">
        <f t="shared" si="10"/>
        <v>19966041182.520741</v>
      </c>
      <c r="I38" s="84">
        <f t="shared" si="10"/>
        <v>23880436139.358105</v>
      </c>
      <c r="J38" s="72"/>
    </row>
    <row r="39" spans="2:13" ht="15" customHeight="1" x14ac:dyDescent="0.25">
      <c r="B39" s="75" t="s">
        <v>81</v>
      </c>
      <c r="C39" s="85"/>
      <c r="D39" s="76"/>
      <c r="E39" s="76">
        <f ca="1">E38/(1+$H$4)^((E37-$D$37)/365)</f>
        <v>6303953218.3960934</v>
      </c>
      <c r="F39" s="76">
        <f t="shared" ref="F39:I39" ca="1" si="11">F38/(1+$H$4)^((F37-$D$37)/365)</f>
        <v>10996232130.896111</v>
      </c>
      <c r="G39" s="76">
        <f t="shared" ca="1" si="11"/>
        <v>10540981132.185249</v>
      </c>
      <c r="H39" s="76">
        <f t="shared" ca="1" si="11"/>
        <v>9828625036.5606174</v>
      </c>
      <c r="I39" s="76">
        <f t="shared" ca="1" si="11"/>
        <v>9641700313.8761082</v>
      </c>
      <c r="J39" s="72"/>
    </row>
    <row r="41" spans="2:13" x14ac:dyDescent="0.25">
      <c r="B41" s="65" t="s">
        <v>82</v>
      </c>
      <c r="C41" s="65"/>
      <c r="E41" s="65" t="s">
        <v>83</v>
      </c>
      <c r="F41" s="66"/>
      <c r="G41" s="66"/>
      <c r="H41" s="66"/>
      <c r="I41" s="66"/>
    </row>
    <row r="42" spans="2:13" x14ac:dyDescent="0.25">
      <c r="B42" s="54" t="s">
        <v>84</v>
      </c>
      <c r="C42" s="86">
        <v>0.1</v>
      </c>
      <c r="E42" s="54" t="s">
        <v>85</v>
      </c>
      <c r="I42" s="77">
        <f>I16</f>
        <v>43816213894.558334</v>
      </c>
      <c r="J42" s="77"/>
    </row>
    <row r="43" spans="2:13" x14ac:dyDescent="0.25">
      <c r="B43" s="87" t="str">
        <f>YEAR(I12)&amp;" FCF x (1+g)"</f>
        <v>2030 FCF x (1+g)</v>
      </c>
      <c r="C43" s="77">
        <f>I38*(1+C42)</f>
        <v>26268479753.293919</v>
      </c>
      <c r="E43" s="54" t="s">
        <v>86</v>
      </c>
      <c r="I43" s="88">
        <f>C51</f>
        <v>5.0277745308454005</v>
      </c>
      <c r="J43" s="88"/>
    </row>
    <row r="44" spans="2:13" x14ac:dyDescent="0.25">
      <c r="B44" s="54" t="str">
        <f>"Terminal value in "&amp;YEAR(I12)</f>
        <v>Terminal value in 2030</v>
      </c>
      <c r="C44" s="77">
        <f>C43/(H4-C42)</f>
        <v>220298044257.13477</v>
      </c>
      <c r="E44" s="54" t="str">
        <f>"Terminal value in "&amp;YEAR(I12)</f>
        <v>Terminal value in 2030</v>
      </c>
      <c r="I44" s="77">
        <f>I42*I43</f>
        <v>220298044257.13474</v>
      </c>
      <c r="J44" s="77"/>
    </row>
    <row r="45" spans="2:13" x14ac:dyDescent="0.25">
      <c r="B45" s="54" t="s">
        <v>87</v>
      </c>
      <c r="C45" s="77">
        <f ca="1">C44/(1+H4)^((I37-$D$37)/365)</f>
        <v>88945097571.295959</v>
      </c>
      <c r="E45" s="54" t="s">
        <v>87</v>
      </c>
      <c r="I45" s="77">
        <f ca="1">I44/(1+H4)^((I37-$D$37)/365)</f>
        <v>88945097571.295959</v>
      </c>
      <c r="J45" s="77"/>
    </row>
    <row r="46" spans="2:13" x14ac:dyDescent="0.25">
      <c r="B46" s="54" t="s">
        <v>88</v>
      </c>
      <c r="C46" s="72">
        <f ca="1">SUM(E39:I39)</f>
        <v>47311491831.914177</v>
      </c>
      <c r="E46" s="54" t="s">
        <v>88</v>
      </c>
      <c r="I46" s="77">
        <f ca="1">C46</f>
        <v>47311491831.914177</v>
      </c>
      <c r="J46" s="77"/>
    </row>
    <row r="47" spans="2:13" x14ac:dyDescent="0.25">
      <c r="B47" s="75" t="s">
        <v>89</v>
      </c>
      <c r="C47" s="89">
        <f ca="1">C45+C46</f>
        <v>136256589403.21014</v>
      </c>
      <c r="E47" s="75" t="s">
        <v>90</v>
      </c>
      <c r="I47" s="89">
        <f ca="1">I45+I46</f>
        <v>136256589403.21014</v>
      </c>
      <c r="J47" s="89"/>
    </row>
    <row r="49" spans="2:10" x14ac:dyDescent="0.25">
      <c r="B49" s="90" t="s">
        <v>91</v>
      </c>
      <c r="C49" s="91">
        <f ca="1">C45/C47</f>
        <v>0.65277648560606383</v>
      </c>
      <c r="E49" s="90" t="s">
        <v>91</v>
      </c>
      <c r="I49" s="91">
        <f ca="1">I45/I47</f>
        <v>0.65277648560606383</v>
      </c>
      <c r="J49" s="91"/>
    </row>
    <row r="50" spans="2:10" x14ac:dyDescent="0.25">
      <c r="B50" s="90" t="s">
        <v>92</v>
      </c>
      <c r="C50" s="91">
        <f ca="1">1-C49</f>
        <v>0.34722351439393617</v>
      </c>
      <c r="E50" s="90" t="s">
        <v>93</v>
      </c>
      <c r="G50" s="92"/>
      <c r="I50" s="93">
        <f ca="1">1-I49</f>
        <v>0.34722351439393617</v>
      </c>
      <c r="J50" s="93"/>
    </row>
    <row r="51" spans="2:10" x14ac:dyDescent="0.25">
      <c r="B51" s="90" t="s">
        <v>94</v>
      </c>
      <c r="C51" s="94">
        <f>C44/I16</f>
        <v>5.0277745308454005</v>
      </c>
      <c r="E51" s="54" t="s">
        <v>95</v>
      </c>
      <c r="I51" s="236">
        <f>(H4-I38/I44)/(1+I38/I44)</f>
        <v>9.9999999999999992E-2</v>
      </c>
      <c r="J51" s="95"/>
    </row>
    <row r="52" spans="2:10" x14ac:dyDescent="0.25">
      <c r="B52" s="90"/>
      <c r="C52" s="70"/>
      <c r="D52" s="94"/>
      <c r="I52" s="95"/>
      <c r="J52" s="95"/>
    </row>
    <row r="53" spans="2:10" x14ac:dyDescent="0.25">
      <c r="B53" s="65" t="s">
        <v>96</v>
      </c>
      <c r="C53" s="66"/>
      <c r="E53" s="65" t="s">
        <v>31</v>
      </c>
      <c r="F53" s="66"/>
      <c r="G53" s="65"/>
      <c r="H53" s="66"/>
      <c r="I53" s="66"/>
    </row>
    <row r="54" spans="2:10" x14ac:dyDescent="0.25">
      <c r="B54" s="54" t="s">
        <v>97</v>
      </c>
      <c r="C54" s="202" t="s">
        <v>299</v>
      </c>
    </row>
    <row r="55" spans="2:10" x14ac:dyDescent="0.25">
      <c r="B55" s="96" t="s">
        <v>98</v>
      </c>
      <c r="C55" s="61" t="s">
        <v>300</v>
      </c>
      <c r="G55" s="97" t="s">
        <v>97</v>
      </c>
      <c r="H55" s="98" t="s">
        <v>99</v>
      </c>
      <c r="I55" s="98" t="s">
        <v>100</v>
      </c>
    </row>
    <row r="56" spans="2:10" x14ac:dyDescent="0.25">
      <c r="B56" s="99" t="s">
        <v>101</v>
      </c>
      <c r="C56" s="100"/>
      <c r="E56" s="54" t="s">
        <v>102</v>
      </c>
      <c r="G56" s="203" t="s">
        <v>299</v>
      </c>
      <c r="H56" s="61" t="s">
        <v>300</v>
      </c>
      <c r="I56" s="200">
        <v>2060653786</v>
      </c>
      <c r="J56" s="101"/>
    </row>
    <row r="57" spans="2:10" x14ac:dyDescent="0.25">
      <c r="B57" s="74" t="s">
        <v>103</v>
      </c>
      <c r="C57" s="103">
        <f>FSM!F238</f>
        <v>12123082302</v>
      </c>
      <c r="E57" s="96" t="s">
        <v>104</v>
      </c>
      <c r="G57" s="203"/>
      <c r="H57" s="61"/>
      <c r="I57" s="200"/>
      <c r="J57" s="102"/>
    </row>
    <row r="58" spans="2:10" x14ac:dyDescent="0.25">
      <c r="B58" s="74" t="s">
        <v>105</v>
      </c>
      <c r="C58" s="103"/>
      <c r="E58" s="96" t="s">
        <v>106</v>
      </c>
      <c r="G58" s="61"/>
      <c r="H58" s="61"/>
      <c r="I58" s="104"/>
    </row>
    <row r="59" spans="2:10" ht="15" customHeight="1" x14ac:dyDescent="0.25">
      <c r="B59" s="74" t="s">
        <v>107</v>
      </c>
      <c r="C59" s="103"/>
      <c r="E59" s="54" t="s">
        <v>105</v>
      </c>
      <c r="G59" s="61"/>
      <c r="H59" s="61"/>
      <c r="I59" s="104"/>
    </row>
    <row r="60" spans="2:10" x14ac:dyDescent="0.25">
      <c r="B60" s="105" t="s">
        <v>108</v>
      </c>
      <c r="C60" s="103">
        <f>FSM!F138</f>
        <v>76660564745</v>
      </c>
      <c r="E60" s="54" t="s">
        <v>109</v>
      </c>
      <c r="G60" s="61"/>
      <c r="H60" s="61"/>
      <c r="I60" s="104"/>
    </row>
    <row r="61" spans="2:10" ht="15" customHeight="1" x14ac:dyDescent="0.25">
      <c r="B61" s="99" t="s">
        <v>110</v>
      </c>
      <c r="C61" s="103"/>
      <c r="E61" s="106" t="s">
        <v>111</v>
      </c>
      <c r="I61" s="201">
        <f>SUM(I56:I60)</f>
        <v>2060653786</v>
      </c>
      <c r="J61" s="107"/>
    </row>
    <row r="62" spans="2:10" x14ac:dyDescent="0.25">
      <c r="B62" s="108" t="s">
        <v>112</v>
      </c>
      <c r="C62" s="103">
        <f>FSM!F84</f>
        <v>44846514337</v>
      </c>
      <c r="J62" s="109"/>
    </row>
    <row r="63" spans="2:10" x14ac:dyDescent="0.25">
      <c r="B63" s="108" t="s">
        <v>113</v>
      </c>
      <c r="C63" s="103">
        <f>FSM!F82+FSM!F95</f>
        <v>3375236930</v>
      </c>
      <c r="J63" s="109"/>
    </row>
    <row r="64" spans="2:10" x14ac:dyDescent="0.25">
      <c r="B64" s="108" t="s">
        <v>200</v>
      </c>
      <c r="C64" s="103">
        <f>FSM!F96+FSM!F83</f>
        <v>29063687704</v>
      </c>
      <c r="J64" s="110"/>
    </row>
    <row r="65" spans="2:6" x14ac:dyDescent="0.25">
      <c r="B65" s="111" t="s">
        <v>96</v>
      </c>
      <c r="C65" s="112">
        <f>SUM(C57:C60)-SUM(C62:C64)</f>
        <v>11498208076</v>
      </c>
    </row>
    <row r="67" spans="2:6" x14ac:dyDescent="0.25">
      <c r="B67" s="65" t="s">
        <v>114</v>
      </c>
      <c r="C67" s="66"/>
      <c r="D67" s="66"/>
    </row>
    <row r="68" spans="2:6" ht="17.25" x14ac:dyDescent="0.4">
      <c r="C68" s="113" t="s">
        <v>115</v>
      </c>
      <c r="D68" s="113" t="s">
        <v>25</v>
      </c>
    </row>
    <row r="69" spans="2:6" x14ac:dyDescent="0.25">
      <c r="B69" s="54" t="s">
        <v>116</v>
      </c>
      <c r="C69" s="114">
        <f ca="1">C47</f>
        <v>136256589403.21014</v>
      </c>
      <c r="D69" s="114">
        <f ca="1">I47</f>
        <v>136256589403.21014</v>
      </c>
    </row>
    <row r="70" spans="2:6" x14ac:dyDescent="0.25">
      <c r="B70" s="54" t="s">
        <v>96</v>
      </c>
      <c r="C70" s="115">
        <f>$C$65</f>
        <v>11498208076</v>
      </c>
      <c r="D70" s="115">
        <f t="shared" ref="D70" si="12">$C$65</f>
        <v>11498208076</v>
      </c>
    </row>
    <row r="71" spans="2:6" x14ac:dyDescent="0.25">
      <c r="B71" s="54" t="s">
        <v>117</v>
      </c>
      <c r="C71" s="116">
        <f ca="1">C69-C70</f>
        <v>124758381327.21014</v>
      </c>
      <c r="D71" s="116">
        <f ca="1">D69-D70</f>
        <v>124758381327.21014</v>
      </c>
    </row>
    <row r="72" spans="2:6" x14ac:dyDescent="0.25">
      <c r="B72" s="54" t="s">
        <v>31</v>
      </c>
      <c r="C72" s="232">
        <f>$I$61</f>
        <v>2060653786</v>
      </c>
      <c r="D72" s="232">
        <f t="shared" ref="D72" si="13">$I$61</f>
        <v>2060653786</v>
      </c>
    </row>
    <row r="73" spans="2:6" x14ac:dyDescent="0.25">
      <c r="B73" s="75" t="s">
        <v>118</v>
      </c>
      <c r="C73" s="237">
        <f ca="1">C71/C72</f>
        <v>60.543106355280848</v>
      </c>
      <c r="D73" s="237">
        <f t="shared" ref="D73" ca="1" si="14">D71/D72</f>
        <v>60.543106355280848</v>
      </c>
    </row>
    <row r="75" spans="2:6" ht="17.25" x14ac:dyDescent="0.4">
      <c r="C75" s="68" t="s">
        <v>119</v>
      </c>
      <c r="D75" s="68"/>
    </row>
    <row r="76" spans="2:6" x14ac:dyDescent="0.25">
      <c r="B76" s="97"/>
      <c r="C76" s="98" t="s">
        <v>115</v>
      </c>
      <c r="D76" s="98" t="s">
        <v>25</v>
      </c>
    </row>
    <row r="77" spans="2:6" x14ac:dyDescent="0.25">
      <c r="B77" s="54" t="s">
        <v>120</v>
      </c>
      <c r="C77" s="117">
        <f ca="1">C$69/$C14</f>
        <v>1.9523913308579881</v>
      </c>
      <c r="D77" s="117">
        <f t="shared" ref="D77" ca="1" si="15">D$69/$C14</f>
        <v>1.9523913308579881</v>
      </c>
    </row>
    <row r="78" spans="2:6" x14ac:dyDescent="0.25">
      <c r="B78" s="54" t="s">
        <v>121</v>
      </c>
      <c r="C78" s="117">
        <f ca="1">C69/C16</f>
        <v>5.7167146573315648</v>
      </c>
      <c r="D78" s="117">
        <f ca="1">D69/C16</f>
        <v>5.7167146573315648</v>
      </c>
    </row>
    <row r="79" spans="2:6" x14ac:dyDescent="0.25">
      <c r="B79" s="72" t="s">
        <v>122</v>
      </c>
      <c r="C79" s="117">
        <f ca="1">C69/C18</f>
        <v>6.2527528152536584</v>
      </c>
      <c r="D79" s="117">
        <f ca="1">D69/C18</f>
        <v>6.2527528152536584</v>
      </c>
    </row>
    <row r="80" spans="2:6" ht="17.25" x14ac:dyDescent="0.4">
      <c r="B80" s="72"/>
      <c r="C80" s="68" t="s">
        <v>123</v>
      </c>
      <c r="D80" s="68"/>
      <c r="E80" s="118"/>
      <c r="F80" s="118"/>
    </row>
    <row r="81" spans="2:17" x14ac:dyDescent="0.25">
      <c r="B81" s="97"/>
      <c r="C81" s="98" t="s">
        <v>115</v>
      </c>
      <c r="D81" s="98" t="s">
        <v>25</v>
      </c>
      <c r="E81" s="118"/>
      <c r="F81" s="118"/>
    </row>
    <row r="82" spans="2:17" x14ac:dyDescent="0.25">
      <c r="B82" s="54" t="s">
        <v>120</v>
      </c>
      <c r="C82" s="117">
        <f ca="1">C69/E14</f>
        <v>1.7129046752151049</v>
      </c>
      <c r="D82" s="117">
        <f ca="1">D69/E14</f>
        <v>1.7129046752151049</v>
      </c>
      <c r="E82" s="118"/>
      <c r="F82" s="118"/>
    </row>
    <row r="83" spans="2:17" x14ac:dyDescent="0.25">
      <c r="B83" s="54" t="s">
        <v>121</v>
      </c>
      <c r="C83" s="117">
        <f ca="1">C69/E16</f>
        <v>5.8285477007569355</v>
      </c>
      <c r="D83" s="117">
        <f ca="1">D69/E16</f>
        <v>5.8285477007569355</v>
      </c>
      <c r="E83" s="118"/>
      <c r="F83" s="118"/>
    </row>
    <row r="84" spans="2:17" x14ac:dyDescent="0.25">
      <c r="B84" s="72" t="s">
        <v>122</v>
      </c>
      <c r="C84" s="117">
        <f ca="1">C69/E18</f>
        <v>6.9011201342681998</v>
      </c>
      <c r="D84" s="117">
        <f ca="1">D69/E18</f>
        <v>6.9011201342681998</v>
      </c>
      <c r="E84" s="118"/>
      <c r="F84" s="118"/>
    </row>
    <row r="86" spans="2:17" x14ac:dyDescent="0.25">
      <c r="B86" s="65" t="s">
        <v>124</v>
      </c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</row>
    <row r="87" spans="2:17" x14ac:dyDescent="0.25">
      <c r="B87" s="75"/>
    </row>
    <row r="88" spans="2:17" ht="17.25" customHeight="1" x14ac:dyDescent="0.4">
      <c r="B88" s="119"/>
      <c r="C88" s="75"/>
      <c r="D88" s="120" t="s">
        <v>118</v>
      </c>
      <c r="E88" s="68"/>
      <c r="F88" s="68"/>
      <c r="G88" s="68"/>
      <c r="H88" s="68"/>
      <c r="I88" s="68"/>
      <c r="J88" s="121"/>
      <c r="L88" s="120" t="s">
        <v>125</v>
      </c>
      <c r="M88" s="68"/>
      <c r="N88" s="68"/>
      <c r="O88" s="68"/>
      <c r="P88" s="68"/>
      <c r="Q88" s="68"/>
    </row>
    <row r="89" spans="2:17" ht="15" customHeight="1" x14ac:dyDescent="0.25">
      <c r="B89" s="119"/>
      <c r="D89" s="96"/>
      <c r="E89" s="122" t="s">
        <v>126</v>
      </c>
      <c r="F89" s="122"/>
      <c r="G89" s="122"/>
      <c r="H89" s="122"/>
      <c r="I89" s="122"/>
      <c r="J89" s="123"/>
      <c r="L89" s="122" t="s">
        <v>126</v>
      </c>
      <c r="M89" s="122"/>
      <c r="N89" s="122"/>
      <c r="O89" s="122"/>
      <c r="P89" s="122"/>
      <c r="Q89" s="122"/>
    </row>
    <row r="90" spans="2:17" ht="15" customHeight="1" x14ac:dyDescent="0.25">
      <c r="B90" s="119"/>
      <c r="C90" s="124"/>
      <c r="D90" s="170">
        <f ca="1">C73</f>
        <v>60.543106355280848</v>
      </c>
      <c r="E90" s="206">
        <f>F90-0.005</f>
        <v>0.09</v>
      </c>
      <c r="F90" s="207">
        <f>G90-0.005</f>
        <v>9.5000000000000001E-2</v>
      </c>
      <c r="G90" s="125">
        <f>$C$42</f>
        <v>0.1</v>
      </c>
      <c r="H90" s="207">
        <f>G90+0.005</f>
        <v>0.10500000000000001</v>
      </c>
      <c r="I90" s="238">
        <f>H90+0.005</f>
        <v>0.11000000000000001</v>
      </c>
      <c r="K90" s="129"/>
      <c r="L90" s="126">
        <f ca="1">C78</f>
        <v>5.7167146573315648</v>
      </c>
      <c r="M90" s="206">
        <f>N90-0.005</f>
        <v>0.09</v>
      </c>
      <c r="N90" s="207">
        <f>O90-0.005</f>
        <v>9.5000000000000001E-2</v>
      </c>
      <c r="O90" s="125">
        <f>$C$42</f>
        <v>0.1</v>
      </c>
      <c r="P90" s="207">
        <f>O90+0.005</f>
        <v>0.10500000000000001</v>
      </c>
      <c r="Q90" s="238">
        <f>P90+0.005</f>
        <v>0.11000000000000001</v>
      </c>
    </row>
    <row r="91" spans="2:17" ht="15" customHeight="1" x14ac:dyDescent="0.25">
      <c r="B91" s="119"/>
      <c r="D91" s="204">
        <f>D92+0.01</f>
        <v>0.23924063984259891</v>
      </c>
      <c r="E91" s="127">
        <f t="dataTable" ref="E91:I95" dt2D="1" dtr="1" r1="C42" r2="H4" ca="1"/>
        <v>48.123049077725057</v>
      </c>
      <c r="F91" s="127">
        <v>46.953932106169056</v>
      </c>
      <c r="G91" s="127">
        <v>46.953932106169056</v>
      </c>
      <c r="H91" s="127">
        <v>48.123049077725057</v>
      </c>
      <c r="I91" s="127">
        <v>50.71317434499592</v>
      </c>
      <c r="J91" s="128"/>
      <c r="L91" s="204">
        <f>L92+0.01</f>
        <v>0.23924063984259891</v>
      </c>
      <c r="M91" s="129">
        <f t="dataTable" ref="M91:Q95" dt2D="1" dtr="1" r1="C42" r2="H4" ca="1"/>
        <v>4.6429289191123519</v>
      </c>
      <c r="N91" s="129">
        <v>4.5418519995529341</v>
      </c>
      <c r="O91" s="129">
        <v>4.5418519995529341</v>
      </c>
      <c r="P91" s="129">
        <v>4.6429289191123519</v>
      </c>
      <c r="Q91" s="129">
        <v>4.8668602191090633</v>
      </c>
    </row>
    <row r="92" spans="2:17" ht="15" customHeight="1" x14ac:dyDescent="0.25">
      <c r="B92" s="119"/>
      <c r="D92" s="204">
        <f>D93+0.01</f>
        <v>0.2292406398425989</v>
      </c>
      <c r="E92" s="127">
        <v>52.165809576912451</v>
      </c>
      <c r="F92" s="127">
        <v>50.786470862480279</v>
      </c>
      <c r="G92" s="127">
        <v>50.786470862480279</v>
      </c>
      <c r="H92" s="127">
        <v>52.165809576912451</v>
      </c>
      <c r="I92" s="127">
        <v>55.244666180712485</v>
      </c>
      <c r="J92" s="128"/>
      <c r="L92" s="204">
        <f>L93+0.01</f>
        <v>0.2292406398425989</v>
      </c>
      <c r="M92" s="129">
        <v>4.9924489309812277</v>
      </c>
      <c r="N92" s="129">
        <v>4.8731971266914513</v>
      </c>
      <c r="O92" s="129">
        <v>4.8731971266914513</v>
      </c>
      <c r="P92" s="129">
        <v>4.9924489309812277</v>
      </c>
      <c r="Q92" s="129">
        <v>5.2586338798346297</v>
      </c>
    </row>
    <row r="93" spans="2:17" ht="15" customHeight="1" x14ac:dyDescent="0.25">
      <c r="B93" s="119"/>
      <c r="C93" s="124" t="s">
        <v>127</v>
      </c>
      <c r="D93" s="130">
        <f>WACC!$E$21</f>
        <v>0.21924063984259889</v>
      </c>
      <c r="E93" s="127">
        <v>56.841292043866062</v>
      </c>
      <c r="F93" s="127">
        <v>55.197204576802619</v>
      </c>
      <c r="G93" s="127">
        <v>55.197204576802619</v>
      </c>
      <c r="H93" s="127">
        <v>56.841292043866062</v>
      </c>
      <c r="I93" s="127">
        <v>60.543106355280848</v>
      </c>
      <c r="J93" s="128"/>
      <c r="K93" s="124" t="s">
        <v>127</v>
      </c>
      <c r="L93" s="130">
        <f>WACC!$E$21</f>
        <v>0.21924063984259889</v>
      </c>
      <c r="M93" s="129">
        <v>5.3966714140273577</v>
      </c>
      <c r="N93" s="129">
        <v>5.2545305498537349</v>
      </c>
      <c r="O93" s="129">
        <v>5.2545305498537349</v>
      </c>
      <c r="P93" s="129">
        <v>5.3966714140273577</v>
      </c>
      <c r="Q93" s="129">
        <v>5.7167146573315648</v>
      </c>
    </row>
    <row r="94" spans="2:17" ht="15" customHeight="1" x14ac:dyDescent="0.25">
      <c r="B94" s="119"/>
      <c r="D94" s="204">
        <f t="shared" ref="D94:D95" si="16">D93-0.01</f>
        <v>0.20924063984259889</v>
      </c>
      <c r="E94" s="127">
        <v>62.308993857210879</v>
      </c>
      <c r="F94" s="127">
        <v>60.326061193020614</v>
      </c>
      <c r="G94" s="127">
        <v>60.326061193020614</v>
      </c>
      <c r="H94" s="127">
        <v>62.308993857210879</v>
      </c>
      <c r="I94" s="127">
        <v>66.819418243570396</v>
      </c>
      <c r="J94" s="128"/>
      <c r="L94" s="204">
        <f t="shared" ref="L94:L95" si="17">L93-0.01</f>
        <v>0.20924063984259889</v>
      </c>
      <c r="M94" s="129">
        <v>5.8693858385103024</v>
      </c>
      <c r="N94" s="129">
        <v>5.6979498485568358</v>
      </c>
      <c r="O94" s="129">
        <v>5.6979498485568358</v>
      </c>
      <c r="P94" s="129">
        <v>5.8693858385103024</v>
      </c>
      <c r="Q94" s="129">
        <v>6.2593380964713958</v>
      </c>
    </row>
    <row r="95" spans="2:17" ht="15" customHeight="1" x14ac:dyDescent="0.25">
      <c r="B95" s="131" t="s">
        <v>128</v>
      </c>
      <c r="D95" s="205">
        <f t="shared" si="16"/>
        <v>0.19924063984259888</v>
      </c>
      <c r="E95" s="127">
        <v>68.786831674114197</v>
      </c>
      <c r="F95" s="127">
        <v>66.361979957021049</v>
      </c>
      <c r="G95" s="127">
        <v>66.361979957021049</v>
      </c>
      <c r="H95" s="127">
        <v>68.786831674114197</v>
      </c>
      <c r="I95" s="127">
        <v>74.369556898850902</v>
      </c>
      <c r="J95" s="128"/>
      <c r="L95" s="205">
        <f t="shared" si="17"/>
        <v>0.19924063984259888</v>
      </c>
      <c r="M95" s="129">
        <v>6.4294323589766496</v>
      </c>
      <c r="N95" s="129">
        <v>6.2197899126558713</v>
      </c>
      <c r="O95" s="129">
        <v>6.2197899126558713</v>
      </c>
      <c r="P95" s="129">
        <v>6.4294323589766496</v>
      </c>
      <c r="Q95" s="129">
        <v>6.9120912221971773</v>
      </c>
    </row>
    <row r="96" spans="2:17" ht="15" customHeight="1" x14ac:dyDescent="0.25">
      <c r="B96" s="131" t="s">
        <v>129</v>
      </c>
      <c r="E96" s="132"/>
      <c r="F96" s="132"/>
      <c r="G96" s="132"/>
      <c r="H96" s="132"/>
      <c r="I96" s="132"/>
      <c r="J96" s="132"/>
    </row>
    <row r="97" spans="2:17" ht="17.25" customHeight="1" x14ac:dyDescent="0.4">
      <c r="B97" s="119"/>
      <c r="D97" s="120" t="s">
        <v>118</v>
      </c>
      <c r="E97" s="68"/>
      <c r="F97" s="68"/>
      <c r="G97" s="68"/>
      <c r="H97" s="68"/>
      <c r="I97" s="68"/>
      <c r="J97" s="121"/>
      <c r="L97" s="120" t="s">
        <v>125</v>
      </c>
      <c r="M97" s="68"/>
      <c r="N97" s="68"/>
      <c r="O97" s="68"/>
      <c r="P97" s="68"/>
      <c r="Q97" s="68"/>
    </row>
    <row r="98" spans="2:17" ht="15" customHeight="1" x14ac:dyDescent="0.25">
      <c r="B98" s="119"/>
      <c r="E98" s="122" t="s">
        <v>130</v>
      </c>
      <c r="F98" s="122"/>
      <c r="G98" s="122"/>
      <c r="H98" s="122"/>
      <c r="I98" s="122"/>
      <c r="J98" s="123"/>
      <c r="M98" s="122" t="s">
        <v>130</v>
      </c>
      <c r="N98" s="122"/>
      <c r="O98" s="122"/>
      <c r="P98" s="122"/>
      <c r="Q98" s="122"/>
    </row>
    <row r="99" spans="2:17" ht="15" customHeight="1" x14ac:dyDescent="0.25">
      <c r="B99" s="119"/>
      <c r="D99" s="171">
        <f ca="1">D73</f>
        <v>60.543106355280848</v>
      </c>
      <c r="E99" s="172">
        <f>+F99-0.5</f>
        <v>4.0277745308454005</v>
      </c>
      <c r="F99" s="172">
        <f>+G99-0.5</f>
        <v>4.5277745308454005</v>
      </c>
      <c r="G99" s="133">
        <f>$I$43</f>
        <v>5.0277745308454005</v>
      </c>
      <c r="H99" s="172">
        <f>+G99+0.5</f>
        <v>5.5277745308454005</v>
      </c>
      <c r="I99" s="240">
        <f>+H99+0.5</f>
        <v>6.0277745308454005</v>
      </c>
      <c r="J99" s="239"/>
      <c r="L99" s="126">
        <f ca="1">D78</f>
        <v>5.7167146573315648</v>
      </c>
      <c r="M99" s="172">
        <f>+N99-0.5</f>
        <v>4.0277745308454005</v>
      </c>
      <c r="N99" s="172">
        <f>+O99-0.5</f>
        <v>4.5277745308454005</v>
      </c>
      <c r="O99" s="133">
        <f>$I$43</f>
        <v>5.0277745308454005</v>
      </c>
      <c r="P99" s="172">
        <f>+O99+0.5</f>
        <v>5.5277745308454005</v>
      </c>
      <c r="Q99" s="240">
        <f>+P99+0.5</f>
        <v>6.0277745308454005</v>
      </c>
    </row>
    <row r="100" spans="2:17" ht="15" customHeight="1" x14ac:dyDescent="0.25">
      <c r="B100" s="119"/>
      <c r="D100" s="204">
        <f>D101+0.01</f>
        <v>0.23924063984259891</v>
      </c>
      <c r="E100" s="127">
        <f t="dataTable" ref="E100:I104" dt2D="1" dtr="1" r1="I43" r2="H4" ca="1"/>
        <v>48.499115834134436</v>
      </c>
      <c r="F100" s="127">
        <v>44.514551603778933</v>
      </c>
      <c r="G100" s="127">
        <v>44.514551603778933</v>
      </c>
      <c r="H100" s="127">
        <v>48.499115834134436</v>
      </c>
      <c r="I100" s="127">
        <v>56.46824429484542</v>
      </c>
      <c r="J100" s="128"/>
      <c r="L100" s="204">
        <f>L101+0.01</f>
        <v>0.23924063984259891</v>
      </c>
      <c r="M100" s="129">
        <f t="dataTable" ref="M100:Q104" dt2D="1" dtr="1" r1="I43" r2="H4" ca="1"/>
        <v>4.6754420638287195</v>
      </c>
      <c r="N100" s="129">
        <v>4.330953455768439</v>
      </c>
      <c r="O100" s="129">
        <v>4.330953455768439</v>
      </c>
      <c r="P100" s="129">
        <v>4.6754420638287195</v>
      </c>
      <c r="Q100" s="129">
        <v>5.3644192799492796</v>
      </c>
    </row>
    <row r="101" spans="2:17" ht="15" customHeight="1" x14ac:dyDescent="0.25">
      <c r="B101" s="119"/>
      <c r="D101" s="204">
        <f>D102+0.01</f>
        <v>0.2292406398425989</v>
      </c>
      <c r="E101" s="127">
        <v>50.191841656567043</v>
      </c>
      <c r="F101" s="127">
        <v>46.056796466255847</v>
      </c>
      <c r="G101" s="127">
        <v>46.056796466255847</v>
      </c>
      <c r="H101" s="127">
        <v>50.191841656567043</v>
      </c>
      <c r="I101" s="127">
        <v>58.461932037189435</v>
      </c>
      <c r="J101" s="128"/>
      <c r="L101" s="204">
        <f>L102+0.01</f>
        <v>0.2292406398425989</v>
      </c>
      <c r="M101" s="129">
        <v>4.8217879949483882</v>
      </c>
      <c r="N101" s="129">
        <v>4.4642894381364258</v>
      </c>
      <c r="O101" s="129">
        <v>4.4642894381364258</v>
      </c>
      <c r="P101" s="129">
        <v>4.8217879949483882</v>
      </c>
      <c r="Q101" s="129">
        <v>5.5367851085723139</v>
      </c>
    </row>
    <row r="102" spans="2:17" ht="15" customHeight="1" x14ac:dyDescent="0.25">
      <c r="B102" s="119"/>
      <c r="C102" s="124" t="s">
        <v>127</v>
      </c>
      <c r="D102" s="130">
        <f>WACC!$E$21</f>
        <v>0.21924063984259889</v>
      </c>
      <c r="E102" s="127">
        <v>51.958088734493266</v>
      </c>
      <c r="F102" s="127">
        <v>47.665579924099475</v>
      </c>
      <c r="G102" s="127">
        <v>47.665579924099475</v>
      </c>
      <c r="H102" s="127">
        <v>51.958088734493266</v>
      </c>
      <c r="I102" s="127">
        <v>60.543106355280848</v>
      </c>
      <c r="J102" s="128"/>
      <c r="K102" s="124" t="s">
        <v>127</v>
      </c>
      <c r="L102" s="130">
        <f>WACC!$E$21</f>
        <v>0.21924063984259889</v>
      </c>
      <c r="M102" s="129">
        <v>4.9744902635503072</v>
      </c>
      <c r="N102" s="129">
        <v>4.603378066659678</v>
      </c>
      <c r="O102" s="129">
        <v>4.603378066659678</v>
      </c>
      <c r="P102" s="129">
        <v>4.9744902635503072</v>
      </c>
      <c r="Q102" s="129">
        <v>5.7167146573315648</v>
      </c>
    </row>
    <row r="103" spans="2:17" ht="15" customHeight="1" x14ac:dyDescent="0.25">
      <c r="B103" s="119"/>
      <c r="D103" s="204">
        <f t="shared" ref="D103:D104" si="18">D102-0.01</f>
        <v>0.20924063984259889</v>
      </c>
      <c r="E103" s="127">
        <v>53.801776709197654</v>
      </c>
      <c r="F103" s="127">
        <v>49.344436293201461</v>
      </c>
      <c r="G103" s="127">
        <v>49.344436293201461</v>
      </c>
      <c r="H103" s="127">
        <v>53.801776709197654</v>
      </c>
      <c r="I103" s="127">
        <v>62.716457541190024</v>
      </c>
      <c r="J103" s="128"/>
      <c r="L103" s="204">
        <f t="shared" ref="L103:L104" si="19">L102-0.01</f>
        <v>0.20924063984259889</v>
      </c>
      <c r="M103" s="129">
        <v>5.1338877452786225</v>
      </c>
      <c r="N103" s="129">
        <v>4.7485249033749897</v>
      </c>
      <c r="O103" s="129">
        <v>4.7485249033749897</v>
      </c>
      <c r="P103" s="129">
        <v>5.1338877452786225</v>
      </c>
      <c r="Q103" s="129">
        <v>5.9046134290858889</v>
      </c>
    </row>
    <row r="104" spans="2:17" ht="15" customHeight="1" x14ac:dyDescent="0.25">
      <c r="B104" s="119"/>
      <c r="D104" s="205">
        <f t="shared" si="18"/>
        <v>0.19924063984259888</v>
      </c>
      <c r="E104" s="127">
        <v>55.727071259815652</v>
      </c>
      <c r="F104" s="127">
        <v>51.097121223197497</v>
      </c>
      <c r="G104" s="127">
        <v>51.097121223197497</v>
      </c>
      <c r="H104" s="127">
        <v>55.727071259815652</v>
      </c>
      <c r="I104" s="127">
        <v>64.98697133305194</v>
      </c>
      <c r="J104" s="128"/>
      <c r="L104" s="205">
        <f t="shared" si="19"/>
        <v>0.19924063984259888</v>
      </c>
      <c r="M104" s="129">
        <v>5.3003405871717657</v>
      </c>
      <c r="N104" s="129">
        <v>4.9000546459006094</v>
      </c>
      <c r="O104" s="129">
        <v>4.9000546459006094</v>
      </c>
      <c r="P104" s="129">
        <v>5.3003405871717657</v>
      </c>
      <c r="Q104" s="129">
        <v>6.1009124697140775</v>
      </c>
    </row>
    <row r="105" spans="2:17" x14ac:dyDescent="0.25">
      <c r="J105" s="134"/>
    </row>
    <row r="106" spans="2:17" x14ac:dyDescent="0.25">
      <c r="B106" s="135" t="s">
        <v>131</v>
      </c>
      <c r="C106" s="135"/>
      <c r="D106" s="135"/>
      <c r="E106" s="135"/>
      <c r="G106" s="135" t="s">
        <v>132</v>
      </c>
      <c r="H106" s="135"/>
      <c r="I106" s="135"/>
      <c r="J106" s="136"/>
      <c r="K106" s="135"/>
      <c r="L106" s="135"/>
      <c r="M106" s="135"/>
      <c r="N106" s="135"/>
      <c r="O106" s="135"/>
      <c r="P106" s="135"/>
    </row>
    <row r="107" spans="2:17" x14ac:dyDescent="0.25">
      <c r="J107" s="134"/>
    </row>
    <row r="108" spans="2:17" x14ac:dyDescent="0.25">
      <c r="J108" s="134"/>
    </row>
    <row r="109" spans="2:17" x14ac:dyDescent="0.25">
      <c r="J109" s="134"/>
    </row>
    <row r="110" spans="2:17" x14ac:dyDescent="0.25">
      <c r="J110" s="134"/>
    </row>
    <row r="111" spans="2:17" x14ac:dyDescent="0.25">
      <c r="J111" s="134"/>
    </row>
    <row r="112" spans="2:17" x14ac:dyDescent="0.25">
      <c r="J112" s="134"/>
    </row>
    <row r="113" spans="2:17" x14ac:dyDescent="0.25">
      <c r="J113" s="134"/>
    </row>
    <row r="114" spans="2:17" x14ac:dyDescent="0.25">
      <c r="J114" s="134"/>
    </row>
    <row r="115" spans="2:17" x14ac:dyDescent="0.25">
      <c r="J115" s="134"/>
    </row>
    <row r="116" spans="2:17" x14ac:dyDescent="0.25">
      <c r="J116" s="134"/>
    </row>
    <row r="117" spans="2:17" x14ac:dyDescent="0.25">
      <c r="J117" s="134"/>
    </row>
    <row r="118" spans="2:17" x14ac:dyDescent="0.25">
      <c r="J118" s="134"/>
    </row>
    <row r="119" spans="2:17" x14ac:dyDescent="0.25">
      <c r="J119" s="134"/>
    </row>
    <row r="120" spans="2:17" x14ac:dyDescent="0.25">
      <c r="J120" s="134"/>
      <c r="M120" s="137"/>
    </row>
    <row r="121" spans="2:17" x14ac:dyDescent="0.25">
      <c r="J121" s="134"/>
    </row>
    <row r="122" spans="2:17" x14ac:dyDescent="0.25">
      <c r="J122" s="134"/>
    </row>
    <row r="123" spans="2:17" x14ac:dyDescent="0.25">
      <c r="J123" s="134"/>
    </row>
    <row r="124" spans="2:17" x14ac:dyDescent="0.25">
      <c r="J124" s="134"/>
    </row>
    <row r="125" spans="2:17" x14ac:dyDescent="0.25">
      <c r="J125" s="134"/>
    </row>
    <row r="126" spans="2:17" x14ac:dyDescent="0.25">
      <c r="J126" s="134"/>
    </row>
    <row r="127" spans="2:17" x14ac:dyDescent="0.25">
      <c r="B127" s="138"/>
      <c r="C127" s="139" t="s">
        <v>133</v>
      </c>
      <c r="D127" s="139" t="s">
        <v>134</v>
      </c>
      <c r="E127" s="140" t="s">
        <v>135</v>
      </c>
      <c r="G127" s="138"/>
      <c r="H127" s="141"/>
      <c r="I127" s="141"/>
      <c r="J127" s="142"/>
      <c r="K127" s="141"/>
      <c r="L127" s="141"/>
      <c r="M127" s="141"/>
      <c r="N127" s="141"/>
      <c r="O127" s="139" t="s">
        <v>133</v>
      </c>
      <c r="P127" s="139" t="s">
        <v>134</v>
      </c>
      <c r="Q127" s="140" t="s">
        <v>135</v>
      </c>
    </row>
    <row r="128" spans="2:17" x14ac:dyDescent="0.25">
      <c r="B128" s="173" t="str">
        <f>"DCF Value at "&amp;TEXT(E99,"0.0x")&amp;"-"&amp;TEXT(I99,"0.0x")&amp;" Exit EBITDA Range at "&amp;TEXT(D102,"0.0%")&amp;" WACC"</f>
        <v>DCF Value at 4.0x-6.0x Exit EBITDA Range at 21.9% WACC</v>
      </c>
      <c r="C128" s="174">
        <f>E102</f>
        <v>51.958088734493266</v>
      </c>
      <c r="D128" s="174">
        <f>E128-C128</f>
        <v>8.5850176207875819</v>
      </c>
      <c r="E128" s="175">
        <f>I102</f>
        <v>60.543106355280848</v>
      </c>
      <c r="G128" s="173" t="str">
        <f>"LTM EBITDA Purchase Multiple at "&amp;TEXT(M90,"0.0%")&amp;"-"&amp;TEXT(Q90,"0.0%")&amp;" Perpetuity Growth at "&amp;TEXT(L93,"0.0%")&amp;" WACC"</f>
        <v>LTM EBITDA Purchase Multiple at 9.0%-11.0% Perpetuity Growth at 21.9% WACC</v>
      </c>
      <c r="H128"/>
      <c r="I128"/>
      <c r="J128" s="181"/>
      <c r="K128"/>
      <c r="L128"/>
      <c r="M128"/>
      <c r="N128"/>
      <c r="O128" s="182">
        <f>M93</f>
        <v>5.3966714140273577</v>
      </c>
      <c r="P128" s="182">
        <f>Q128-O128</f>
        <v>0.32004324330420708</v>
      </c>
      <c r="Q128" s="183">
        <f>Q93</f>
        <v>5.7167146573315648</v>
      </c>
    </row>
    <row r="129" spans="2:17" x14ac:dyDescent="0.25">
      <c r="B129" s="176" t="str">
        <f>"DCF Value at "&amp;TEXT(E90,"0.0%")&amp;"-"&amp;TEXT(I90,"0.0%")&amp;" Perpetuity Range at "&amp;TEXT(D102,"0.0%")&amp;" WACC"</f>
        <v>DCF Value at 9.0%-11.0% Perpetuity Range at 21.9% WACC</v>
      </c>
      <c r="C129" s="174">
        <f>E93</f>
        <v>56.841292043866062</v>
      </c>
      <c r="D129" s="174">
        <f>E129-C129</f>
        <v>3.7018143114147861</v>
      </c>
      <c r="E129" s="175">
        <f>I93</f>
        <v>60.543106355280848</v>
      </c>
      <c r="G129" s="176" t="str">
        <f>"LTM EBITDA Purchase Multiple at "&amp;TEXT(M102,"0.0x")&amp;"-"&amp;TEXT(Q102,"0.0x")&amp;" Exit EBITDA Multiple at "&amp;TEXT(L102,"0.0%")&amp;" WACC"</f>
        <v>LTM EBITDA Purchase Multiple at 5.0x-5.7x Exit EBITDA Multiple at 21.9% WACC</v>
      </c>
      <c r="H129"/>
      <c r="I129"/>
      <c r="J129" s="181"/>
      <c r="K129"/>
      <c r="L129"/>
      <c r="M129"/>
      <c r="N129"/>
      <c r="O129" s="182">
        <f>M102</f>
        <v>4.9744902635503072</v>
      </c>
      <c r="P129" s="182">
        <f>Q129-O129</f>
        <v>0.7422243937812576</v>
      </c>
      <c r="Q129" s="183">
        <f>Q102</f>
        <v>5.7167146573315648</v>
      </c>
    </row>
    <row r="130" spans="2:17" x14ac:dyDescent="0.25">
      <c r="B130" s="177" t="s">
        <v>136</v>
      </c>
      <c r="C130" s="178">
        <v>50.02</v>
      </c>
      <c r="D130" s="179">
        <f>E130-C130</f>
        <v>51.38</v>
      </c>
      <c r="E130" s="180">
        <v>101.4</v>
      </c>
      <c r="G130" s="177" t="str">
        <f>"LTM EBITDA Purchase Multiple at "&amp;TEXT(L104,"0.0%")&amp;"-"&amp;TEXT(L100,"0.0%")&amp;" WACC at "&amp;TEXT(O99,"0.0x")&amp;" Exit EBITDA"</f>
        <v>LTM EBITDA Purchase Multiple at 19.9%-23.9% WACC at 5.0x Exit EBITDA</v>
      </c>
      <c r="H130" s="42"/>
      <c r="I130" s="42"/>
      <c r="J130" s="184"/>
      <c r="K130" s="42"/>
      <c r="L130" s="42"/>
      <c r="M130" s="42"/>
      <c r="N130" s="42"/>
      <c r="O130" s="179">
        <f>O100</f>
        <v>4.330953455768439</v>
      </c>
      <c r="P130" s="179">
        <f>Q130-O130</f>
        <v>0.56910119013217031</v>
      </c>
      <c r="Q130" s="185">
        <f>O104</f>
        <v>4.9000546459006094</v>
      </c>
    </row>
    <row r="131" spans="2:17" x14ac:dyDescent="0.25">
      <c r="J131" s="134"/>
    </row>
    <row r="132" spans="2:17" x14ac:dyDescent="0.25">
      <c r="J132" s="134"/>
    </row>
  </sheetData>
  <conditionalFormatting sqref="E91:J95 E100:J104">
    <cfRule type="cellIs" dxfId="1" priority="2" operator="lessThan">
      <formula>#REF!</formula>
    </cfRule>
  </conditionalFormatting>
  <pageMargins left="0.7" right="0.7" top="0.75" bottom="0.75" header="0.3" footer="0.3"/>
  <pageSetup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F4E94-4BEA-4BEC-A3D4-AE92824096F5}">
  <dimension ref="B1:I24"/>
  <sheetViews>
    <sheetView zoomScaleNormal="100" workbookViewId="0">
      <selection activeCell="E19" sqref="E19"/>
    </sheetView>
  </sheetViews>
  <sheetFormatPr defaultColWidth="9.140625" defaultRowHeight="15" x14ac:dyDescent="0.25"/>
  <cols>
    <col min="1" max="1" width="1.42578125" style="54" customWidth="1"/>
    <col min="2" max="2" width="50.28515625" style="54" customWidth="1"/>
    <col min="3" max="3" width="15.5703125" style="54" bestFit="1" customWidth="1"/>
    <col min="4" max="9" width="12.7109375" style="54" customWidth="1"/>
    <col min="10" max="10" width="1.7109375" style="54" customWidth="1"/>
    <col min="11" max="11" width="11" style="54" bestFit="1" customWidth="1"/>
    <col min="12" max="16" width="9.42578125" style="54" customWidth="1"/>
    <col min="17" max="16384" width="9.140625" style="54"/>
  </cols>
  <sheetData>
    <row r="1" spans="2:9" ht="15.75" thickBot="1" x14ac:dyDescent="0.3"/>
    <row r="2" spans="2:9" ht="15.75" thickBot="1" x14ac:dyDescent="0.3">
      <c r="B2" s="55" t="s">
        <v>137</v>
      </c>
      <c r="C2" s="56"/>
      <c r="D2" s="56"/>
      <c r="E2" s="56"/>
      <c r="F2" s="56"/>
      <c r="G2" s="56"/>
      <c r="H2" s="56"/>
      <c r="I2" s="56"/>
    </row>
    <row r="3" spans="2:9" x14ac:dyDescent="0.25">
      <c r="B3" s="57" t="str">
        <f>DCF!B3</f>
        <v>All amounts are shown in Egyptian pounds, except per-share data, ratios, and shares outstanding</v>
      </c>
    </row>
    <row r="4" spans="2:9" ht="15" customHeight="1" x14ac:dyDescent="0.25">
      <c r="B4" s="144" t="s">
        <v>138</v>
      </c>
      <c r="C4" s="145"/>
      <c r="D4" s="145"/>
      <c r="E4" s="146"/>
      <c r="F4" s="147"/>
    </row>
    <row r="5" spans="2:9" x14ac:dyDescent="0.25">
      <c r="E5" s="97"/>
    </row>
    <row r="6" spans="2:9" ht="15" customHeight="1" x14ac:dyDescent="0.25">
      <c r="B6" s="54" t="s">
        <v>139</v>
      </c>
      <c r="C6" s="151">
        <v>0.25</v>
      </c>
    </row>
    <row r="7" spans="2:9" ht="15" customHeight="1" x14ac:dyDescent="0.25">
      <c r="B7" s="54" t="s">
        <v>27</v>
      </c>
      <c r="C7" s="151">
        <f>FSM!G67</f>
        <v>0.22500000000000001</v>
      </c>
    </row>
    <row r="8" spans="2:9" ht="15" customHeight="1" x14ac:dyDescent="0.25">
      <c r="B8" s="54" t="s">
        <v>140</v>
      </c>
      <c r="C8" s="152">
        <f>C6*(1-C7)</f>
        <v>0.19375000000000001</v>
      </c>
    </row>
    <row r="10" spans="2:9" x14ac:dyDescent="0.25">
      <c r="B10" s="54" t="s">
        <v>141</v>
      </c>
      <c r="C10" s="150">
        <v>0.19700000000000001</v>
      </c>
    </row>
    <row r="11" spans="2:9" x14ac:dyDescent="0.25">
      <c r="B11" s="54" t="s">
        <v>142</v>
      </c>
      <c r="C11" s="166">
        <f>(2/3*0.3)+1/3</f>
        <v>0.53333333333333333</v>
      </c>
    </row>
    <row r="12" spans="2:9" ht="15" customHeight="1" x14ac:dyDescent="0.25">
      <c r="B12" s="54" t="s">
        <v>143</v>
      </c>
      <c r="C12" s="153">
        <v>4.4600000000000001E-2</v>
      </c>
    </row>
    <row r="13" spans="2:9" x14ac:dyDescent="0.25">
      <c r="B13" s="54" t="s">
        <v>144</v>
      </c>
      <c r="C13" s="154">
        <f>C10+C11*C12</f>
        <v>0.22078666666666669</v>
      </c>
    </row>
    <row r="14" spans="2:9" x14ac:dyDescent="0.25">
      <c r="C14" s="155"/>
    </row>
    <row r="15" spans="2:9" x14ac:dyDescent="0.25">
      <c r="B15" s="148" t="s">
        <v>145</v>
      </c>
      <c r="C15" s="156"/>
      <c r="D15" s="156"/>
      <c r="E15" s="156"/>
    </row>
    <row r="16" spans="2:9" x14ac:dyDescent="0.25">
      <c r="B16" s="75"/>
      <c r="C16" s="124"/>
      <c r="D16" s="124" t="s">
        <v>146</v>
      </c>
    </row>
    <row r="17" spans="2:5" ht="17.25" x14ac:dyDescent="0.4">
      <c r="C17" s="157" t="s">
        <v>147</v>
      </c>
      <c r="D17" s="157" t="s">
        <v>148</v>
      </c>
      <c r="E17" s="157" t="s">
        <v>149</v>
      </c>
    </row>
    <row r="18" spans="2:5" x14ac:dyDescent="0.25">
      <c r="B18" s="54" t="s">
        <v>15</v>
      </c>
      <c r="C18" s="73">
        <f>DCF!I61*DCF!H5</f>
        <v>199883417242</v>
      </c>
      <c r="D18" s="158"/>
      <c r="E18" s="159">
        <f>C18/(C18+C19)</f>
        <v>0.94281740263588487</v>
      </c>
    </row>
    <row r="19" spans="2:5" x14ac:dyDescent="0.25">
      <c r="B19" s="54" t="s">
        <v>103</v>
      </c>
      <c r="C19" s="73">
        <f>DCF!C57</f>
        <v>12123082302</v>
      </c>
      <c r="D19" s="160"/>
      <c r="E19" s="159">
        <f>C19/(C19+C18)</f>
        <v>5.718259736411508E-2</v>
      </c>
    </row>
    <row r="21" spans="2:5" x14ac:dyDescent="0.25">
      <c r="B21" s="149" t="s">
        <v>150</v>
      </c>
      <c r="C21" s="161"/>
      <c r="D21" s="141"/>
      <c r="E21" s="162">
        <f>+C8*E19+C13*E18</f>
        <v>0.21924063984259889</v>
      </c>
    </row>
    <row r="22" spans="2:5" x14ac:dyDescent="0.25">
      <c r="B22" s="74"/>
      <c r="C22" s="102"/>
    </row>
    <row r="23" spans="2:5" x14ac:dyDescent="0.25">
      <c r="B23" s="74"/>
      <c r="C23" s="102"/>
    </row>
    <row r="24" spans="2:5" x14ac:dyDescent="0.25">
      <c r="B24" s="74"/>
      <c r="C24" s="102"/>
    </row>
  </sheetData>
  <conditionalFormatting sqref="B22:C24">
    <cfRule type="expression" dxfId="0" priority="1">
      <formula>#REF!="Industry"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FSM</vt:lpstr>
      <vt:lpstr>NAV</vt:lpstr>
      <vt:lpstr>DCF</vt:lpstr>
      <vt:lpstr>WACC</vt:lpstr>
      <vt:lpstr>Company_Name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Ahmed WAEL</dc:creator>
  <dc:description/>
  <cp:lastModifiedBy>Ahmed Wael</cp:lastModifiedBy>
  <cp:revision>0</cp:revision>
  <dcterms:created xsi:type="dcterms:W3CDTF">2015-06-05T18:17:20Z</dcterms:created>
  <dcterms:modified xsi:type="dcterms:W3CDTF">2026-06-07T01:51:27Z</dcterms:modified>
  <dc:language>en-US</dc:language>
</cp:coreProperties>
</file>