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ETEL - CA\"/>
    </mc:Choice>
  </mc:AlternateContent>
  <xr:revisionPtr revIDLastSave="0" documentId="13_ncr:1_{487E352C-CF0C-4469-8175-1CC1DA66178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226" i="1" l="1"/>
  <c r="I225" i="1"/>
  <c r="J225" i="1" s="1"/>
  <c r="K225" i="1" s="1"/>
  <c r="H225" i="1"/>
  <c r="C18" i="3"/>
  <c r="I56" i="2"/>
  <c r="I61" i="2" s="1"/>
  <c r="D70" i="2"/>
  <c r="C70" i="2"/>
  <c r="C11" i="3"/>
  <c r="C13" i="3"/>
  <c r="C8" i="3"/>
  <c r="C6" i="3"/>
  <c r="C64" i="2"/>
  <c r="C63" i="2"/>
  <c r="C62" i="2"/>
  <c r="C60" i="2"/>
  <c r="C57" i="2"/>
  <c r="C19" i="3" s="1"/>
  <c r="H5" i="2"/>
  <c r="D27" i="2"/>
  <c r="F133" i="1"/>
  <c r="D72" i="2" l="1"/>
  <c r="C72" i="2"/>
  <c r="C65" i="2"/>
  <c r="E18" i="3"/>
  <c r="E19" i="3" l="1"/>
  <c r="E21" i="3" s="1"/>
  <c r="D32" i="2" l="1"/>
  <c r="D25" i="2"/>
  <c r="I22" i="2"/>
  <c r="H22" i="2"/>
  <c r="G22" i="2"/>
  <c r="F22" i="2"/>
  <c r="E22" i="2"/>
  <c r="D22" i="2"/>
  <c r="D18" i="2"/>
  <c r="D16" i="2"/>
  <c r="D14" i="2"/>
  <c r="D28" i="2" s="1"/>
  <c r="G137" i="1"/>
  <c r="D10" i="1"/>
  <c r="F40" i="1" s="1"/>
  <c r="G32" i="1"/>
  <c r="F278" i="1"/>
  <c r="E278" i="1"/>
  <c r="D278" i="1"/>
  <c r="G96" i="1"/>
  <c r="H96" i="1" s="1"/>
  <c r="I96" i="1" s="1"/>
  <c r="J96" i="1" s="1"/>
  <c r="K96" i="1" s="1"/>
  <c r="G87" i="1"/>
  <c r="H87" i="1" s="1"/>
  <c r="I87" i="1" s="1"/>
  <c r="J87" i="1" s="1"/>
  <c r="K87" i="1" s="1"/>
  <c r="G85" i="1"/>
  <c r="H85" i="1" s="1"/>
  <c r="I85" i="1" s="1"/>
  <c r="J85" i="1" s="1"/>
  <c r="K85" i="1" s="1"/>
  <c r="G151" i="1"/>
  <c r="H302" i="1"/>
  <c r="I302" i="1" s="1"/>
  <c r="J302" i="1" s="1"/>
  <c r="K302" i="1" s="1"/>
  <c r="E297" i="1"/>
  <c r="D297" i="1"/>
  <c r="F297" i="1"/>
  <c r="F296" i="1"/>
  <c r="E296" i="1"/>
  <c r="E301" i="1" s="1"/>
  <c r="D296" i="1"/>
  <c r="F299" i="1"/>
  <c r="G295" i="1" s="1"/>
  <c r="E299" i="1"/>
  <c r="F295" i="1" s="1"/>
  <c r="D299" i="1"/>
  <c r="E295" i="1" s="1"/>
  <c r="F284" i="1"/>
  <c r="E284" i="1"/>
  <c r="D284" i="1"/>
  <c r="F286" i="1"/>
  <c r="E286" i="1"/>
  <c r="F283" i="1" s="1"/>
  <c r="D286" i="1"/>
  <c r="E283" i="1" s="1"/>
  <c r="F280" i="1"/>
  <c r="E280" i="1"/>
  <c r="F276" i="1" s="1"/>
  <c r="D280" i="1"/>
  <c r="E276" i="1" s="1"/>
  <c r="G106" i="1"/>
  <c r="H106" i="1" s="1"/>
  <c r="I106" i="1" s="1"/>
  <c r="J106" i="1" s="1"/>
  <c r="K106" i="1" s="1"/>
  <c r="G104" i="1"/>
  <c r="H104" i="1" s="1"/>
  <c r="I104" i="1" s="1"/>
  <c r="J104" i="1" s="1"/>
  <c r="K104" i="1" s="1"/>
  <c r="G103" i="1"/>
  <c r="H103" i="1" s="1"/>
  <c r="I103" i="1" s="1"/>
  <c r="J103" i="1" s="1"/>
  <c r="K103" i="1" s="1"/>
  <c r="D17" i="2" l="1"/>
  <c r="D19" i="2"/>
  <c r="D33" i="2"/>
  <c r="D21" i="2"/>
  <c r="D23" i="2"/>
  <c r="D30" i="2" s="1"/>
  <c r="F301" i="1"/>
  <c r="G296" i="1"/>
  <c r="H296" i="1" s="1"/>
  <c r="I296" i="1" s="1"/>
  <c r="J296" i="1" s="1"/>
  <c r="K296" i="1" s="1"/>
  <c r="E302" i="1"/>
  <c r="F302" i="1"/>
  <c r="D302" i="1"/>
  <c r="F285" i="1"/>
  <c r="E285" i="1"/>
  <c r="G283" i="1"/>
  <c r="G276" i="1"/>
  <c r="D285" i="1"/>
  <c r="G28" i="1" l="1"/>
  <c r="G122" i="1" s="1"/>
  <c r="G297" i="1"/>
  <c r="G299" i="1" l="1"/>
  <c r="H295" i="1" s="1"/>
  <c r="G134" i="1"/>
  <c r="H28" i="1" l="1"/>
  <c r="H122" i="1" s="1"/>
  <c r="H297" i="1"/>
  <c r="H299" i="1" s="1"/>
  <c r="G73" i="1"/>
  <c r="H134" i="1" l="1"/>
  <c r="H73" i="1"/>
  <c r="I295" i="1"/>
  <c r="I28" i="1" l="1"/>
  <c r="I122" i="1" s="1"/>
  <c r="I297" i="1"/>
  <c r="I299" i="1" s="1"/>
  <c r="J295" i="1" s="1"/>
  <c r="J297" i="1" l="1"/>
  <c r="I134" i="1"/>
  <c r="J28" i="1"/>
  <c r="J122" i="1" s="1"/>
  <c r="I73" i="1"/>
  <c r="J134" i="1" l="1"/>
  <c r="J299" i="1"/>
  <c r="K295" i="1" s="1"/>
  <c r="G94" i="1"/>
  <c r="H94" i="1" s="1"/>
  <c r="I94" i="1" s="1"/>
  <c r="J94" i="1" s="1"/>
  <c r="K94" i="1" s="1"/>
  <c r="G75" i="1"/>
  <c r="H75" i="1" s="1"/>
  <c r="I75" i="1" s="1"/>
  <c r="J75" i="1" s="1"/>
  <c r="K75" i="1" s="1"/>
  <c r="G77" i="1"/>
  <c r="H77" i="1" s="1"/>
  <c r="I77" i="1" s="1"/>
  <c r="J77" i="1" s="1"/>
  <c r="K77" i="1" s="1"/>
  <c r="F268" i="1"/>
  <c r="E268" i="1"/>
  <c r="F267" i="1"/>
  <c r="E267" i="1"/>
  <c r="D268" i="1"/>
  <c r="D267" i="1"/>
  <c r="F263" i="1"/>
  <c r="G264" i="1" s="1"/>
  <c r="E263" i="1"/>
  <c r="D263" i="1"/>
  <c r="F264" i="1" l="1"/>
  <c r="F265" i="1" s="1"/>
  <c r="J73" i="1"/>
  <c r="K28" i="1"/>
  <c r="K122" i="1" s="1"/>
  <c r="E264" i="1"/>
  <c r="E265" i="1" s="1"/>
  <c r="D269" i="1"/>
  <c r="E269" i="1"/>
  <c r="F269" i="1"/>
  <c r="G265" i="1" l="1"/>
  <c r="H265" i="1" s="1"/>
  <c r="I265" i="1" s="1"/>
  <c r="J265" i="1" s="1"/>
  <c r="K265" i="1" s="1"/>
  <c r="K297" i="1"/>
  <c r="F258" i="1"/>
  <c r="G258" i="1" s="1"/>
  <c r="E258" i="1"/>
  <c r="F257" i="1" s="1"/>
  <c r="D258" i="1"/>
  <c r="E257" i="1" s="1"/>
  <c r="F245" i="1"/>
  <c r="E245" i="1"/>
  <c r="F244" i="1"/>
  <c r="E244" i="1"/>
  <c r="F243" i="1"/>
  <c r="E243" i="1"/>
  <c r="F242" i="1"/>
  <c r="E242" i="1"/>
  <c r="F238" i="1"/>
  <c r="E238" i="1"/>
  <c r="F237" i="1"/>
  <c r="E237" i="1"/>
  <c r="F236" i="1"/>
  <c r="E236" i="1"/>
  <c r="F235" i="1"/>
  <c r="E235" i="1"/>
  <c r="D245" i="1"/>
  <c r="D244" i="1"/>
  <c r="D243" i="1"/>
  <c r="D242" i="1"/>
  <c r="D238" i="1"/>
  <c r="D237" i="1"/>
  <c r="D236" i="1"/>
  <c r="D235" i="1"/>
  <c r="F163" i="1"/>
  <c r="G160" i="1" s="1"/>
  <c r="E163" i="1"/>
  <c r="F160" i="1" s="1"/>
  <c r="H171" i="1"/>
  <c r="I171" i="1" s="1"/>
  <c r="J171" i="1" s="1"/>
  <c r="K171" i="1" s="1"/>
  <c r="F166" i="1"/>
  <c r="E166" i="1"/>
  <c r="D166" i="1"/>
  <c r="F165" i="1"/>
  <c r="E165" i="1"/>
  <c r="D165" i="1"/>
  <c r="D170" i="1"/>
  <c r="D172" i="1" s="1"/>
  <c r="E170" i="1"/>
  <c r="E172" i="1" s="1"/>
  <c r="F170" i="1"/>
  <c r="F171" i="1" s="1"/>
  <c r="D163" i="1"/>
  <c r="E160" i="1" s="1"/>
  <c r="I32" i="1"/>
  <c r="J32" i="1" s="1"/>
  <c r="K32" i="1" s="1"/>
  <c r="F50" i="1"/>
  <c r="E50" i="1"/>
  <c r="D50" i="1"/>
  <c r="F49" i="1"/>
  <c r="E49" i="1"/>
  <c r="G49" i="1" s="1"/>
  <c r="D49" i="1"/>
  <c r="F48" i="1"/>
  <c r="E48" i="1"/>
  <c r="D48" i="1"/>
  <c r="F47" i="1"/>
  <c r="E47" i="1"/>
  <c r="D47" i="1"/>
  <c r="F46" i="1"/>
  <c r="G46" i="1" s="1"/>
  <c r="H46" i="1" s="1"/>
  <c r="I46" i="1" s="1"/>
  <c r="J46" i="1" s="1"/>
  <c r="K46" i="1" s="1"/>
  <c r="E46" i="1"/>
  <c r="D46" i="1"/>
  <c r="F44" i="1"/>
  <c r="E44" i="1"/>
  <c r="G201" i="1"/>
  <c r="H201" i="1" s="1"/>
  <c r="I201" i="1" s="1"/>
  <c r="J201" i="1" s="1"/>
  <c r="K201" i="1" s="1"/>
  <c r="G200" i="1"/>
  <c r="H200" i="1" s="1"/>
  <c r="I200" i="1" s="1"/>
  <c r="J200" i="1" s="1"/>
  <c r="K200" i="1" s="1"/>
  <c r="G199" i="1"/>
  <c r="H199" i="1" s="1"/>
  <c r="I199" i="1" s="1"/>
  <c r="J199" i="1" s="1"/>
  <c r="K199" i="1" s="1"/>
  <c r="G198" i="1"/>
  <c r="H198" i="1" s="1"/>
  <c r="I198" i="1" s="1"/>
  <c r="J198" i="1" s="1"/>
  <c r="K198" i="1" s="1"/>
  <c r="G197" i="1"/>
  <c r="H197" i="1" s="1"/>
  <c r="I197" i="1" s="1"/>
  <c r="J197" i="1" s="1"/>
  <c r="K197" i="1" s="1"/>
  <c r="G195" i="1"/>
  <c r="H195" i="1" s="1"/>
  <c r="I195" i="1" s="1"/>
  <c r="J195" i="1" s="1"/>
  <c r="K195" i="1" s="1"/>
  <c r="G194" i="1"/>
  <c r="H194" i="1" s="1"/>
  <c r="I194" i="1" s="1"/>
  <c r="J194" i="1" s="1"/>
  <c r="K194" i="1" s="1"/>
  <c r="G193" i="1"/>
  <c r="H193" i="1" s="1"/>
  <c r="I193" i="1" s="1"/>
  <c r="J193" i="1" s="1"/>
  <c r="K193" i="1" s="1"/>
  <c r="G191" i="1"/>
  <c r="H191" i="1" s="1"/>
  <c r="I191" i="1" s="1"/>
  <c r="J191" i="1" s="1"/>
  <c r="K191" i="1" s="1"/>
  <c r="G190" i="1"/>
  <c r="H190" i="1" s="1"/>
  <c r="I190" i="1" s="1"/>
  <c r="J190" i="1" s="1"/>
  <c r="K190" i="1" s="1"/>
  <c r="G185" i="1"/>
  <c r="H185" i="1" s="1"/>
  <c r="I185" i="1" s="1"/>
  <c r="J185" i="1" s="1"/>
  <c r="K185" i="1" s="1"/>
  <c r="G184" i="1"/>
  <c r="H184" i="1" s="1"/>
  <c r="I184" i="1" s="1"/>
  <c r="J184" i="1" s="1"/>
  <c r="K184" i="1" s="1"/>
  <c r="G183" i="1"/>
  <c r="H183" i="1" s="1"/>
  <c r="I183" i="1" s="1"/>
  <c r="J183" i="1" s="1"/>
  <c r="K183" i="1" s="1"/>
  <c r="G181" i="1"/>
  <c r="H181" i="1" s="1"/>
  <c r="I181" i="1" s="1"/>
  <c r="J181" i="1" s="1"/>
  <c r="K181" i="1" s="1"/>
  <c r="G180" i="1"/>
  <c r="F228" i="1"/>
  <c r="F227" i="1"/>
  <c r="F226" i="1"/>
  <c r="F225" i="1"/>
  <c r="F224" i="1"/>
  <c r="F222" i="1"/>
  <c r="F221" i="1"/>
  <c r="F220" i="1"/>
  <c r="F218" i="1"/>
  <c r="F217" i="1"/>
  <c r="F213" i="1"/>
  <c r="F212" i="1"/>
  <c r="F211" i="1"/>
  <c r="F209" i="1"/>
  <c r="F208" i="1"/>
  <c r="E228" i="1"/>
  <c r="E226" i="1"/>
  <c r="E225" i="1"/>
  <c r="E224" i="1"/>
  <c r="E222" i="1"/>
  <c r="E221" i="1"/>
  <c r="E220" i="1"/>
  <c r="E218" i="1"/>
  <c r="E217" i="1"/>
  <c r="E213" i="1"/>
  <c r="E212" i="1"/>
  <c r="E211" i="1"/>
  <c r="E209" i="1"/>
  <c r="E208" i="1"/>
  <c r="E78" i="1"/>
  <c r="F107" i="1"/>
  <c r="F109" i="1" s="1"/>
  <c r="E107" i="1"/>
  <c r="E109" i="1" s="1"/>
  <c r="D107" i="1"/>
  <c r="D109" i="1" s="1"/>
  <c r="F91" i="1"/>
  <c r="E91" i="1"/>
  <c r="D91" i="1"/>
  <c r="F98" i="1"/>
  <c r="E98" i="1"/>
  <c r="D98" i="1"/>
  <c r="F66" i="1"/>
  <c r="E66" i="1"/>
  <c r="D66" i="1"/>
  <c r="F78" i="1"/>
  <c r="D78" i="1"/>
  <c r="F27" i="1"/>
  <c r="E27" i="1"/>
  <c r="D27" i="1"/>
  <c r="F18" i="1"/>
  <c r="F24" i="1" s="1"/>
  <c r="E18" i="1"/>
  <c r="E24" i="1" s="1"/>
  <c r="D18" i="1"/>
  <c r="D24" i="1" s="1"/>
  <c r="H4" i="2"/>
  <c r="F259" i="1" l="1"/>
  <c r="F260" i="1" s="1"/>
  <c r="K134" i="1"/>
  <c r="K299" i="1"/>
  <c r="K73" i="1" s="1"/>
  <c r="E259" i="1"/>
  <c r="E260" i="1" s="1"/>
  <c r="H258" i="1"/>
  <c r="I257" i="1" s="1"/>
  <c r="G144" i="1"/>
  <c r="D246" i="1"/>
  <c r="G47" i="1"/>
  <c r="H47" i="1" s="1"/>
  <c r="I47" i="1" s="1"/>
  <c r="J47" i="1" s="1"/>
  <c r="K47" i="1" s="1"/>
  <c r="D239" i="1"/>
  <c r="G48" i="1"/>
  <c r="H48" i="1" s="1"/>
  <c r="I48" i="1" s="1"/>
  <c r="J48" i="1" s="1"/>
  <c r="K48" i="1" s="1"/>
  <c r="G166" i="1"/>
  <c r="H166" i="1" s="1"/>
  <c r="E37" i="1"/>
  <c r="E38" i="1" s="1"/>
  <c r="E246" i="1"/>
  <c r="G186" i="1"/>
  <c r="G50" i="1"/>
  <c r="H50" i="1" s="1"/>
  <c r="I50" i="1" s="1"/>
  <c r="J50" i="1" s="1"/>
  <c r="K50" i="1" s="1"/>
  <c r="D171" i="1"/>
  <c r="D37" i="1"/>
  <c r="D38" i="1" s="1"/>
  <c r="E239" i="1"/>
  <c r="F239" i="1"/>
  <c r="F246" i="1"/>
  <c r="G257" i="1"/>
  <c r="G259" i="1" s="1"/>
  <c r="K40" i="1"/>
  <c r="J40" i="1"/>
  <c r="I40" i="1"/>
  <c r="G40" i="1"/>
  <c r="H40" i="1"/>
  <c r="H257" i="1"/>
  <c r="H180" i="1"/>
  <c r="I180" i="1" s="1"/>
  <c r="I186" i="1" s="1"/>
  <c r="D29" i="1"/>
  <c r="D31" i="1" s="1"/>
  <c r="D33" i="1" s="1"/>
  <c r="E29" i="1"/>
  <c r="E31" i="1" s="1"/>
  <c r="E33" i="1" s="1"/>
  <c r="F172" i="1"/>
  <c r="F37" i="1" s="1"/>
  <c r="F38" i="1" s="1"/>
  <c r="F29" i="1"/>
  <c r="H49" i="1"/>
  <c r="I49" i="1" s="1"/>
  <c r="J49" i="1" s="1"/>
  <c r="K49" i="1" s="1"/>
  <c r="E171" i="1"/>
  <c r="K202" i="1"/>
  <c r="H165" i="1"/>
  <c r="H202" i="1"/>
  <c r="I202" i="1"/>
  <c r="D45" i="1"/>
  <c r="J202" i="1"/>
  <c r="E45" i="1"/>
  <c r="F45" i="1"/>
  <c r="G202" i="1"/>
  <c r="D202" i="1"/>
  <c r="D186" i="1"/>
  <c r="E202" i="1"/>
  <c r="E186" i="1"/>
  <c r="F202" i="1"/>
  <c r="F186" i="1"/>
  <c r="F100" i="1"/>
  <c r="F111" i="1" s="1"/>
  <c r="D100" i="1"/>
  <c r="D111" i="1" s="1"/>
  <c r="F80" i="1"/>
  <c r="D80" i="1"/>
  <c r="E100" i="1"/>
  <c r="E111" i="1" s="1"/>
  <c r="E80" i="1"/>
  <c r="O90" i="2"/>
  <c r="P90" i="2" s="1"/>
  <c r="Q90" i="2" s="1"/>
  <c r="G90" i="2"/>
  <c r="F90" i="2" s="1"/>
  <c r="E90" i="2" s="1"/>
  <c r="G260" i="1" l="1"/>
  <c r="H260" i="1" s="1"/>
  <c r="I260" i="1" s="1"/>
  <c r="J260" i="1" s="1"/>
  <c r="K260" i="1" s="1"/>
  <c r="H259" i="1"/>
  <c r="D248" i="1"/>
  <c r="D249" i="1" s="1"/>
  <c r="I258" i="1"/>
  <c r="H144" i="1"/>
  <c r="G203" i="1"/>
  <c r="G16" i="1" s="1"/>
  <c r="E14" i="2" s="1"/>
  <c r="E15" i="2" s="1"/>
  <c r="E248" i="1"/>
  <c r="E249" i="1" s="1"/>
  <c r="J180" i="1"/>
  <c r="K180" i="1" s="1"/>
  <c r="K186" i="1" s="1"/>
  <c r="K203" i="1" s="1"/>
  <c r="H186" i="1"/>
  <c r="H203" i="1" s="1"/>
  <c r="H16" i="1" s="1"/>
  <c r="F14" i="2" s="1"/>
  <c r="F248" i="1"/>
  <c r="E34" i="1"/>
  <c r="E277" i="1" s="1"/>
  <c r="E289" i="1"/>
  <c r="I203" i="1"/>
  <c r="I16" i="1" s="1"/>
  <c r="G14" i="2" s="1"/>
  <c r="G15" i="2" s="1"/>
  <c r="D34" i="1"/>
  <c r="D277" i="1" s="1"/>
  <c r="D289" i="1"/>
  <c r="D51" i="1"/>
  <c r="F31" i="1"/>
  <c r="F33" i="1" s="1"/>
  <c r="F51" i="1"/>
  <c r="E51" i="1"/>
  <c r="I166" i="1"/>
  <c r="I165" i="1"/>
  <c r="D203" i="1"/>
  <c r="D204" i="1" s="1"/>
  <c r="E203" i="1"/>
  <c r="E204" i="1" s="1"/>
  <c r="F203" i="1"/>
  <c r="F204" i="1" s="1"/>
  <c r="F113" i="1"/>
  <c r="E113" i="1"/>
  <c r="D113" i="1"/>
  <c r="H90" i="2"/>
  <c r="I90" i="2" s="1"/>
  <c r="N90" i="2"/>
  <c r="M90" i="2" s="1"/>
  <c r="F15" i="2" l="1"/>
  <c r="G267" i="1"/>
  <c r="G26" i="1" s="1"/>
  <c r="H267" i="1"/>
  <c r="H26" i="1" s="1"/>
  <c r="J186" i="1"/>
  <c r="J203" i="1" s="1"/>
  <c r="J16" i="1" s="1"/>
  <c r="H14" i="2" s="1"/>
  <c r="E250" i="1"/>
  <c r="J258" i="1"/>
  <c r="I144" i="1"/>
  <c r="J257" i="1"/>
  <c r="I259" i="1"/>
  <c r="I267" i="1" s="1"/>
  <c r="I26" i="1" s="1"/>
  <c r="H17" i="1"/>
  <c r="H18" i="1" s="1"/>
  <c r="H161" i="1"/>
  <c r="H132" i="1" s="1"/>
  <c r="H20" i="1"/>
  <c r="H19" i="1"/>
  <c r="H22" i="1"/>
  <c r="H21" i="1"/>
  <c r="F34" i="1"/>
  <c r="F41" i="1" s="1"/>
  <c r="F289" i="1"/>
  <c r="G289" i="1" s="1"/>
  <c r="H289" i="1" s="1"/>
  <c r="I289" i="1" s="1"/>
  <c r="J289" i="1" s="1"/>
  <c r="K289" i="1" s="1"/>
  <c r="E288" i="1"/>
  <c r="E279" i="1"/>
  <c r="G244" i="1"/>
  <c r="G89" i="1" s="1"/>
  <c r="G235" i="1"/>
  <c r="G236" i="1"/>
  <c r="G60" i="1" s="1"/>
  <c r="G238" i="1"/>
  <c r="G62" i="1" s="1"/>
  <c r="G243" i="1"/>
  <c r="G88" i="1" s="1"/>
  <c r="G245" i="1"/>
  <c r="G90" i="1" s="1"/>
  <c r="G242" i="1"/>
  <c r="G237" i="1"/>
  <c r="G61" i="1" s="1"/>
  <c r="I204" i="1"/>
  <c r="I242" i="1"/>
  <c r="I244" i="1"/>
  <c r="I89" i="1" s="1"/>
  <c r="I235" i="1"/>
  <c r="I237" i="1"/>
  <c r="I61" i="1" s="1"/>
  <c r="I238" i="1"/>
  <c r="I62" i="1" s="1"/>
  <c r="I245" i="1"/>
  <c r="I90" i="1" s="1"/>
  <c r="I243" i="1"/>
  <c r="I88" i="1" s="1"/>
  <c r="I236" i="1"/>
  <c r="I60" i="1" s="1"/>
  <c r="H44" i="1"/>
  <c r="H237" i="1"/>
  <c r="H61" i="1" s="1"/>
  <c r="H243" i="1"/>
  <c r="H88" i="1" s="1"/>
  <c r="H242" i="1"/>
  <c r="H245" i="1"/>
  <c r="H90" i="1" s="1"/>
  <c r="H236" i="1"/>
  <c r="H60" i="1" s="1"/>
  <c r="H244" i="1"/>
  <c r="H89" i="1" s="1"/>
  <c r="H238" i="1"/>
  <c r="H62" i="1" s="1"/>
  <c r="H235" i="1"/>
  <c r="H162" i="1"/>
  <c r="H120" i="1" s="1"/>
  <c r="H204" i="1"/>
  <c r="H170" i="1"/>
  <c r="H23" i="1"/>
  <c r="G204" i="1"/>
  <c r="D288" i="1"/>
  <c r="D279" i="1"/>
  <c r="I162" i="1"/>
  <c r="I120" i="1" s="1"/>
  <c r="J166" i="1"/>
  <c r="J165" i="1"/>
  <c r="I161" i="1"/>
  <c r="I132" i="1" s="1"/>
  <c r="K16" i="1"/>
  <c r="I14" i="2" s="1"/>
  <c r="I22" i="1"/>
  <c r="I20" i="1"/>
  <c r="I19" i="1"/>
  <c r="I44" i="1"/>
  <c r="I17" i="1"/>
  <c r="I18" i="1" s="1"/>
  <c r="I23" i="1"/>
  <c r="I21" i="1"/>
  <c r="I170" i="1"/>
  <c r="G20" i="1"/>
  <c r="G17" i="1"/>
  <c r="G18" i="1" s="1"/>
  <c r="G44" i="1"/>
  <c r="G170" i="1"/>
  <c r="G23" i="1"/>
  <c r="G19" i="1"/>
  <c r="G22" i="1"/>
  <c r="G21" i="1"/>
  <c r="G161" i="1"/>
  <c r="G132" i="1" s="1"/>
  <c r="G162" i="1"/>
  <c r="G120" i="1" s="1"/>
  <c r="L102" i="2"/>
  <c r="D93" i="2"/>
  <c r="D102" i="2"/>
  <c r="L93" i="2"/>
  <c r="I15" i="2" l="1"/>
  <c r="H15" i="2"/>
  <c r="G121" i="1"/>
  <c r="I121" i="1"/>
  <c r="H121" i="1"/>
  <c r="J259" i="1"/>
  <c r="J267" i="1" s="1"/>
  <c r="J26" i="1" s="1"/>
  <c r="K258" i="1"/>
  <c r="K144" i="1" s="1"/>
  <c r="J144" i="1"/>
  <c r="K257" i="1"/>
  <c r="H172" i="1"/>
  <c r="F25" i="2" s="1"/>
  <c r="H24" i="1"/>
  <c r="F18" i="2" s="1"/>
  <c r="G86" i="1"/>
  <c r="G246" i="1"/>
  <c r="H86" i="1"/>
  <c r="H246" i="1"/>
  <c r="G72" i="1"/>
  <c r="H72" i="1" s="1"/>
  <c r="I72" i="1" s="1"/>
  <c r="G63" i="1"/>
  <c r="G71" i="1"/>
  <c r="H71" i="1" s="1"/>
  <c r="I71" i="1" s="1"/>
  <c r="G70" i="1"/>
  <c r="H70" i="1" s="1"/>
  <c r="I70" i="1" s="1"/>
  <c r="G97" i="1"/>
  <c r="G95" i="1"/>
  <c r="G135" i="1" s="1"/>
  <c r="G76" i="1"/>
  <c r="G74" i="1"/>
  <c r="G24" i="1"/>
  <c r="E18" i="2" s="1"/>
  <c r="F277" i="1"/>
  <c r="I59" i="1"/>
  <c r="I239" i="1"/>
  <c r="K204" i="1"/>
  <c r="K242" i="1"/>
  <c r="K238" i="1"/>
  <c r="K62" i="1" s="1"/>
  <c r="K245" i="1"/>
  <c r="K90" i="1" s="1"/>
  <c r="K244" i="1"/>
  <c r="K89" i="1" s="1"/>
  <c r="K236" i="1"/>
  <c r="K60" i="1" s="1"/>
  <c r="K235" i="1"/>
  <c r="K237" i="1"/>
  <c r="K61" i="1" s="1"/>
  <c r="K243" i="1"/>
  <c r="K88" i="1" s="1"/>
  <c r="J235" i="1"/>
  <c r="J245" i="1"/>
  <c r="J90" i="1" s="1"/>
  <c r="J242" i="1"/>
  <c r="J238" i="1"/>
  <c r="J62" i="1" s="1"/>
  <c r="J237" i="1"/>
  <c r="J61" i="1" s="1"/>
  <c r="J244" i="1"/>
  <c r="J89" i="1" s="1"/>
  <c r="J236" i="1"/>
  <c r="J60" i="1" s="1"/>
  <c r="J243" i="1"/>
  <c r="J88" i="1" s="1"/>
  <c r="H59" i="1"/>
  <c r="H239" i="1"/>
  <c r="I86" i="1"/>
  <c r="I246" i="1"/>
  <c r="G59" i="1"/>
  <c r="G239" i="1"/>
  <c r="K165" i="1"/>
  <c r="K161" i="1" s="1"/>
  <c r="K132" i="1" s="1"/>
  <c r="J161" i="1"/>
  <c r="J132" i="1" s="1"/>
  <c r="G172" i="1"/>
  <c r="E25" i="2" s="1"/>
  <c r="G163" i="1"/>
  <c r="J22" i="1"/>
  <c r="J20" i="1"/>
  <c r="J19" i="1"/>
  <c r="J44" i="1"/>
  <c r="J17" i="1"/>
  <c r="J18" i="1" s="1"/>
  <c r="J23" i="1"/>
  <c r="J21" i="1"/>
  <c r="J170" i="1"/>
  <c r="K22" i="1"/>
  <c r="K20" i="1"/>
  <c r="K19" i="1"/>
  <c r="K23" i="1"/>
  <c r="K21" i="1"/>
  <c r="K17" i="1"/>
  <c r="K18" i="1" s="1"/>
  <c r="K44" i="1"/>
  <c r="K170" i="1"/>
  <c r="I24" i="1"/>
  <c r="G18" i="2" s="1"/>
  <c r="K166" i="1"/>
  <c r="K162" i="1" s="1"/>
  <c r="K120" i="1" s="1"/>
  <c r="J162" i="1"/>
  <c r="J120" i="1" s="1"/>
  <c r="J204" i="1"/>
  <c r="I172" i="1"/>
  <c r="G25" i="2" s="1"/>
  <c r="L94" i="2"/>
  <c r="L95" i="2" s="1"/>
  <c r="L92" i="2"/>
  <c r="L91" i="2" s="1"/>
  <c r="D92" i="2"/>
  <c r="D91" i="2" s="1"/>
  <c r="D94" i="2"/>
  <c r="D95" i="2" s="1"/>
  <c r="D103" i="2"/>
  <c r="D104" i="2" s="1"/>
  <c r="D101" i="2"/>
  <c r="D100" i="2" s="1"/>
  <c r="L101" i="2"/>
  <c r="L100" i="2" s="1"/>
  <c r="L103" i="2"/>
  <c r="L104" i="2" s="1"/>
  <c r="E19" i="2" l="1"/>
  <c r="E21" i="2"/>
  <c r="E23" i="2"/>
  <c r="G23" i="2"/>
  <c r="G21" i="2"/>
  <c r="G19" i="2"/>
  <c r="F21" i="2"/>
  <c r="F23" i="2"/>
  <c r="F19" i="2"/>
  <c r="G138" i="1"/>
  <c r="G139" i="1"/>
  <c r="G136" i="1"/>
  <c r="I133" i="1"/>
  <c r="G27" i="2" s="1"/>
  <c r="G28" i="2" s="1"/>
  <c r="H74" i="1"/>
  <c r="H133" i="1"/>
  <c r="F27" i="2" s="1"/>
  <c r="F28" i="2" s="1"/>
  <c r="H97" i="1"/>
  <c r="G146" i="1"/>
  <c r="H76" i="1"/>
  <c r="H139" i="1" s="1"/>
  <c r="G133" i="1"/>
  <c r="E27" i="2" s="1"/>
  <c r="E28" i="2" s="1"/>
  <c r="H65" i="1"/>
  <c r="K259" i="1"/>
  <c r="K267" i="1" s="1"/>
  <c r="K26" i="1" s="1"/>
  <c r="K121" i="1"/>
  <c r="J121" i="1"/>
  <c r="H37" i="1"/>
  <c r="I248" i="1"/>
  <c r="G248" i="1"/>
  <c r="H248" i="1"/>
  <c r="H95" i="1"/>
  <c r="H135" i="1" s="1"/>
  <c r="G98" i="1"/>
  <c r="I37" i="1"/>
  <c r="F288" i="1"/>
  <c r="G288" i="1" s="1"/>
  <c r="H288" i="1" s="1"/>
  <c r="I288" i="1" s="1"/>
  <c r="J288" i="1" s="1"/>
  <c r="K288" i="1" s="1"/>
  <c r="F279" i="1"/>
  <c r="G91" i="1"/>
  <c r="H63" i="1"/>
  <c r="J72" i="1"/>
  <c r="K72" i="1" s="1"/>
  <c r="K59" i="1"/>
  <c r="K239" i="1"/>
  <c r="J86" i="1"/>
  <c r="J246" i="1"/>
  <c r="G37" i="1"/>
  <c r="J70" i="1"/>
  <c r="K70" i="1" s="1"/>
  <c r="J59" i="1"/>
  <c r="J239" i="1"/>
  <c r="K86" i="1"/>
  <c r="K246" i="1"/>
  <c r="J71" i="1"/>
  <c r="K71" i="1" s="1"/>
  <c r="H160" i="1"/>
  <c r="H163" i="1" s="1"/>
  <c r="H69" i="1" s="1"/>
  <c r="G69" i="1"/>
  <c r="G78" i="1" s="1"/>
  <c r="J172" i="1"/>
  <c r="H25" i="2" s="1"/>
  <c r="K172" i="1"/>
  <c r="I25" i="2" s="1"/>
  <c r="K24" i="1"/>
  <c r="I18" i="2" s="1"/>
  <c r="J24" i="1"/>
  <c r="H18" i="2" s="1"/>
  <c r="B3" i="2"/>
  <c r="Q130" i="2"/>
  <c r="O130" i="2"/>
  <c r="Q129" i="2"/>
  <c r="O129" i="2"/>
  <c r="G129" i="2"/>
  <c r="Q128" i="2"/>
  <c r="O128" i="2"/>
  <c r="G128" i="2"/>
  <c r="D130" i="2"/>
  <c r="E129" i="2"/>
  <c r="C129" i="2"/>
  <c r="B129" i="2"/>
  <c r="E128" i="2"/>
  <c r="C128" i="2"/>
  <c r="G249" i="1" l="1"/>
  <c r="E32" i="2"/>
  <c r="G38" i="1"/>
  <c r="E16" i="2"/>
  <c r="E17" i="2" s="1"/>
  <c r="I38" i="1"/>
  <c r="G16" i="2"/>
  <c r="G17" i="2" s="1"/>
  <c r="I249" i="1"/>
  <c r="G32" i="2"/>
  <c r="H21" i="2"/>
  <c r="H19" i="2"/>
  <c r="H23" i="2"/>
  <c r="H38" i="1"/>
  <c r="F16" i="2"/>
  <c r="F17" i="2" s="1"/>
  <c r="I21" i="2"/>
  <c r="I19" i="2"/>
  <c r="I23" i="2"/>
  <c r="H249" i="1"/>
  <c r="F32" i="2"/>
  <c r="G140" i="1"/>
  <c r="H137" i="1"/>
  <c r="H136" i="1"/>
  <c r="H138" i="1"/>
  <c r="K133" i="1"/>
  <c r="I27" i="2" s="1"/>
  <c r="I28" i="2" s="1"/>
  <c r="J133" i="1"/>
  <c r="H27" i="2" s="1"/>
  <c r="H28" i="2" s="1"/>
  <c r="I76" i="1"/>
  <c r="I97" i="1"/>
  <c r="H146" i="1"/>
  <c r="I74" i="1"/>
  <c r="I65" i="1"/>
  <c r="I250" i="1"/>
  <c r="I126" i="1" s="1"/>
  <c r="G100" i="1"/>
  <c r="H250" i="1"/>
  <c r="H126" i="1" s="1"/>
  <c r="K248" i="1"/>
  <c r="J248" i="1"/>
  <c r="H32" i="2" s="1"/>
  <c r="I95" i="1"/>
  <c r="I135" i="1" s="1"/>
  <c r="H98" i="1"/>
  <c r="J37" i="1"/>
  <c r="K37" i="1"/>
  <c r="H91" i="1"/>
  <c r="I63" i="1"/>
  <c r="I136" i="1" s="1"/>
  <c r="I160" i="1"/>
  <c r="I163" i="1" s="1"/>
  <c r="I69" i="1" s="1"/>
  <c r="H78" i="1"/>
  <c r="P129" i="2"/>
  <c r="D128" i="2"/>
  <c r="P128" i="2"/>
  <c r="P130" i="2"/>
  <c r="D129" i="2"/>
  <c r="E26" i="2" l="1"/>
  <c r="E30" i="2" s="1"/>
  <c r="E33" i="2"/>
  <c r="K38" i="1"/>
  <c r="I16" i="2"/>
  <c r="J38" i="1"/>
  <c r="H16" i="2"/>
  <c r="H17" i="2" s="1"/>
  <c r="K249" i="1"/>
  <c r="I32" i="2"/>
  <c r="I33" i="2" s="1"/>
  <c r="H33" i="2"/>
  <c r="G33" i="2"/>
  <c r="H26" i="2"/>
  <c r="H30" i="2" s="1"/>
  <c r="H38" i="2" s="1"/>
  <c r="G26" i="2"/>
  <c r="G30" i="2" s="1"/>
  <c r="G38" i="2" s="1"/>
  <c r="F26" i="2"/>
  <c r="F30" i="2" s="1"/>
  <c r="F38" i="2" s="1"/>
  <c r="F33" i="2"/>
  <c r="H140" i="1"/>
  <c r="I137" i="1"/>
  <c r="I139" i="1"/>
  <c r="I138" i="1"/>
  <c r="J74" i="1"/>
  <c r="J76" i="1"/>
  <c r="I146" i="1"/>
  <c r="J97" i="1"/>
  <c r="J65" i="1"/>
  <c r="H100" i="1"/>
  <c r="J63" i="1"/>
  <c r="K250" i="1"/>
  <c r="K126" i="1" s="1"/>
  <c r="J249" i="1"/>
  <c r="J250" i="1"/>
  <c r="J126" i="1" s="1"/>
  <c r="I91" i="1"/>
  <c r="J95" i="1"/>
  <c r="J135" i="1" s="1"/>
  <c r="I98" i="1"/>
  <c r="J160" i="1"/>
  <c r="J163" i="1" s="1"/>
  <c r="J69" i="1" s="1"/>
  <c r="I78" i="1"/>
  <c r="B3" i="3"/>
  <c r="B35" i="2"/>
  <c r="I17" i="2" l="1"/>
  <c r="I42" i="2"/>
  <c r="I26" i="2"/>
  <c r="I30" i="2" s="1"/>
  <c r="I38" i="2" s="1"/>
  <c r="C43" i="2" s="1"/>
  <c r="C44" i="2" s="1"/>
  <c r="C51" i="2" s="1"/>
  <c r="I140" i="1"/>
  <c r="J139" i="1"/>
  <c r="J138" i="1"/>
  <c r="J137" i="1"/>
  <c r="J136" i="1"/>
  <c r="K76" i="1"/>
  <c r="K97" i="1"/>
  <c r="K146" i="1" s="1"/>
  <c r="J146" i="1"/>
  <c r="K74" i="1"/>
  <c r="K65" i="1"/>
  <c r="K137" i="1" s="1"/>
  <c r="I100" i="1"/>
  <c r="K95" i="1"/>
  <c r="K135" i="1" s="1"/>
  <c r="J98" i="1"/>
  <c r="K91" i="1"/>
  <c r="J91" i="1"/>
  <c r="K63" i="1"/>
  <c r="K136" i="1" s="1"/>
  <c r="K160" i="1"/>
  <c r="K163" i="1" s="1"/>
  <c r="J78" i="1"/>
  <c r="C12" i="2"/>
  <c r="D37" i="2"/>
  <c r="D12" i="2"/>
  <c r="E12" i="2" s="1"/>
  <c r="D5" i="2"/>
  <c r="I44" i="2" l="1"/>
  <c r="I51" i="2" s="1"/>
  <c r="D8" i="2"/>
  <c r="J140" i="1"/>
  <c r="K138" i="1"/>
  <c r="K139" i="1"/>
  <c r="K98" i="1"/>
  <c r="K100" i="1" s="1"/>
  <c r="J100" i="1"/>
  <c r="K69" i="1"/>
  <c r="K78" i="1" s="1"/>
  <c r="F12" i="2"/>
  <c r="K140" i="1" l="1"/>
  <c r="C38" i="2"/>
  <c r="E38" i="2" s="1"/>
  <c r="C14" i="2"/>
  <c r="C16" i="2"/>
  <c r="C18" i="2"/>
  <c r="G12" i="2"/>
  <c r="H12" i="2" l="1"/>
  <c r="I12" i="2" l="1"/>
  <c r="B43" i="2" l="1"/>
  <c r="E44" i="2"/>
  <c r="B44" i="2"/>
  <c r="F13" i="1" l="1"/>
  <c r="F14" i="1"/>
  <c r="F293" i="1" s="1"/>
  <c r="F54" i="1" l="1"/>
  <c r="F292" i="1"/>
  <c r="F272" i="1"/>
  <c r="F273" i="1"/>
  <c r="F254" i="1"/>
  <c r="F232" i="1"/>
  <c r="F253" i="1"/>
  <c r="F231" i="1"/>
  <c r="F176" i="1"/>
  <c r="F158" i="1"/>
  <c r="F175" i="1"/>
  <c r="F157" i="1"/>
  <c r="F55" i="1"/>
  <c r="G13" i="1"/>
  <c r="E13" i="1"/>
  <c r="E54" i="1" l="1"/>
  <c r="E292" i="1"/>
  <c r="G54" i="1"/>
  <c r="G292" i="1"/>
  <c r="E272" i="1"/>
  <c r="G272" i="1"/>
  <c r="G253" i="1"/>
  <c r="G231" i="1"/>
  <c r="E253" i="1"/>
  <c r="E231" i="1"/>
  <c r="G175" i="1"/>
  <c r="E157" i="1"/>
  <c r="E175" i="1"/>
  <c r="D13" i="1"/>
  <c r="H13" i="1"/>
  <c r="G157" i="1"/>
  <c r="G116" i="1"/>
  <c r="D54" i="1" l="1"/>
  <c r="D292" i="1"/>
  <c r="H54" i="1"/>
  <c r="H292" i="1"/>
  <c r="D272" i="1"/>
  <c r="H272" i="1"/>
  <c r="D231" i="1"/>
  <c r="D253" i="1"/>
  <c r="H231" i="1"/>
  <c r="H253" i="1"/>
  <c r="H175" i="1"/>
  <c r="D175" i="1"/>
  <c r="D157" i="1"/>
  <c r="I13" i="1"/>
  <c r="H157" i="1"/>
  <c r="H116" i="1"/>
  <c r="I54" i="1" l="1"/>
  <c r="I292" i="1"/>
  <c r="I272" i="1"/>
  <c r="I253" i="1"/>
  <c r="I231" i="1"/>
  <c r="I175" i="1"/>
  <c r="J13" i="1"/>
  <c r="I157" i="1"/>
  <c r="I116" i="1"/>
  <c r="J54" i="1" l="1"/>
  <c r="J292" i="1"/>
  <c r="J272" i="1"/>
  <c r="J253" i="1"/>
  <c r="J231" i="1"/>
  <c r="J175" i="1"/>
  <c r="K13" i="1"/>
  <c r="J157" i="1"/>
  <c r="J116" i="1"/>
  <c r="K54" i="1" l="1"/>
  <c r="K292" i="1"/>
  <c r="K272" i="1"/>
  <c r="K253" i="1"/>
  <c r="K231" i="1"/>
  <c r="K175" i="1"/>
  <c r="K157" i="1"/>
  <c r="K116" i="1"/>
  <c r="C2" i="1" l="1"/>
  <c r="G14" i="1"/>
  <c r="G293" i="1" s="1"/>
  <c r="G273" i="1" l="1"/>
  <c r="G254" i="1"/>
  <c r="G232" i="1"/>
  <c r="G176" i="1"/>
  <c r="G158" i="1"/>
  <c r="G117" i="1"/>
  <c r="G55" i="1"/>
  <c r="H14" i="1"/>
  <c r="H293" i="1" s="1"/>
  <c r="E14" i="1"/>
  <c r="E293" i="1" s="1"/>
  <c r="E273" i="1" l="1"/>
  <c r="H273" i="1"/>
  <c r="E254" i="1"/>
  <c r="E232" i="1"/>
  <c r="H232" i="1"/>
  <c r="H254" i="1"/>
  <c r="H176" i="1"/>
  <c r="E176" i="1"/>
  <c r="E158" i="1"/>
  <c r="H158" i="1"/>
  <c r="H117" i="1"/>
  <c r="H55" i="1"/>
  <c r="E55" i="1"/>
  <c r="D14" i="1"/>
  <c r="D293" i="1" s="1"/>
  <c r="I14" i="1"/>
  <c r="I293" i="1" s="1"/>
  <c r="D273" i="1" l="1"/>
  <c r="I273" i="1"/>
  <c r="D232" i="1"/>
  <c r="D254" i="1"/>
  <c r="I254" i="1"/>
  <c r="I232" i="1"/>
  <c r="I176" i="1"/>
  <c r="D176" i="1"/>
  <c r="D158" i="1"/>
  <c r="I158" i="1"/>
  <c r="I117" i="1"/>
  <c r="I55" i="1"/>
  <c r="D55" i="1"/>
  <c r="J14" i="1"/>
  <c r="J293" i="1" s="1"/>
  <c r="J273" i="1" l="1"/>
  <c r="J254" i="1"/>
  <c r="J232" i="1"/>
  <c r="J176" i="1"/>
  <c r="J158" i="1"/>
  <c r="J117" i="1"/>
  <c r="J55" i="1"/>
  <c r="K14" i="1"/>
  <c r="K293" i="1" s="1"/>
  <c r="K273" i="1" l="1"/>
  <c r="K254" i="1"/>
  <c r="K232" i="1"/>
  <c r="K176" i="1"/>
  <c r="K158" i="1"/>
  <c r="K117" i="1"/>
  <c r="K55" i="1"/>
  <c r="G99" i="2" l="1"/>
  <c r="F99" i="2" s="1"/>
  <c r="E99" i="2" s="1"/>
  <c r="O99" i="2"/>
  <c r="P99" i="2" s="1"/>
  <c r="Q99" i="2" s="1"/>
  <c r="G130" i="2" l="1"/>
  <c r="N99" i="2"/>
  <c r="M99" i="2" s="1"/>
  <c r="H99" i="2"/>
  <c r="I99" i="2" s="1"/>
  <c r="B128" i="2" s="1"/>
  <c r="F249" i="1" l="1"/>
  <c r="F250" i="1"/>
  <c r="G250" i="1"/>
  <c r="G126" i="1" s="1"/>
  <c r="G268" i="1" l="1"/>
  <c r="G25" i="1" s="1"/>
  <c r="G27" i="1" s="1"/>
  <c r="G29" i="1" s="1"/>
  <c r="G269" i="1" l="1"/>
  <c r="G30" i="1"/>
  <c r="G31" i="1" s="1"/>
  <c r="G33" i="1" s="1"/>
  <c r="G35" i="1" l="1"/>
  <c r="G284" i="1" s="1"/>
  <c r="G285" i="1" s="1"/>
  <c r="G119" i="1"/>
  <c r="G123" i="1" s="1"/>
  <c r="G127" i="1" s="1"/>
  <c r="G128" i="1" s="1"/>
  <c r="G147" i="1" l="1"/>
  <c r="G34" i="1"/>
  <c r="G41" i="1" s="1"/>
  <c r="G286" i="1"/>
  <c r="G108" i="1" s="1"/>
  <c r="G277" i="1" l="1"/>
  <c r="H283" i="1"/>
  <c r="G278" i="1" l="1"/>
  <c r="G145" i="1" s="1"/>
  <c r="G148" i="1" l="1"/>
  <c r="G150" i="1" s="1"/>
  <c r="G152" i="1" s="1"/>
  <c r="G64" i="1" s="1"/>
  <c r="G280" i="1"/>
  <c r="H276" i="1" s="1"/>
  <c r="G154" i="1" l="1"/>
  <c r="G263" i="1"/>
  <c r="H264" i="1" s="1"/>
  <c r="H268" i="1" s="1"/>
  <c r="H25" i="1" s="1"/>
  <c r="H27" i="1" s="1"/>
  <c r="H29" i="1" s="1"/>
  <c r="H30" i="1" s="1"/>
  <c r="G66" i="1"/>
  <c r="G80" i="1" s="1"/>
  <c r="H151" i="1"/>
  <c r="G105" i="1"/>
  <c r="G107" i="1" s="1"/>
  <c r="G109" i="1" s="1"/>
  <c r="G111" i="1" s="1"/>
  <c r="G113" i="1" l="1"/>
  <c r="H269" i="1"/>
  <c r="H31" i="1"/>
  <c r="H33" i="1" s="1"/>
  <c r="H35" i="1" l="1"/>
  <c r="H284" i="1" s="1"/>
  <c r="H119" i="1"/>
  <c r="H123" i="1" s="1"/>
  <c r="H127" i="1" s="1"/>
  <c r="H128" i="1" s="1"/>
  <c r="H285" i="1" l="1"/>
  <c r="H147" i="1" s="1"/>
  <c r="H34" i="1"/>
  <c r="H41" i="1" s="1"/>
  <c r="H286" i="1" l="1"/>
  <c r="H108" i="1" s="1"/>
  <c r="H277" i="1"/>
  <c r="I283" i="1" l="1"/>
  <c r="H278" i="1"/>
  <c r="H145" i="1" s="1"/>
  <c r="H148" i="1" l="1"/>
  <c r="H150" i="1" s="1"/>
  <c r="H152" i="1" s="1"/>
  <c r="H64" i="1" s="1"/>
  <c r="H280" i="1"/>
  <c r="I276" i="1" s="1"/>
  <c r="H105" i="1" l="1"/>
  <c r="H107" i="1" s="1"/>
  <c r="H109" i="1" s="1"/>
  <c r="H111" i="1" s="1"/>
  <c r="H263" i="1"/>
  <c r="I264" i="1" s="1"/>
  <c r="I268" i="1" s="1"/>
  <c r="H66" i="1"/>
  <c r="H80" i="1" s="1"/>
  <c r="I151" i="1"/>
  <c r="H154" i="1"/>
  <c r="H113" i="1" l="1"/>
  <c r="I269" i="1"/>
  <c r="I25" i="1"/>
  <c r="I27" i="1" s="1"/>
  <c r="I29" i="1" s="1"/>
  <c r="I30" i="1" s="1"/>
  <c r="I31" i="1" l="1"/>
  <c r="I33" i="1" s="1"/>
  <c r="I35" i="1" l="1"/>
  <c r="I284" i="1" s="1"/>
  <c r="I119" i="1"/>
  <c r="I123" i="1" s="1"/>
  <c r="I127" i="1" s="1"/>
  <c r="I128" i="1" s="1"/>
  <c r="I285" i="1" l="1"/>
  <c r="I147" i="1" s="1"/>
  <c r="I34" i="1"/>
  <c r="I41" i="1" s="1"/>
  <c r="I286" i="1" l="1"/>
  <c r="I277" i="1"/>
  <c r="I278" i="1" l="1"/>
  <c r="I145" i="1" s="1"/>
  <c r="J283" i="1"/>
  <c r="I108" i="1"/>
  <c r="I148" i="1" l="1"/>
  <c r="I150" i="1" s="1"/>
  <c r="I152" i="1" s="1"/>
  <c r="I64" i="1" s="1"/>
  <c r="I154" i="1" s="1"/>
  <c r="I280" i="1"/>
  <c r="I263" i="1" l="1"/>
  <c r="J264" i="1" s="1"/>
  <c r="J268" i="1" s="1"/>
  <c r="I66" i="1"/>
  <c r="I80" i="1" s="1"/>
  <c r="J151" i="1"/>
  <c r="J276" i="1"/>
  <c r="I105" i="1"/>
  <c r="I107" i="1" s="1"/>
  <c r="I109" i="1" s="1"/>
  <c r="I111" i="1" s="1"/>
  <c r="I113" i="1" l="1"/>
  <c r="J269" i="1"/>
  <c r="J25" i="1"/>
  <c r="J27" i="1" s="1"/>
  <c r="J29" i="1" s="1"/>
  <c r="J30" i="1" s="1"/>
  <c r="J31" i="1" l="1"/>
  <c r="J33" i="1" s="1"/>
  <c r="J35" i="1" l="1"/>
  <c r="J284" i="1" s="1"/>
  <c r="J119" i="1"/>
  <c r="J123" i="1" s="1"/>
  <c r="J127" i="1" s="1"/>
  <c r="J128" i="1" s="1"/>
  <c r="J285" i="1" l="1"/>
  <c r="J147" i="1" s="1"/>
  <c r="J34" i="1"/>
  <c r="J41" i="1" s="1"/>
  <c r="J286" i="1" l="1"/>
  <c r="K283" i="1" s="1"/>
  <c r="J277" i="1"/>
  <c r="J108" i="1" l="1"/>
  <c r="J278" i="1"/>
  <c r="J145" i="1" s="1"/>
  <c r="J148" i="1" l="1"/>
  <c r="J150" i="1" s="1"/>
  <c r="J152" i="1" s="1"/>
  <c r="J64" i="1" s="1"/>
  <c r="J154" i="1" s="1"/>
  <c r="J280" i="1"/>
  <c r="J263" i="1" l="1"/>
  <c r="K264" i="1" s="1"/>
  <c r="K268" i="1" s="1"/>
  <c r="J66" i="1"/>
  <c r="J80" i="1" s="1"/>
  <c r="K151" i="1"/>
  <c r="K276" i="1"/>
  <c r="J105" i="1"/>
  <c r="J107" i="1" s="1"/>
  <c r="J109" i="1" s="1"/>
  <c r="J111" i="1" s="1"/>
  <c r="J113" i="1" l="1"/>
  <c r="K25" i="1"/>
  <c r="K27" i="1" s="1"/>
  <c r="K29" i="1" s="1"/>
  <c r="K30" i="1" s="1"/>
  <c r="K269" i="1"/>
  <c r="K31" i="1" l="1"/>
  <c r="K33" i="1" s="1"/>
  <c r="K35" i="1" l="1"/>
  <c r="K284" i="1" s="1"/>
  <c r="K119" i="1"/>
  <c r="K123" i="1" s="1"/>
  <c r="K127" i="1" s="1"/>
  <c r="K128" i="1" s="1"/>
  <c r="K285" i="1" l="1"/>
  <c r="K147" i="1" s="1"/>
  <c r="K34" i="1"/>
  <c r="K41" i="1" s="1"/>
  <c r="K286" i="1" l="1"/>
  <c r="K108" i="1" s="1"/>
  <c r="K277" i="1"/>
  <c r="K278" i="1" l="1"/>
  <c r="K145" i="1" s="1"/>
  <c r="K148" i="1" l="1"/>
  <c r="K150" i="1" s="1"/>
  <c r="K152" i="1" s="1"/>
  <c r="K64" i="1" s="1"/>
  <c r="K154" i="1" s="1"/>
  <c r="K280" i="1"/>
  <c r="K105" i="1" s="1"/>
  <c r="K107" i="1" s="1"/>
  <c r="K109" i="1" s="1"/>
  <c r="K111" i="1" s="1"/>
  <c r="K66" i="1" l="1"/>
  <c r="K80" i="1" s="1"/>
  <c r="K113" i="1" s="1"/>
  <c r="K263" i="1"/>
  <c r="H7" i="2" l="1"/>
  <c r="H8" i="2"/>
  <c r="E37" i="2"/>
  <c r="F37" i="2"/>
  <c r="G37" i="2"/>
  <c r="H37" i="2"/>
  <c r="I37" i="2"/>
  <c r="E39" i="2"/>
  <c r="F39" i="2"/>
  <c r="G39" i="2"/>
  <c r="H39" i="2"/>
  <c r="I39" i="2"/>
  <c r="C45" i="2"/>
  <c r="I45" i="2"/>
  <c r="C46" i="2"/>
  <c r="I46" i="2"/>
  <c r="C47" i="2"/>
  <c r="I47" i="2"/>
  <c r="C49" i="2"/>
  <c r="I49" i="2"/>
  <c r="C50" i="2"/>
  <c r="I50" i="2"/>
  <c r="C69" i="2"/>
  <c r="D69" i="2"/>
  <c r="C71" i="2"/>
  <c r="D71" i="2"/>
  <c r="C73" i="2"/>
  <c r="D73" i="2"/>
  <c r="C77" i="2"/>
  <c r="D77" i="2"/>
  <c r="C78" i="2"/>
  <c r="D78" i="2"/>
  <c r="C79" i="2"/>
  <c r="D79" i="2"/>
  <c r="C82" i="2"/>
  <c r="D82" i="2"/>
  <c r="C83" i="2"/>
  <c r="D83" i="2"/>
  <c r="C84" i="2"/>
  <c r="D84" i="2"/>
  <c r="D90" i="2"/>
  <c r="L90" i="2"/>
  <c r="D99" i="2"/>
  <c r="L9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Wall Street Prep</author>
  </authors>
  <commentList>
    <comment ref="I51" authorId="0" shapeId="0" xr:uid="{B223808C-9D62-4E76-97B7-98CC8E4B6F88}">
      <text>
        <r>
          <rPr>
            <b/>
            <sz val="9"/>
            <color indexed="81"/>
            <rFont val="Tahoma"/>
            <family val="2"/>
          </rPr>
          <t>Wall Street Prep:</t>
        </r>
        <r>
          <rPr>
            <sz val="9"/>
            <color indexed="81"/>
            <rFont val="Tahoma"/>
            <family val="2"/>
          </rPr>
          <t xml:space="preserve">
Implied g = [r -FCF(t)/TV]/(1+FCF(t)/TV)</t>
        </r>
      </text>
    </comment>
  </commentList>
</comments>
</file>

<file path=xl/sharedStrings.xml><?xml version="1.0" encoding="utf-8"?>
<sst xmlns="http://schemas.openxmlformats.org/spreadsheetml/2006/main" count="399" uniqueCount="299">
  <si>
    <t>Company Name</t>
  </si>
  <si>
    <t>Ticker</t>
  </si>
  <si>
    <t>Last Historical Year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</si>
  <si>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</si>
  <si>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</si>
  <si>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</si>
  <si>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</si>
  <si>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</si>
  <si>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</si>
  <si>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</si>
  <si>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</si>
  <si>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Total Current Liabilities</t>
  </si>
  <si>
    <t>Non-Current Liabilities</t>
  </si>
  <si>
    <t>Total Non-Current Liabilities</t>
  </si>
  <si>
    <t>Total Liabilities</t>
  </si>
  <si>
    <t>Equity</t>
  </si>
  <si>
    <t>Retained earnings</t>
  </si>
  <si>
    <t>Total Equity</t>
  </si>
  <si>
    <t>Total Liabilites &amp; Equity</t>
  </si>
  <si>
    <t>Balance Check</t>
  </si>
  <si>
    <t>Cash Generated from Operations</t>
  </si>
  <si>
    <t>CASH FLOWS FROM INVESTING ACTIVITIES</t>
  </si>
  <si>
    <t>CASH FLOWS FROM FINANCING ACTIVITIES</t>
  </si>
  <si>
    <t>Reconciliation Check vs BS Cash</t>
  </si>
  <si>
    <t>Depreciation &amp; amortization</t>
  </si>
  <si>
    <t>EBITDA</t>
  </si>
  <si>
    <t>Revenue growth</t>
  </si>
  <si>
    <t>Tax rate</t>
  </si>
  <si>
    <t>Growth Rates &amp; Margins</t>
  </si>
  <si>
    <t>Latest Closing Share Price</t>
  </si>
  <si>
    <t>Latest Closing Share Price Date</t>
  </si>
  <si>
    <t>Shares outstanding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</si>
  <si>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</si>
  <si>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</si>
  <si>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</si>
  <si>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</si>
  <si>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</si>
  <si>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</si>
  <si>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</si>
  <si>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</si>
  <si>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</si>
  <si>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Dividend payout ratio</t>
  </si>
  <si>
    <t>% growth</t>
  </si>
  <si>
    <t>Basic EPS (EGP)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</si>
  <si>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</si>
  <si>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</si>
  <si>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</si>
  <si>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</si>
  <si>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</si>
  <si>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</si>
  <si>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</si>
  <si>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</si>
  <si>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</si>
  <si>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</si>
  <si>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</si>
  <si>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</si>
  <si>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</si>
  <si>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</si>
  <si>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</si>
  <si>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</si>
  <si>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</si>
  <si>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</si>
  <si>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</si>
  <si>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</si>
  <si>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</si>
  <si>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</si>
  <si>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</si>
  <si>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</si>
  <si>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</si>
  <si>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</si>
  <si>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</si>
  <si>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</si>
  <si>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</si>
  <si>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</si>
  <si>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</si>
  <si>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</si>
  <si>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</si>
  <si>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</si>
  <si>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</si>
  <si>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</si>
  <si>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</si>
  <si>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</si>
  <si>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</si>
  <si>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</si>
  <si>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</si>
  <si>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</si>
  <si>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</si>
  <si>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</si>
  <si>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</si>
  <si>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</si>
  <si>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</si>
  <si>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</si>
  <si>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</si>
  <si>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</si>
  <si>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</si>
  <si>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</si>
  <si>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</si>
  <si>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</si>
  <si>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</si>
  <si>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</si>
  <si>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</si>
  <si>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</si>
  <si>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</si>
  <si>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</si>
  <si>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</si>
  <si>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</si>
  <si>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</si>
  <si>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</si>
  <si>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</si>
  <si>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</si>
  <si>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</si>
  <si>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</si>
  <si>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</si>
  <si>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</si>
  <si>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</si>
  <si>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</si>
  <si>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</si>
  <si>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</si>
  <si>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</si>
  <si>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</si>
  <si>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</si>
  <si>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</si>
  <si>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</si>
  <si>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</si>
  <si>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</si>
  <si>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</si>
  <si>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</si>
  <si>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</si>
  <si>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</si>
  <si>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</si>
  <si>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</si>
  <si>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</si>
  <si>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</si>
  <si>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</si>
  <si>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</si>
  <si>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</si>
  <si>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</si>
  <si>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</si>
  <si>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</si>
  <si>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</si>
  <si>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</si>
  <si>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</si>
  <si>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</si>
  <si>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</si>
  <si>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</si>
  <si>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</si>
  <si>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</si>
  <si>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</si>
  <si>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</si>
  <si>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</si>
  <si>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</si>
  <si>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</si>
  <si>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EBITDA margin %</t>
  </si>
  <si>
    <t>Implied Share Price</t>
  </si>
  <si>
    <t>Upside / (Downside)</t>
  </si>
  <si>
    <t>Finance income</t>
  </si>
  <si>
    <t>Finance costs</t>
  </si>
  <si>
    <t>Inventories</t>
  </si>
  <si>
    <t>Cash and cash equivalents</t>
  </si>
  <si>
    <t>Deferred tax liabilities</t>
  </si>
  <si>
    <t>Net finance costs</t>
  </si>
  <si>
    <t>Changes in Working Capital</t>
  </si>
  <si>
    <t>Net change in cash and cash equivalents</t>
  </si>
  <si>
    <t>Cash and cash equivalents at 1 January</t>
  </si>
  <si>
    <t>Cash and cash equivalents at 31 December</t>
  </si>
  <si>
    <t>REVENUE BUILD BY SEGMENT (EGP)</t>
  </si>
  <si>
    <t>WORKING CAPITAL SCHEDULE</t>
  </si>
  <si>
    <t>Operating Working Capital Assets</t>
  </si>
  <si>
    <t>Total Operating WC Assets</t>
  </si>
  <si>
    <t>Net Working Capital</t>
  </si>
  <si>
    <t>NWC as % of revenue</t>
  </si>
  <si>
    <t>Change in NWC (− = cash used)</t>
  </si>
  <si>
    <t>Operating Working Capital Liabilities</t>
  </si>
  <si>
    <t>Total Operating WC Liabilities</t>
  </si>
  <si>
    <t>DEBT &amp; INTEREST SCHEDULE</t>
  </si>
  <si>
    <t>Total debt (loans &amp; borrowings, incl. leases)</t>
  </si>
  <si>
    <t>Average debt</t>
  </si>
  <si>
    <t>Effective interest rate</t>
  </si>
  <si>
    <t>Interest income</t>
  </si>
  <si>
    <t>Average earning assets</t>
  </si>
  <si>
    <t>Effective yield</t>
  </si>
  <si>
    <t>EQUITY &amp; NCI ROLL-FORWARD</t>
  </si>
  <si>
    <t>Retained Earnings</t>
  </si>
  <si>
    <t>Plus: Net income to parent</t>
  </si>
  <si>
    <t>Less: Dividends &amp; distributions</t>
  </si>
  <si>
    <t>Other (FX-to-RE, reserve transfer)</t>
  </si>
  <si>
    <t>End of period (= BS)</t>
  </si>
  <si>
    <t>Non-controlling Interests</t>
  </si>
  <si>
    <t>Plus: NCI share of net income</t>
  </si>
  <si>
    <t>NCI dividends &amp; acquisitions (net)</t>
  </si>
  <si>
    <t>NCI % of total net income</t>
  </si>
  <si>
    <t>Debt securities (optional cash asset)</t>
  </si>
  <si>
    <t>Operating cash flow before working capital</t>
  </si>
  <si>
    <t>Proceeds (repayments) of loans &amp; facilities</t>
  </si>
  <si>
    <t>Dividends paid to parent shareholders</t>
  </si>
  <si>
    <t>Dividends paid to non-controlling interest</t>
  </si>
  <si>
    <t>Net cash flow from financing activities</t>
  </si>
  <si>
    <t>Net cash flows used in investing activities</t>
  </si>
  <si>
    <t>Net cash flows from operating activities</t>
  </si>
  <si>
    <t>PP&amp;E depreciation as % of revenue</t>
  </si>
  <si>
    <t>Net change in working capital</t>
  </si>
  <si>
    <t>Consolidated FS 2025</t>
  </si>
  <si>
    <t>12/31/2025</t>
  </si>
  <si>
    <t>Gross profit</t>
  </si>
  <si>
    <t>General and administrative expenses</t>
  </si>
  <si>
    <t>Other expenses</t>
  </si>
  <si>
    <t>Operating profit</t>
  </si>
  <si>
    <t>Finance cost</t>
  </si>
  <si>
    <t>Gross Margin % of Revenue</t>
  </si>
  <si>
    <t>General and administrative expenses % of Revenue</t>
  </si>
  <si>
    <t>Other expenses %</t>
  </si>
  <si>
    <t>ECL %</t>
  </si>
  <si>
    <t>Non-controlling interest</t>
  </si>
  <si>
    <t>Check vs IS (row 16)</t>
  </si>
  <si>
    <t>Interest-earning assets</t>
  </si>
  <si>
    <t>Consolidated FS 2025 (Note 39)</t>
  </si>
  <si>
    <t>Telecom Egypt</t>
  </si>
  <si>
    <t>ETEL.CA</t>
  </si>
  <si>
    <t>Operating revenues</t>
  </si>
  <si>
    <t>Operating costs</t>
  </si>
  <si>
    <t>Other incomes</t>
  </si>
  <si>
    <t>Selling and distribution expenses</t>
  </si>
  <si>
    <t>Expected credit loss</t>
  </si>
  <si>
    <t>Net Finance Cost</t>
  </si>
  <si>
    <t>Share of profit of equity accounted investees</t>
  </si>
  <si>
    <t>Net Profit for the Year Before Income Tax</t>
  </si>
  <si>
    <t>Income tax</t>
  </si>
  <si>
    <t>Net Profit from Continued Operations</t>
  </si>
  <si>
    <t>Net profit after tax from discontinued operations</t>
  </si>
  <si>
    <t>Net Profit for the Year</t>
  </si>
  <si>
    <t>Shareholders of the Company (Total)</t>
  </si>
  <si>
    <t>Non-controlling Interest (Total)</t>
  </si>
  <si>
    <t>Fixed assets &amp; projects under construction</t>
  </si>
  <si>
    <t>Intangible assets (licenses &amp; frequencies)</t>
  </si>
  <si>
    <t>Usufruct assets</t>
  </si>
  <si>
    <t>Right of use assets (lease contracts)</t>
  </si>
  <si>
    <t>Investments in Equity accounted investees</t>
  </si>
  <si>
    <t>Financial assets at FVOCI</t>
  </si>
  <si>
    <t>Trade and notes receivables (non-current)²</t>
  </si>
  <si>
    <t>Debtors and other debit balances (non-current)</t>
  </si>
  <si>
    <t>Deferred tax assets</t>
  </si>
  <si>
    <t>Trade and notes receivable</t>
  </si>
  <si>
    <t>Current income tax</t>
  </si>
  <si>
    <t>Debtors and other debit balances</t>
  </si>
  <si>
    <t>Financial assets at amortized cost-treasury bills</t>
  </si>
  <si>
    <t>Assets held for sale</t>
  </si>
  <si>
    <t>Capital</t>
  </si>
  <si>
    <t>Reserves</t>
  </si>
  <si>
    <t>Foreign entities translation reserve</t>
  </si>
  <si>
    <t>Equity Attributable to Shareholders</t>
  </si>
  <si>
    <t>Loans and credit facilities</t>
  </si>
  <si>
    <t>Creditors and other credit balances</t>
  </si>
  <si>
    <t>Lease obligations</t>
  </si>
  <si>
    <t>Short term loans and credit facilities</t>
  </si>
  <si>
    <t>Credit balances to associates</t>
  </si>
  <si>
    <t>Accrued income tax</t>
  </si>
  <si>
    <t>Provisions</t>
  </si>
  <si>
    <t>All amounts are shown in Egyptian pounds (000), except per-share data, ratios, and shares outstanding</t>
  </si>
  <si>
    <t>Other Income %</t>
  </si>
  <si>
    <t>Selling and distribution expenses % of Revenue</t>
  </si>
  <si>
    <t xml:space="preserve">Home &amp; Consumer </t>
  </si>
  <si>
    <t>Enterprise Solutions (ES)</t>
  </si>
  <si>
    <t>Domestic Wholesale (DWS )</t>
  </si>
  <si>
    <t>RETAIL SERVICES</t>
  </si>
  <si>
    <t>Data</t>
  </si>
  <si>
    <t>Voice</t>
  </si>
  <si>
    <t>Other</t>
  </si>
  <si>
    <t>Total Retail Revenue</t>
  </si>
  <si>
    <t>WHOLESALE SERVICES</t>
  </si>
  <si>
    <t>Infrastructure -Transmission</t>
  </si>
  <si>
    <t>Voice Services</t>
  </si>
  <si>
    <t>International Carriers  (IC)</t>
  </si>
  <si>
    <t>Transit</t>
  </si>
  <si>
    <t>Incoming International Calls</t>
  </si>
  <si>
    <t>Outgoing International Calls</t>
  </si>
  <si>
    <t>International Customers &amp; Networks (IC&amp;N)</t>
  </si>
  <si>
    <t>Cable Projects</t>
  </si>
  <si>
    <t>Capacity Sales</t>
  </si>
  <si>
    <t>Data Center</t>
  </si>
  <si>
    <t>Cables O&amp;M</t>
  </si>
  <si>
    <t>Total wholesale Revenue</t>
  </si>
  <si>
    <t>Total Business Unit Revenues</t>
  </si>
  <si>
    <t>International Customer Support</t>
  </si>
  <si>
    <t>EQUITY-ACCOUNTED INVESTEES ROLL-FORWARD</t>
  </si>
  <si>
    <t>Plus: Group share of profit</t>
  </si>
  <si>
    <t>Less: Dividends received from associates</t>
  </si>
  <si>
    <t>Other (FX / acquisitions)</t>
  </si>
  <si>
    <t>Associates' ROE (profit / BOP)</t>
  </si>
  <si>
    <t>Dividend payout from associates</t>
  </si>
  <si>
    <t>Depreciation of PP&amp;E</t>
  </si>
  <si>
    <t>Non-PP&amp;E D&amp;A (ROU/intang./inv. prop.)</t>
  </si>
  <si>
    <t>Share of associates (strip non-cash)</t>
  </si>
  <si>
    <t>CapEx</t>
  </si>
  <si>
    <t>Non-PP&amp;E asset reinvestment</t>
  </si>
  <si>
    <t>Dividends received from associates</t>
  </si>
  <si>
    <t>Net income</t>
  </si>
  <si>
    <t>Creditors non-current</t>
  </si>
  <si>
    <t>Treasury bills</t>
  </si>
  <si>
    <t>Midyear adjustment?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</si>
</sst>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164" formatCode="&quot;$&quot;#,##0.00_);\(&quot;$&quot;#,##0.00\)"/>
    <numFmt numFmtId="165" formatCode="_(* #,##0_);_(* \(#,##0\);_(* &quot;-&quot;_);_(@_)"/>
    <numFmt numFmtId="166" formatCode="&quot;FY&quot;yy"/>
    <numFmt numFmtId="167" formatCode="0.0%"/>
    <numFmt numFmtId="168" formatCode="_(* #,##0.00_);_(* \(#,##0.00\);_(* \-??_);_(@_)"/>
    <numFmt numFmtId="169" formatCode="_(* #,##0_);_(* \(#,##0\);_(* \-??_);_(@_)"/>
    <numFmt numFmtId="170" formatCode="_(* #,##0_);_(* \(#,##0\);_(* \-_);_(@_)"/>
    <numFmt numFmtId="171" formatCode="_(* #,##0_);_(* \(#,##0\);_(* &quot;-&quot;??_);_(@_)"/>
    <numFmt numFmtId="172" formatCode="#,##0.000_);\(#,##0.000\)"/>
    <numFmt numFmtId="173" formatCode="m/d/yy;@"/>
    <numFmt numFmtId="174" formatCode="0\A;[Red]0\A"/>
    <numFmt numFmtId="175" formatCode="0\P_);\(0\P\)"/>
    <numFmt numFmtId="176" formatCode="0.0%_);\(0.0%\);@_)"/>
    <numFmt numFmtId="177" formatCode="_(#,##0.0%_);\(#,##0.0%\);_(&quot;–&quot;_)_%;_(@_)_%"/>
    <numFmt numFmtId="178" formatCode="0000\A"/>
    <numFmt numFmtId="179" formatCode="0000\P"/>
    <numFmt numFmtId="180" formatCode="#,##0_);\(#,##0\);@_)"/>
    <numFmt numFmtId="181" formatCode="0.0\x_);\(0.0\x\);@_)"/>
    <numFmt numFmtId="182" formatCode="0.000%_);\(0.000%\);@_)"/>
    <numFmt numFmtId="183" formatCode="#,##0.000_);\(#,##0.000\);@_)"/>
    <numFmt numFmtId="184" formatCode="_([$$]#,##0_)_%;\([$$]#,##0\)_%;_(&quot;–&quot;_)_%;_(@_)_%"/>
    <numFmt numFmtId="185" formatCode="&quot;$&quot;#,##0.00_);\(&quot;$&quot;#,##0.00\);@_)"/>
    <numFmt numFmtId="186" formatCode="_(0.0\x_)_';_(\(0.0\x\)_';_(&quot;–&quot;_)_%;_(@_)_%"/>
    <numFmt numFmtId="187" formatCode="_(0.0_)_'_x;_(\(0.0\)_';_(&quot;–&quot;_)_%;_(@_)_%"/>
    <numFmt numFmtId="188" formatCode="#,##0.00_);\(#,##0.00\);\-_);@_)"/>
    <numFmt numFmtId="189" formatCode="#,##0.0_);\(#,##0.0\);\-_);@_)"/>
    <numFmt numFmtId="190" formatCode="_(#,##0.00%_);\(#,##0.00%\);_(&quot;–&quot;_)_%;_(@_)_%"/>
    <numFmt numFmtId="191" formatCode="[$EGP]\ #,##0.00_);\([$EGP]\ #,##0.00\)"/>
    <numFmt numFmtId="192" formatCode="[$EGP]\ #,##0.00_);[Red]\([$EGP]\ #,##0.00\)"/>
    <numFmt numFmtId="193" formatCode="_(* #,##0.0_);_(* \(#,##0.0\);_(* \-??_);_(@_)"/>
    <numFmt numFmtId="194" formatCode="[$EGP]\ #,##0.00;\-[$EGP]\ #,##0.00"/>
    <numFmt numFmtId="195" formatCode="d/m/yy;@"/>
    <numFmt numFmtId="196" formatCode="[$-409]mmmmm/yy;@"/>
  </numFmts>
  <fonts count="42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11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FF"/>
      <name val="Calibri"/>
      <family val="2"/>
      <charset val="1"/>
    </font>
    <font>
      <sz val="11"/>
      <color theme="4" tint="-0.249977111117893"/>
      <name val="Calibri"/>
      <family val="2"/>
      <scheme val="minor"/>
    </font>
    <font>
      <sz val="10"/>
      <name val="Arial"/>
      <family val="2"/>
    </font>
    <font>
      <b/>
      <u/>
      <sz val="11"/>
      <color theme="1"/>
      <name val="Calibri"/>
      <family val="2"/>
    </font>
    <font>
      <b/>
      <u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168" fontId="4" fillId="0" borderId="0"/>
    <xf numFmtId="9" fontId="4" fillId="0" borderId="0"/>
    <xf numFmtId="0" fontId="3" fillId="0" borderId="0"/>
    <xf numFmtId="37" fontId="22" fillId="0" borderId="0"/>
    <xf numFmtId="0" fontId="24" fillId="0" borderId="0" applyNumberFormat="0" applyFill="0" applyBorder="0" applyAlignment="0" applyProtection="0"/>
    <xf numFmtId="196" fontId="39" fillId="0" borderId="0"/>
  </cellStyleXfs>
  <cellXfs count="269">
    <xf numFmtId="0" fontId="0" fillId="0" borderId="0" xfId="0"/>
    <xf numFmtId="167" fontId="4" fillId="0" borderId="0" xfId="2" applyNumberFormat="1"/>
    <xf numFmtId="0" fontId="5" fillId="0" borderId="4" xfId="0" applyFont="1" applyBorder="1"/>
    <xf numFmtId="0" fontId="6" fillId="0" borderId="0" xfId="0" applyFont="1"/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70" fontId="12" fillId="0" borderId="0" xfId="1" applyNumberFormat="1" applyFont="1"/>
    <xf numFmtId="0" fontId="13" fillId="0" borderId="1" xfId="0" applyFont="1" applyBorder="1"/>
    <xf numFmtId="169" fontId="13" fillId="0" borderId="1" xfId="1" applyNumberFormat="1" applyFont="1" applyBorder="1"/>
    <xf numFmtId="0" fontId="13" fillId="0" borderId="0" xfId="0" applyFont="1"/>
    <xf numFmtId="169" fontId="13" fillId="0" borderId="0" xfId="1" applyNumberFormat="1" applyFont="1"/>
    <xf numFmtId="167" fontId="9" fillId="0" borderId="0" xfId="2" applyNumberFormat="1" applyFont="1"/>
    <xf numFmtId="0" fontId="13" fillId="0" borderId="3" xfId="0" applyFont="1" applyBorder="1"/>
    <xf numFmtId="0" fontId="8" fillId="0" borderId="0" xfId="0" applyFont="1" applyAlignment="1">
      <alignment horizontal="left" indent="1"/>
    </xf>
    <xf numFmtId="169" fontId="8" fillId="0" borderId="0" xfId="0" applyNumberFormat="1" applyFont="1"/>
    <xf numFmtId="169" fontId="8" fillId="0" borderId="0" xfId="1" applyNumberFormat="1" applyFont="1"/>
    <xf numFmtId="0" fontId="15" fillId="0" borderId="2" xfId="0" applyFont="1" applyBorder="1"/>
    <xf numFmtId="169" fontId="13" fillId="0" borderId="2" xfId="1" applyNumberFormat="1" applyFont="1" applyBorder="1"/>
    <xf numFmtId="167" fontId="8" fillId="0" borderId="0" xfId="2" applyNumberFormat="1" applyFont="1"/>
    <xf numFmtId="167" fontId="12" fillId="0" borderId="0" xfId="0" applyNumberFormat="1" applyFont="1"/>
    <xf numFmtId="1" fontId="8" fillId="0" borderId="0" xfId="2" applyNumberFormat="1" applyFont="1"/>
    <xf numFmtId="0" fontId="11" fillId="0" borderId="0" xfId="0" applyFont="1" applyAlignment="1">
      <alignment horizontal="left" indent="1"/>
    </xf>
    <xf numFmtId="169" fontId="13" fillId="0" borderId="0" xfId="0" applyNumberFormat="1" applyFont="1"/>
    <xf numFmtId="0" fontId="13" fillId="0" borderId="1" xfId="0" applyFont="1" applyBorder="1" applyAlignment="1">
      <alignment horizontal="left"/>
    </xf>
    <xf numFmtId="0" fontId="17" fillId="0" borderId="0" xfId="0" applyFont="1" applyAlignment="1">
      <alignment horizontal="center" vertical="center"/>
    </xf>
    <xf numFmtId="170" fontId="8" fillId="0" borderId="0" xfId="0" applyNumberFormat="1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170" fontId="14" fillId="0" borderId="3" xfId="1" applyNumberFormat="1" applyFont="1" applyBorder="1"/>
    <xf numFmtId="0" fontId="18" fillId="0" borderId="0" xfId="0" applyFont="1"/>
    <xf numFmtId="0" fontId="10" fillId="0" borderId="0" xfId="0" applyFont="1"/>
    <xf numFmtId="0" fontId="18" fillId="0" borderId="0" xfId="0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0" fontId="11" fillId="0" borderId="0" xfId="0" applyFont="1"/>
    <xf numFmtId="170" fontId="11" fillId="0" borderId="0" xfId="0" applyNumberFormat="1" applyFont="1" applyAlignment="1">
      <alignment horizontal="center" vertical="center"/>
    </xf>
    <xf numFmtId="10" fontId="8" fillId="0" borderId="0" xfId="2" applyNumberFormat="1" applyFont="1"/>
    <xf numFmtId="0" fontId="13" fillId="0" borderId="3" xfId="0" applyFont="1" applyBorder="1" applyAlignment="1">
      <alignment horizontal="left"/>
    </xf>
    <xf numFmtId="0" fontId="5" fillId="0" borderId="6" xfId="0" applyFont="1" applyBorder="1"/>
    <xf numFmtId="0" fontId="0" fillId="0" borderId="6" xfId="0" applyBorder="1"/>
    <xf numFmtId="174" fontId="5" fillId="0" borderId="0" xfId="0" applyNumberFormat="1" applyFont="1"/>
    <xf numFmtId="175" fontId="5" fillId="0" borderId="0" xfId="0" applyNumberFormat="1" applyFont="1"/>
    <xf numFmtId="0" fontId="19" fillId="0" borderId="6" xfId="0" applyFont="1" applyBorder="1"/>
    <xf numFmtId="173" fontId="19" fillId="0" borderId="2" xfId="0" applyNumberFormat="1" applyFont="1" applyBorder="1"/>
    <xf numFmtId="0" fontId="14" fillId="0" borderId="0" xfId="0" applyFont="1"/>
    <xf numFmtId="173" fontId="19" fillId="0" borderId="6" xfId="0" applyNumberFormat="1" applyFont="1" applyBorder="1"/>
    <xf numFmtId="0" fontId="20" fillId="0" borderId="0" xfId="0" applyFont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0" fontId="0" fillId="0" borderId="3" xfId="0" applyBorder="1"/>
    <xf numFmtId="174" fontId="5" fillId="0" borderId="3" xfId="0" applyNumberFormat="1" applyFont="1" applyBorder="1"/>
    <xf numFmtId="175" fontId="5" fillId="0" borderId="3" xfId="0" applyNumberFormat="1" applyFont="1" applyBorder="1"/>
    <xf numFmtId="0" fontId="3" fillId="0" borderId="0" xfId="3"/>
    <xf numFmtId="0" fontId="5" fillId="0" borderId="4" xfId="3" applyFont="1" applyBorder="1"/>
    <xf numFmtId="0" fontId="3" fillId="0" borderId="4" xfId="3" applyBorder="1"/>
    <xf numFmtId="0" fontId="21" fillId="0" borderId="5" xfId="3" applyFont="1" applyBorder="1"/>
    <xf numFmtId="14" fontId="7" fillId="0" borderId="0" xfId="4" applyNumberFormat="1" applyFont="1" applyAlignment="1">
      <alignment horizontal="right"/>
    </xf>
    <xf numFmtId="176" fontId="23" fillId="0" borderId="0" xfId="3" applyNumberFormat="1" applyFont="1"/>
    <xf numFmtId="14" fontId="6" fillId="0" borderId="0" xfId="4" applyNumberFormat="1" applyFont="1" applyAlignment="1">
      <alignment horizontal="right"/>
    </xf>
    <xf numFmtId="14" fontId="7" fillId="0" borderId="0" xfId="3" applyNumberFormat="1" applyFont="1" applyAlignment="1">
      <alignment horizontal="right"/>
    </xf>
    <xf numFmtId="0" fontId="24" fillId="0" borderId="0" xfId="5" applyBorder="1"/>
    <xf numFmtId="177" fontId="6" fillId="0" borderId="0" xfId="3" applyNumberFormat="1" applyFont="1"/>
    <xf numFmtId="164" fontId="23" fillId="0" borderId="0" xfId="3" applyNumberFormat="1" applyFont="1" applyAlignment="1">
      <alignment horizontal="right"/>
    </xf>
    <xf numFmtId="0" fontId="5" fillId="0" borderId="7" xfId="3" applyFont="1" applyBorder="1"/>
    <xf numFmtId="0" fontId="3" fillId="0" borderId="7" xfId="3" applyBorder="1"/>
    <xf numFmtId="164" fontId="23" fillId="0" borderId="7" xfId="3" applyNumberFormat="1" applyFont="1" applyBorder="1" applyAlignment="1">
      <alignment horizontal="right"/>
    </xf>
    <xf numFmtId="0" fontId="25" fillId="0" borderId="0" xfId="3" applyFont="1" applyAlignment="1">
      <alignment horizontal="centerContinuous"/>
    </xf>
    <xf numFmtId="0" fontId="26" fillId="0" borderId="8" xfId="3" applyFont="1" applyBorder="1" applyAlignment="1">
      <alignment horizontal="centerContinuous"/>
    </xf>
    <xf numFmtId="0" fontId="19" fillId="0" borderId="0" xfId="3" applyFont="1"/>
    <xf numFmtId="14" fontId="3" fillId="0" borderId="0" xfId="3" applyNumberFormat="1" applyAlignment="1">
      <alignment horizontal="center"/>
    </xf>
    <xf numFmtId="180" fontId="6" fillId="0" borderId="0" xfId="3" applyNumberFormat="1" applyFont="1"/>
    <xf numFmtId="180" fontId="23" fillId="0" borderId="0" xfId="3" applyNumberFormat="1" applyFont="1"/>
    <xf numFmtId="0" fontId="3" fillId="0" borderId="0" xfId="3" applyAlignment="1">
      <alignment horizontal="left" indent="1"/>
    </xf>
    <xf numFmtId="0" fontId="5" fillId="0" borderId="0" xfId="3" applyFont="1"/>
    <xf numFmtId="180" fontId="27" fillId="0" borderId="0" xfId="3" applyNumberFormat="1" applyFont="1"/>
    <xf numFmtId="180" fontId="3" fillId="0" borderId="0" xfId="3" applyNumberFormat="1"/>
    <xf numFmtId="37" fontId="6" fillId="0" borderId="0" xfId="3" applyNumberFormat="1" applyFont="1"/>
    <xf numFmtId="180" fontId="23" fillId="0" borderId="7" xfId="3" applyNumberFormat="1" applyFont="1" applyBorder="1"/>
    <xf numFmtId="180" fontId="26" fillId="0" borderId="7" xfId="3" applyNumberFormat="1" applyFont="1" applyBorder="1" applyAlignment="1">
      <alignment horizontal="center"/>
    </xf>
    <xf numFmtId="180" fontId="26" fillId="0" borderId="0" xfId="3" applyNumberFormat="1" applyFont="1"/>
    <xf numFmtId="14" fontId="3" fillId="0" borderId="0" xfId="3" applyNumberFormat="1"/>
    <xf numFmtId="177" fontId="3" fillId="0" borderId="0" xfId="3" applyNumberFormat="1" applyAlignment="1">
      <alignment horizontal="center"/>
    </xf>
    <xf numFmtId="180" fontId="6" fillId="0" borderId="7" xfId="3" applyNumberFormat="1" applyFont="1" applyBorder="1"/>
    <xf numFmtId="0" fontId="27" fillId="0" borderId="0" xfId="3" applyFont="1"/>
    <xf numFmtId="177" fontId="7" fillId="0" borderId="0" xfId="3" applyNumberFormat="1" applyFont="1"/>
    <xf numFmtId="179" fontId="3" fillId="0" borderId="0" xfId="3" applyNumberFormat="1"/>
    <xf numFmtId="181" fontId="7" fillId="0" borderId="0" xfId="3" applyNumberFormat="1" applyFont="1"/>
    <xf numFmtId="180" fontId="5" fillId="0" borderId="0" xfId="3" applyNumberFormat="1" applyFont="1"/>
    <xf numFmtId="0" fontId="19" fillId="0" borderId="0" xfId="3" applyFont="1" applyAlignment="1">
      <alignment horizontal="left"/>
    </xf>
    <xf numFmtId="177" fontId="19" fillId="0" borderId="0" xfId="3" applyNumberFormat="1" applyFont="1"/>
    <xf numFmtId="182" fontId="19" fillId="0" borderId="0" xfId="3" applyNumberFormat="1" applyFont="1"/>
    <xf numFmtId="177" fontId="3" fillId="0" borderId="0" xfId="3" applyNumberFormat="1"/>
    <xf numFmtId="181" fontId="19" fillId="0" borderId="0" xfId="3" applyNumberFormat="1" applyFont="1"/>
    <xf numFmtId="176" fontId="3" fillId="0" borderId="0" xfId="3" quotePrefix="1" applyNumberFormat="1"/>
    <xf numFmtId="0" fontId="3" fillId="0" borderId="0" xfId="3" applyAlignment="1">
      <alignment horizontal="left"/>
    </xf>
    <xf numFmtId="0" fontId="28" fillId="0" borderId="0" xfId="3" applyFont="1"/>
    <xf numFmtId="0" fontId="28" fillId="0" borderId="0" xfId="3" applyFont="1" applyAlignment="1">
      <alignment horizontal="right"/>
    </xf>
    <xf numFmtId="0" fontId="28" fillId="0" borderId="0" xfId="3" applyFont="1" applyAlignment="1">
      <alignment horizontal="left" vertical="center"/>
    </xf>
    <xf numFmtId="14" fontId="6" fillId="0" borderId="0" xfId="3" applyNumberFormat="1" applyFont="1"/>
    <xf numFmtId="183" fontId="7" fillId="0" borderId="0" xfId="3" applyNumberFormat="1" applyFont="1"/>
    <xf numFmtId="172" fontId="7" fillId="0" borderId="0" xfId="3" applyNumberFormat="1" applyFont="1"/>
    <xf numFmtId="37" fontId="23" fillId="0" borderId="0" xfId="3" applyNumberFormat="1" applyFont="1"/>
    <xf numFmtId="172" fontId="23" fillId="0" borderId="0" xfId="3" applyNumberFormat="1" applyFont="1" applyAlignment="1">
      <alignment horizontal="right"/>
    </xf>
    <xf numFmtId="0" fontId="6" fillId="0" borderId="0" xfId="3" applyFont="1" applyAlignment="1">
      <alignment horizontal="left" indent="1"/>
    </xf>
    <xf numFmtId="0" fontId="5" fillId="0" borderId="0" xfId="3" applyFont="1" applyAlignment="1">
      <alignment horizontal="left"/>
    </xf>
    <xf numFmtId="184" fontId="7" fillId="0" borderId="0" xfId="3" applyNumberFormat="1" applyFont="1"/>
    <xf numFmtId="0" fontId="3" fillId="0" borderId="0" xfId="3" applyAlignment="1">
      <alignment horizontal="left" vertical="center" indent="1"/>
    </xf>
    <xf numFmtId="172" fontId="3" fillId="0" borderId="0" xfId="3" applyNumberFormat="1"/>
    <xf numFmtId="183" fontId="29" fillId="0" borderId="0" xfId="3" applyNumberFormat="1" applyFont="1"/>
    <xf numFmtId="0" fontId="5" fillId="0" borderId="0" xfId="3" applyFont="1" applyAlignment="1">
      <alignment vertical="center"/>
    </xf>
    <xf numFmtId="0" fontId="25" fillId="0" borderId="0" xfId="3" applyFont="1" applyAlignment="1">
      <alignment horizontal="right"/>
    </xf>
    <xf numFmtId="180" fontId="3" fillId="0" borderId="0" xfId="3" applyNumberFormat="1" applyAlignment="1">
      <alignment horizontal="right"/>
    </xf>
    <xf numFmtId="37" fontId="19" fillId="0" borderId="7" xfId="3" applyNumberFormat="1" applyFont="1" applyBorder="1" applyAlignment="1">
      <alignment horizontal="right"/>
    </xf>
    <xf numFmtId="37" fontId="3" fillId="0" borderId="0" xfId="3" applyNumberFormat="1" applyAlignment="1">
      <alignment horizontal="right"/>
    </xf>
    <xf numFmtId="187" fontId="3" fillId="0" borderId="0" xfId="3" applyNumberFormat="1" applyAlignment="1">
      <alignment horizontal="right"/>
    </xf>
    <xf numFmtId="0" fontId="6" fillId="2" borderId="0" xfId="3" applyFont="1" applyFill="1"/>
    <xf numFmtId="0" fontId="30" fillId="0" borderId="0" xfId="3" applyFont="1" applyAlignment="1">
      <alignment horizontal="centerContinuous"/>
    </xf>
    <xf numFmtId="0" fontId="25" fillId="0" borderId="9" xfId="3" applyFont="1" applyBorder="1" applyAlignment="1">
      <alignment horizontal="centerContinuous"/>
    </xf>
    <xf numFmtId="0" fontId="3" fillId="0" borderId="0" xfId="3" applyAlignment="1">
      <alignment horizontal="centerContinuous"/>
    </xf>
    <xf numFmtId="0" fontId="3" fillId="0" borderId="9" xfId="3" applyBorder="1" applyAlignment="1">
      <alignment horizontal="centerContinuous"/>
    </xf>
    <xf numFmtId="0" fontId="3" fillId="0" borderId="0" xfId="3" applyAlignment="1">
      <alignment horizontal="right"/>
    </xf>
    <xf numFmtId="167" fontId="7" fillId="3" borderId="11" xfId="3" applyNumberFormat="1" applyFont="1" applyFill="1" applyBorder="1"/>
    <xf numFmtId="181" fontId="3" fillId="0" borderId="12" xfId="3" applyNumberFormat="1" applyBorder="1" applyAlignment="1">
      <alignment horizontal="right"/>
    </xf>
    <xf numFmtId="188" fontId="3" fillId="0" borderId="0" xfId="3" applyNumberFormat="1"/>
    <xf numFmtId="188" fontId="3" fillId="0" borderId="9" xfId="3" applyNumberFormat="1" applyBorder="1"/>
    <xf numFmtId="181" fontId="3" fillId="0" borderId="0" xfId="3" applyNumberFormat="1" applyAlignment="1">
      <alignment horizontal="right"/>
    </xf>
    <xf numFmtId="167" fontId="7" fillId="3" borderId="14" xfId="3" applyNumberFormat="1" applyFont="1" applyFill="1" applyBorder="1" applyAlignment="1">
      <alignment horizontal="right"/>
    </xf>
    <xf numFmtId="0" fontId="27" fillId="2" borderId="0" xfId="3" applyFont="1" applyFill="1" applyAlignment="1">
      <alignment horizontal="center"/>
    </xf>
    <xf numFmtId="189" fontId="3" fillId="0" borderId="0" xfId="3" applyNumberFormat="1"/>
    <xf numFmtId="181" fontId="7" fillId="3" borderId="11" xfId="3" applyNumberFormat="1" applyFont="1" applyFill="1" applyBorder="1"/>
    <xf numFmtId="0" fontId="3" fillId="0" borderId="9" xfId="3" applyBorder="1"/>
    <xf numFmtId="0" fontId="5" fillId="4" borderId="0" xfId="3" applyFont="1" applyFill="1"/>
    <xf numFmtId="0" fontId="5" fillId="4" borderId="9" xfId="3" applyFont="1" applyFill="1" applyBorder="1"/>
    <xf numFmtId="190" fontId="3" fillId="0" borderId="0" xfId="3" applyNumberFormat="1"/>
    <xf numFmtId="0" fontId="3" fillId="0" borderId="10" xfId="3" applyBorder="1"/>
    <xf numFmtId="0" fontId="3" fillId="0" borderId="11" xfId="3" applyBorder="1" applyAlignment="1">
      <alignment horizontal="right"/>
    </xf>
    <xf numFmtId="0" fontId="3" fillId="0" borderId="13" xfId="3" applyBorder="1" applyAlignment="1">
      <alignment horizontal="right"/>
    </xf>
    <xf numFmtId="0" fontId="3" fillId="0" borderId="11" xfId="3" applyBorder="1"/>
    <xf numFmtId="0" fontId="3" fillId="0" borderId="15" xfId="3" applyBorder="1"/>
    <xf numFmtId="177" fontId="6" fillId="0" borderId="0" xfId="0" applyNumberFormat="1" applyFont="1"/>
    <xf numFmtId="0" fontId="27" fillId="0" borderId="7" xfId="3" applyFont="1" applyBorder="1"/>
    <xf numFmtId="0" fontId="6" fillId="0" borderId="7" xfId="3" applyFont="1" applyBorder="1"/>
    <xf numFmtId="0" fontId="27" fillId="0" borderId="7" xfId="3" applyFont="1" applyBorder="1" applyAlignment="1">
      <alignment horizontal="right"/>
    </xf>
    <xf numFmtId="0" fontId="28" fillId="0" borderId="0" xfId="3" applyFont="1" applyAlignment="1">
      <alignment horizontal="left"/>
    </xf>
    <xf numFmtId="0" fontId="5" fillId="0" borderId="6" xfId="3" applyFont="1" applyBorder="1"/>
    <xf numFmtId="0" fontId="5" fillId="0" borderId="10" xfId="3" applyFont="1" applyBorder="1"/>
    <xf numFmtId="10" fontId="7" fillId="0" borderId="0" xfId="3" applyNumberFormat="1" applyFont="1"/>
    <xf numFmtId="190" fontId="23" fillId="0" borderId="7" xfId="3" applyNumberFormat="1" applyFont="1" applyBorder="1"/>
    <xf numFmtId="190" fontId="6" fillId="0" borderId="0" xfId="3" applyNumberFormat="1" applyFont="1"/>
    <xf numFmtId="10" fontId="7" fillId="0" borderId="7" xfId="3" applyNumberFormat="1" applyFont="1" applyBorder="1"/>
    <xf numFmtId="10" fontId="6" fillId="0" borderId="0" xfId="3" applyNumberFormat="1" applyFont="1"/>
    <xf numFmtId="167" fontId="6" fillId="0" borderId="0" xfId="3" applyNumberFormat="1" applyFont="1"/>
    <xf numFmtId="0" fontId="3" fillId="0" borderId="6" xfId="3" applyBorder="1"/>
    <xf numFmtId="167" fontId="26" fillId="0" borderId="0" xfId="3" applyNumberFormat="1" applyFont="1" applyAlignment="1">
      <alignment horizontal="right"/>
    </xf>
    <xf numFmtId="9" fontId="7" fillId="0" borderId="0" xfId="3" applyNumberFormat="1" applyFont="1"/>
    <xf numFmtId="176" fontId="3" fillId="0" borderId="0" xfId="3" applyNumberFormat="1"/>
    <xf numFmtId="9" fontId="6" fillId="0" borderId="0" xfId="3" applyNumberFormat="1" applyFont="1"/>
    <xf numFmtId="0" fontId="5" fillId="0" borderId="11" xfId="3" applyFont="1" applyBorder="1"/>
    <xf numFmtId="176" fontId="5" fillId="0" borderId="13" xfId="3" applyNumberFormat="1" applyFont="1" applyBorder="1"/>
    <xf numFmtId="191" fontId="7" fillId="0" borderId="0" xfId="3" applyNumberFormat="1" applyFont="1"/>
    <xf numFmtId="180" fontId="6" fillId="0" borderId="0" xfId="0" applyNumberFormat="1" applyFont="1"/>
    <xf numFmtId="14" fontId="0" fillId="0" borderId="0" xfId="0" applyNumberFormat="1"/>
    <xf numFmtId="39" fontId="7" fillId="0" borderId="0" xfId="3" applyNumberFormat="1" applyFont="1"/>
    <xf numFmtId="170" fontId="14" fillId="0" borderId="0" xfId="1" applyNumberFormat="1" applyFont="1"/>
    <xf numFmtId="170" fontId="13" fillId="0" borderId="0" xfId="0" applyNumberFormat="1" applyFont="1"/>
    <xf numFmtId="192" fontId="7" fillId="0" borderId="0" xfId="0" applyNumberFormat="1" applyFont="1" applyAlignment="1">
      <alignment horizontal="center"/>
    </xf>
    <xf numFmtId="185" fontId="0" fillId="0" borderId="6" xfId="0" applyNumberFormat="1" applyBorder="1" applyAlignment="1">
      <alignment horizontal="right"/>
    </xf>
    <xf numFmtId="185" fontId="0" fillId="0" borderId="12" xfId="0" applyNumberFormat="1" applyBorder="1"/>
    <xf numFmtId="181" fontId="31" fillId="3" borderId="11" xfId="3" applyNumberFormat="1" applyFont="1" applyFill="1" applyBorder="1"/>
    <xf numFmtId="0" fontId="0" fillId="0" borderId="16" xfId="0" quotePrefix="1" applyBorder="1"/>
    <xf numFmtId="39" fontId="0" fillId="0" borderId="0" xfId="0" applyNumberFormat="1"/>
    <xf numFmtId="39" fontId="0" fillId="0" borderId="17" xfId="0" applyNumberFormat="1" applyBorder="1"/>
    <xf numFmtId="0" fontId="0" fillId="0" borderId="16" xfId="0" applyBorder="1"/>
    <xf numFmtId="0" fontId="0" fillId="0" borderId="18" xfId="0" applyBorder="1"/>
    <xf numFmtId="39" fontId="0" fillId="0" borderId="6" xfId="0" applyNumberFormat="1" applyBorder="1"/>
    <xf numFmtId="39" fontId="6" fillId="0" borderId="6" xfId="0" applyNumberFormat="1" applyFont="1" applyBorder="1"/>
    <xf numFmtId="39" fontId="0" fillId="0" borderId="12" xfId="0" applyNumberFormat="1" applyBorder="1"/>
    <xf numFmtId="0" fontId="0" fillId="0" borderId="9" xfId="0" applyBorder="1"/>
    <xf numFmtId="39" fontId="6" fillId="0" borderId="0" xfId="0" applyNumberFormat="1" applyFont="1"/>
    <xf numFmtId="39" fontId="6" fillId="0" borderId="17" xfId="0" applyNumberFormat="1" applyFont="1" applyBorder="1"/>
    <xf numFmtId="0" fontId="0" fillId="0" borderId="19" xfId="0" applyBorder="1"/>
    <xf numFmtId="39" fontId="6" fillId="0" borderId="12" xfId="0" applyNumberFormat="1" applyFont="1" applyBorder="1"/>
    <xf numFmtId="178" fontId="5" fillId="0" borderId="20" xfId="3" applyNumberFormat="1" applyFont="1" applyBorder="1"/>
    <xf numFmtId="180" fontId="23" fillId="0" borderId="21" xfId="3" applyNumberFormat="1" applyFont="1" applyBorder="1"/>
    <xf numFmtId="9" fontId="4" fillId="0" borderId="21" xfId="2" applyBorder="1"/>
    <xf numFmtId="180" fontId="6" fillId="0" borderId="21" xfId="3" applyNumberFormat="1" applyFont="1" applyBorder="1"/>
    <xf numFmtId="176" fontId="23" fillId="0" borderId="21" xfId="3" applyNumberFormat="1" applyFont="1" applyBorder="1"/>
    <xf numFmtId="180" fontId="27" fillId="0" borderId="22" xfId="3" applyNumberFormat="1" applyFont="1" applyBorder="1"/>
    <xf numFmtId="179" fontId="5" fillId="0" borderId="23" xfId="3" applyNumberFormat="1" applyFont="1" applyBorder="1"/>
    <xf numFmtId="179" fontId="5" fillId="0" borderId="20" xfId="3" applyNumberFormat="1" applyFont="1" applyBorder="1"/>
    <xf numFmtId="14" fontId="21" fillId="0" borderId="5" xfId="3" applyNumberFormat="1" applyFont="1" applyBorder="1"/>
    <xf numFmtId="169" fontId="4" fillId="0" borderId="0" xfId="1" applyNumberFormat="1"/>
    <xf numFmtId="170" fontId="8" fillId="0" borderId="0" xfId="0" applyNumberFormat="1" applyFont="1" applyAlignment="1">
      <alignment horizontal="center" vertical="center"/>
    </xf>
    <xf numFmtId="170" fontId="0" fillId="0" borderId="0" xfId="0" applyNumberFormat="1"/>
    <xf numFmtId="169" fontId="33" fillId="0" borderId="0" xfId="1" applyNumberFormat="1" applyFont="1"/>
    <xf numFmtId="180" fontId="7" fillId="0" borderId="0" xfId="3" applyNumberFormat="1" applyFont="1"/>
    <xf numFmtId="3" fontId="5" fillId="0" borderId="0" xfId="3" applyNumberFormat="1" applyFont="1"/>
    <xf numFmtId="14" fontId="7" fillId="0" borderId="0" xfId="3" applyNumberFormat="1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167" fontId="6" fillId="3" borderId="14" xfId="0" applyNumberFormat="1" applyFont="1" applyFill="1" applyBorder="1" applyAlignment="1">
      <alignment horizontal="right"/>
    </xf>
    <xf numFmtId="167" fontId="6" fillId="3" borderId="24" xfId="0" applyNumberFormat="1" applyFont="1" applyFill="1" applyBorder="1" applyAlignment="1">
      <alignment horizontal="right"/>
    </xf>
    <xf numFmtId="167" fontId="6" fillId="3" borderId="10" xfId="0" applyNumberFormat="1" applyFont="1" applyFill="1" applyBorder="1"/>
    <xf numFmtId="167" fontId="6" fillId="3" borderId="11" xfId="0" applyNumberFormat="1" applyFont="1" applyFill="1" applyBorder="1"/>
    <xf numFmtId="193" fontId="4" fillId="0" borderId="0" xfId="1" applyNumberFormat="1"/>
    <xf numFmtId="0" fontId="13" fillId="0" borderId="0" xfId="0" applyFont="1" applyAlignment="1">
      <alignment horizontal="left"/>
    </xf>
    <xf numFmtId="171" fontId="12" fillId="0" borderId="0" xfId="0" applyNumberFormat="1" applyFont="1"/>
    <xf numFmtId="165" fontId="13" fillId="0" borderId="0" xfId="0" applyNumberFormat="1" applyFont="1" applyAlignment="1">
      <alignment horizontal="center" vertical="center"/>
    </xf>
    <xf numFmtId="165" fontId="11" fillId="0" borderId="0" xfId="1" applyNumberFormat="1" applyFont="1"/>
    <xf numFmtId="165" fontId="8" fillId="0" borderId="0" xfId="0" applyNumberFormat="1" applyFont="1" applyAlignment="1">
      <alignment horizontal="center" vertical="center"/>
    </xf>
    <xf numFmtId="165" fontId="8" fillId="0" borderId="0" xfId="0" applyNumberFormat="1" applyFont="1"/>
    <xf numFmtId="165" fontId="14" fillId="0" borderId="0" xfId="1" applyNumberFormat="1" applyFont="1"/>
    <xf numFmtId="165" fontId="13" fillId="0" borderId="0" xfId="1" applyNumberFormat="1" applyFont="1"/>
    <xf numFmtId="165" fontId="17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11" fillId="0" borderId="0" xfId="0" applyNumberFormat="1" applyFont="1"/>
    <xf numFmtId="165" fontId="20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9" fontId="4" fillId="0" borderId="0" xfId="2"/>
    <xf numFmtId="165" fontId="14" fillId="0" borderId="3" xfId="1" applyNumberFormat="1" applyFont="1" applyBorder="1"/>
    <xf numFmtId="9" fontId="33" fillId="0" borderId="0" xfId="2" applyFont="1"/>
    <xf numFmtId="167" fontId="11" fillId="0" borderId="3" xfId="2" applyNumberFormat="1" applyFont="1" applyBorder="1"/>
    <xf numFmtId="167" fontId="6" fillId="0" borderId="0" xfId="0" applyNumberFormat="1" applyFont="1"/>
    <xf numFmtId="167" fontId="33" fillId="0" borderId="0" xfId="2" applyNumberFormat="1" applyFont="1"/>
    <xf numFmtId="167" fontId="34" fillId="0" borderId="0" xfId="2" applyNumberFormat="1" applyFont="1"/>
    <xf numFmtId="170" fontId="13" fillId="0" borderId="0" xfId="0" applyNumberFormat="1" applyFont="1" applyAlignment="1">
      <alignment horizontal="center" vertical="center"/>
    </xf>
    <xf numFmtId="0" fontId="2" fillId="0" borderId="0" xfId="3" applyFont="1"/>
    <xf numFmtId="37" fontId="2" fillId="0" borderId="0" xfId="3" applyNumberFormat="1" applyFont="1" applyAlignment="1">
      <alignment horizontal="right"/>
    </xf>
    <xf numFmtId="169" fontId="13" fillId="0" borderId="0" xfId="0" applyNumberFormat="1" applyFont="1" applyAlignment="1">
      <alignment horizontal="center" vertical="center"/>
    </xf>
    <xf numFmtId="169" fontId="14" fillId="0" borderId="0" xfId="0" applyNumberFormat="1" applyFont="1" applyAlignment="1">
      <alignment horizontal="center" vertical="center"/>
    </xf>
    <xf numFmtId="169" fontId="14" fillId="0" borderId="0" xfId="1" applyNumberFormat="1" applyFont="1"/>
    <xf numFmtId="176" fontId="0" fillId="0" borderId="0" xfId="0" quotePrefix="1" applyNumberFormat="1"/>
    <xf numFmtId="194" fontId="5" fillId="0" borderId="0" xfId="3" applyNumberFormat="1" applyFont="1" applyAlignment="1">
      <alignment horizontal="right"/>
    </xf>
    <xf numFmtId="167" fontId="6" fillId="3" borderId="25" xfId="0" applyNumberFormat="1" applyFont="1" applyFill="1" applyBorder="1"/>
    <xf numFmtId="181" fontId="6" fillId="0" borderId="0" xfId="3" applyNumberFormat="1" applyFont="1"/>
    <xf numFmtId="181" fontId="31" fillId="3" borderId="25" xfId="3" applyNumberFormat="1" applyFont="1" applyFill="1" applyBorder="1"/>
    <xf numFmtId="0" fontId="5" fillId="0" borderId="0" xfId="0" applyFont="1"/>
    <xf numFmtId="165" fontId="19" fillId="0" borderId="0" xfId="0" applyNumberFormat="1" applyFont="1"/>
    <xf numFmtId="169" fontId="11" fillId="0" borderId="0" xfId="1" applyNumberFormat="1" applyFont="1"/>
    <xf numFmtId="171" fontId="8" fillId="0" borderId="0" xfId="0" applyNumberFormat="1" applyFont="1"/>
    <xf numFmtId="167" fontId="8" fillId="0" borderId="0" xfId="2" applyNumberFormat="1" applyFont="1" applyAlignment="1">
      <alignment horizontal="left"/>
    </xf>
    <xf numFmtId="0" fontId="8" fillId="0" borderId="0" xfId="0" applyFont="1" applyAlignment="1">
      <alignment horizontal="left"/>
    </xf>
    <xf numFmtId="169" fontId="34" fillId="0" borderId="0" xfId="1" applyNumberFormat="1" applyFont="1"/>
    <xf numFmtId="171" fontId="13" fillId="0" borderId="0" xfId="1" applyNumberFormat="1" applyFont="1"/>
    <xf numFmtId="0" fontId="15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68" fontId="8" fillId="0" borderId="0" xfId="1" applyFont="1"/>
    <xf numFmtId="0" fontId="13" fillId="0" borderId="0" xfId="0" applyFont="1" applyAlignment="1">
      <alignment horizontal="left" indent="1"/>
    </xf>
    <xf numFmtId="195" fontId="19" fillId="0" borderId="2" xfId="0" applyNumberFormat="1" applyFont="1" applyBorder="1"/>
    <xf numFmtId="195" fontId="1" fillId="0" borderId="2" xfId="0" applyNumberFormat="1" applyFont="1" applyBorder="1" applyAlignment="1">
      <alignment horizontal="center"/>
    </xf>
    <xf numFmtId="170" fontId="13" fillId="0" borderId="3" xfId="0" applyNumberFormat="1" applyFont="1" applyBorder="1" applyAlignment="1">
      <alignment horizontal="center" vertical="center"/>
    </xf>
    <xf numFmtId="14" fontId="21" fillId="0" borderId="0" xfId="0" applyNumberFormat="1" applyFont="1" applyAlignment="1">
      <alignment horizontal="left"/>
    </xf>
    <xf numFmtId="170" fontId="11" fillId="0" borderId="0" xfId="1" applyNumberFormat="1" applyFont="1"/>
    <xf numFmtId="170" fontId="12" fillId="0" borderId="0" xfId="0" applyNumberFormat="1" applyFont="1"/>
    <xf numFmtId="167" fontId="11" fillId="0" borderId="0" xfId="0" applyNumberFormat="1" applyFont="1"/>
    <xf numFmtId="190" fontId="38" fillId="0" borderId="7" xfId="3" applyNumberFormat="1" applyFont="1" applyBorder="1"/>
    <xf numFmtId="186" fontId="0" fillId="0" borderId="0" xfId="0" applyNumberFormat="1" applyAlignment="1">
      <alignment horizontal="right"/>
    </xf>
    <xf numFmtId="187" fontId="0" fillId="0" borderId="0" xfId="0" applyNumberFormat="1" applyAlignment="1">
      <alignment horizontal="right"/>
    </xf>
    <xf numFmtId="0" fontId="7" fillId="0" borderId="0" xfId="0" applyFont="1" applyAlignment="1">
      <alignment horizontal="center" vertical="center"/>
    </xf>
    <xf numFmtId="169" fontId="37" fillId="0" borderId="0" xfId="1" applyNumberFormat="1" applyFont="1" applyAlignment="1">
      <alignment horizontal="center" vertical="center"/>
    </xf>
    <xf numFmtId="169" fontId="12" fillId="0" borderId="0" xfId="1" applyNumberFormat="1" applyFont="1"/>
    <xf numFmtId="0" fontId="40" fillId="0" borderId="0" xfId="0" applyFont="1"/>
    <xf numFmtId="0" fontId="40" fillId="0" borderId="0" xfId="0" applyFont="1" applyAlignment="1">
      <alignment horizontal="left"/>
    </xf>
    <xf numFmtId="165" fontId="11" fillId="0" borderId="3" xfId="1" applyNumberFormat="1" applyFont="1" applyBorder="1"/>
    <xf numFmtId="165" fontId="12" fillId="0" borderId="0" xfId="1" applyNumberFormat="1" applyFont="1"/>
    <xf numFmtId="10" fontId="11" fillId="0" borderId="0" xfId="2" applyNumberFormat="1" applyFont="1"/>
    <xf numFmtId="0" fontId="41" fillId="0" borderId="0" xfId="0" applyFont="1" applyAlignment="1">
      <alignment horizontal="center"/>
    </xf>
  </cellXfs>
  <cellStyles count="7">
    <cellStyle name="Comma" xfId="1" builtinId="3"/>
    <cellStyle name="Hyperlink" xfId="5" builtinId="8"/>
    <cellStyle name="Normal" xfId="0" builtinId="0"/>
    <cellStyle name="Normal 15" xfId="6" xr:uid="{6DDD7A4B-57F6-404C-BA97-B891B271587B}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3.3x-5.3x Exit EBITDA Range at 20.1% WACC</c:v>
                </c:pt>
                <c:pt idx="1">
                  <c:v>DCF Value at 9.0%-11.0% Perpetuity Range at 20.1%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57.9824511000866</c:v>
                </c:pt>
                <c:pt idx="1">
                  <c:v>60.183506886039268</c:v>
                </c:pt>
                <c:pt idx="2">
                  <c:v>33.659999999999997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3.3x-5.3x Exit EBITDA Range at 20.1% WACC</c:v>
                </c:pt>
                <c:pt idx="1">
                  <c:v>DCF Value at 9.0%-11.0% Perpetuity Range at 20.1%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16.440618290690374</c:v>
                </c:pt>
                <c:pt idx="1">
                  <c:v>6.1548311576092658</c:v>
                </c:pt>
                <c:pt idx="2">
                  <c:v>79.320000000000007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3.3x-5.3x Exit EBITDA Range at 20.1% WACC</c:v>
                </c:pt>
                <c:pt idx="1">
                  <c:v>DCF Value at 9.0%-11.0% Perpetuity Range at 20.1%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74.423069390776973</c:v>
                </c:pt>
                <c:pt idx="1">
                  <c:v>66.338338043648534</c:v>
                </c:pt>
                <c:pt idx="2">
                  <c:v>112.98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20.1% WACC</c:v>
                </c:pt>
                <c:pt idx="1">
                  <c:v>LTM EBITDA Purchase Multiple at 2.8x-3.4x Exit EBITDA Multiple at 20.1% WACC</c:v>
                </c:pt>
                <c:pt idx="2">
                  <c:v>LTM EBITDA Purchase Multiple at 18.1%-22.1% WACC at 4.3x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2.9227195071957888</c:v>
                </c:pt>
                <c:pt idx="1">
                  <c:v>2.8421193782143881</c:v>
                </c:pt>
                <c:pt idx="2">
                  <c:v>2.3788187300865351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20.1% WACC</c:v>
                </c:pt>
                <c:pt idx="1">
                  <c:v>LTM EBITDA Purchase Multiple at 2.8x-3.4x Exit EBITDA Multiple at 20.1% WACC</c:v>
                </c:pt>
                <c:pt idx="2">
                  <c:v>LTM EBITDA Purchase Multiple at 18.1%-22.1% WACC at 4.3x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0.22538283142484339</c:v>
                </c:pt>
                <c:pt idx="1">
                  <c:v>0.60203651503092992</c:v>
                </c:pt>
                <c:pt idx="2">
                  <c:v>0.33954356762369065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20.1% WACC</c:v>
                </c:pt>
                <c:pt idx="1">
                  <c:v>LTM EBITDA Purchase Multiple at 2.8x-3.4x Exit EBITDA Multiple at 20.1% WACC</c:v>
                </c:pt>
                <c:pt idx="2">
                  <c:v>LTM EBITDA Purchase Multiple at 18.1%-22.1% WACC at 4.3x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3.1481023386206322</c:v>
                </c:pt>
                <c:pt idx="1">
                  <c:v>3.444155893245318</c:v>
                </c:pt>
                <c:pt idx="2">
                  <c:v>2.7183622977102258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2"/>
  <sheetViews>
    <sheetView showGridLines="0" tabSelected="1" topLeftCell="A196" zoomScale="85" zoomScaleNormal="85" workbookViewId="0">
      <selection activeCell="G219" sqref="G219"/>
    </sheetView>
  </sheetViews>
  <sheetFormatPr defaultColWidth="9.140625" defaultRowHeight="15"/>
  <cols>
    <col min="1" max="2" width="1.7109375" style="6" customWidth="1"/>
    <col min="3" max="3" width="66.42578125" style="6" bestFit="1" customWidth="1"/>
    <col min="4" max="4" width="17.140625" style="7" customWidth="1"/>
    <col min="5" max="11" width="17.140625" style="6" customWidth="1"/>
    <col min="12" max="12" width="2.7109375" style="6" customWidth="1"/>
    <col min="13" max="16384" width="9.140625" style="6"/>
  </cols>
  <sheetData>
    <row r="1" spans="3:11" ht="15" customHeight="1" thickBot="1"/>
    <row r="2" spans="3:11" ht="15.75" thickBot="1">
      <c r="C2" s="2" t="str">
        <f>Company_Name&amp;" - Financial Statement Model"</f>
        <v>Telecom Egypt - Financial Statement Model</v>
      </c>
      <c r="D2" s="8"/>
      <c r="E2" s="8"/>
      <c r="F2" s="8"/>
      <c r="G2" s="8"/>
      <c r="H2" s="8"/>
      <c r="I2" s="8"/>
      <c r="J2" s="8"/>
      <c r="K2" s="8"/>
    </row>
    <row r="3" spans="3:11">
      <c r="C3" s="253" t="s">
        <v>257</v>
      </c>
      <c r="D3" s="9"/>
      <c r="E3" s="9"/>
      <c r="F3" s="9"/>
      <c r="G3" s="9"/>
      <c r="H3" s="9"/>
    </row>
    <row r="4" spans="3:11" ht="15" customHeight="1"/>
    <row r="5" spans="3:11">
      <c r="C5" s="3" t="s">
        <v>0</v>
      </c>
      <c r="D5" s="260" t="s">
        <v>216</v>
      </c>
    </row>
    <row r="6" spans="3:11">
      <c r="C6" s="3" t="s">
        <v>1</v>
      </c>
      <c r="D6" s="4" t="s">
        <v>217</v>
      </c>
    </row>
    <row r="7" spans="3:11">
      <c r="C7" s="6" t="s">
        <v>29</v>
      </c>
      <c r="D7" s="167">
        <v>94.05</v>
      </c>
    </row>
    <row r="8" spans="3:11">
      <c r="C8" s="6" t="s">
        <v>30</v>
      </c>
      <c r="D8" s="5">
        <v>46182</v>
      </c>
    </row>
    <row r="9" spans="3:11">
      <c r="C9" s="3" t="s">
        <v>2</v>
      </c>
      <c r="D9" s="5">
        <v>46022</v>
      </c>
    </row>
    <row r="10" spans="3:11" ht="15" customHeight="1">
      <c r="C10" s="6" t="s">
        <v>31</v>
      </c>
      <c r="D10" s="261">
        <f>1707071600</f>
        <v>1707071600</v>
      </c>
    </row>
    <row r="11" spans="3:11" ht="15" customHeight="1"/>
    <row r="12" spans="3:11" customFormat="1">
      <c r="C12" s="41" t="s">
        <v>44</v>
      </c>
      <c r="D12" s="42"/>
      <c r="E12" s="42"/>
      <c r="F12" s="42"/>
      <c r="G12" s="42"/>
      <c r="H12" s="42"/>
      <c r="I12" s="42"/>
      <c r="J12" s="42"/>
      <c r="K12" s="42"/>
    </row>
    <row r="13" spans="3:11" customFormat="1">
      <c r="C13" t="s">
        <v>45</v>
      </c>
      <c r="D13" s="43">
        <f>E13-1</f>
        <v>2023</v>
      </c>
      <c r="E13" s="43">
        <f>F13-1</f>
        <v>2024</v>
      </c>
      <c r="F13" s="43">
        <f>YEAR(D9)</f>
        <v>2025</v>
      </c>
      <c r="G13" s="44">
        <f>F13+1</f>
        <v>2026</v>
      </c>
      <c r="H13" s="44">
        <f>G13+1</f>
        <v>2027</v>
      </c>
      <c r="I13" s="44">
        <f>H13+1</f>
        <v>2028</v>
      </c>
      <c r="J13" s="44">
        <f>I13+1</f>
        <v>2029</v>
      </c>
      <c r="K13" s="44">
        <f>J13+1</f>
        <v>2030</v>
      </c>
    </row>
    <row r="14" spans="3:11" customFormat="1">
      <c r="C14" s="45" t="s">
        <v>46</v>
      </c>
      <c r="D14" s="250">
        <f>EOMONTH(E14,-12)</f>
        <v>45291</v>
      </c>
      <c r="E14" s="250">
        <f>EOMONTH(F14,-12)</f>
        <v>45657</v>
      </c>
      <c r="F14" s="250">
        <f>D9</f>
        <v>46022</v>
      </c>
      <c r="G14" s="250">
        <f>EOMONTH(F14,12)</f>
        <v>46387</v>
      </c>
      <c r="H14" s="250">
        <f>EOMONTH(G14,12)</f>
        <v>46752</v>
      </c>
      <c r="I14" s="250">
        <f>EOMONTH(H14,12)</f>
        <v>47118</v>
      </c>
      <c r="J14" s="250">
        <f>EOMONTH(I14,12)</f>
        <v>47483</v>
      </c>
      <c r="K14" s="250">
        <f>EOMONTH(J14,12)</f>
        <v>47848</v>
      </c>
    </row>
    <row r="15" spans="3:11" ht="15" customHeight="1"/>
    <row r="16" spans="3:11" ht="15" customHeight="1">
      <c r="C16" s="6" t="s">
        <v>218</v>
      </c>
      <c r="D16" s="10">
        <v>56679153</v>
      </c>
      <c r="E16" s="10">
        <v>81677812</v>
      </c>
      <c r="F16" s="10">
        <v>106672946</v>
      </c>
      <c r="G16" s="254">
        <f>G203</f>
        <v>116106445.28373751</v>
      </c>
      <c r="H16" s="254">
        <f t="shared" ref="H16:K16" si="0">H203</f>
        <v>125758999.7592832</v>
      </c>
      <c r="I16" s="254">
        <f t="shared" si="0"/>
        <v>135503462.83043283</v>
      </c>
      <c r="J16" s="254">
        <f t="shared" si="0"/>
        <v>145699781.70618427</v>
      </c>
      <c r="K16" s="254">
        <f t="shared" si="0"/>
        <v>156239160.89816689</v>
      </c>
    </row>
    <row r="17" spans="3:11" ht="15" customHeight="1">
      <c r="C17" s="6" t="s">
        <v>219</v>
      </c>
      <c r="D17" s="10">
        <v>-34289981</v>
      </c>
      <c r="E17" s="10">
        <v>-51185050</v>
      </c>
      <c r="F17" s="10">
        <v>-61833836</v>
      </c>
      <c r="G17" s="254">
        <f>-G16*(1-G45)</f>
        <v>-69663867.170242503</v>
      </c>
      <c r="H17" s="254">
        <f t="shared" ref="H17:K17" si="1">-H16*(1-H45)</f>
        <v>-75455399.855569914</v>
      </c>
      <c r="I17" s="254">
        <f t="shared" si="1"/>
        <v>-81302077.698259696</v>
      </c>
      <c r="J17" s="254">
        <f t="shared" si="1"/>
        <v>-87419869.023710564</v>
      </c>
      <c r="K17" s="254">
        <f t="shared" si="1"/>
        <v>-93743496.538900137</v>
      </c>
    </row>
    <row r="18" spans="3:11" s="13" customFormat="1" ht="15" customHeight="1">
      <c r="C18" s="13" t="s">
        <v>203</v>
      </c>
      <c r="D18" s="14">
        <f>SUM(D16:D17)</f>
        <v>22389172</v>
      </c>
      <c r="E18" s="14">
        <f t="shared" ref="E18:K18" si="2">SUM(E16:E17)</f>
        <v>30492762</v>
      </c>
      <c r="F18" s="14">
        <f t="shared" si="2"/>
        <v>44839110</v>
      </c>
      <c r="G18" s="14">
        <f t="shared" si="2"/>
        <v>46442578.113495007</v>
      </c>
      <c r="H18" s="14">
        <f t="shared" si="2"/>
        <v>50303599.903713286</v>
      </c>
      <c r="I18" s="14">
        <f t="shared" si="2"/>
        <v>54201385.132173136</v>
      </c>
      <c r="J18" s="14">
        <f t="shared" si="2"/>
        <v>58279912.682473704</v>
      </c>
      <c r="K18" s="14">
        <f t="shared" si="2"/>
        <v>62495664.359266758</v>
      </c>
    </row>
    <row r="19" spans="3:11" s="15" customFormat="1" ht="15" customHeight="1">
      <c r="C19" s="241" t="s">
        <v>220</v>
      </c>
      <c r="D19" s="196">
        <v>487202</v>
      </c>
      <c r="E19" s="196">
        <v>699771</v>
      </c>
      <c r="F19" s="196">
        <v>964651</v>
      </c>
      <c r="G19" s="239">
        <f>G16*G46</f>
        <v>1049958.801638446</v>
      </c>
      <c r="H19" s="239">
        <f t="shared" ref="H19:K19" si="3">H16*H46</f>
        <v>1137247.5348791089</v>
      </c>
      <c r="I19" s="239">
        <f t="shared" si="3"/>
        <v>1225367.4040542562</v>
      </c>
      <c r="J19" s="239">
        <f t="shared" si="3"/>
        <v>1317573.4372485818</v>
      </c>
      <c r="K19" s="239">
        <f t="shared" si="3"/>
        <v>1412881.7891612141</v>
      </c>
    </row>
    <row r="20" spans="3:11" s="15" customFormat="1" ht="15" customHeight="1">
      <c r="C20" s="241" t="s">
        <v>221</v>
      </c>
      <c r="D20" s="196">
        <v>-4377521</v>
      </c>
      <c r="E20" s="196">
        <v>-5415716</v>
      </c>
      <c r="F20" s="196">
        <v>-6078657</v>
      </c>
      <c r="G20" s="239">
        <f>-G16*G47</f>
        <v>-7760680.5092351669</v>
      </c>
      <c r="H20" s="239">
        <f t="shared" ref="H20:K20" si="4">-H16*H47</f>
        <v>-8405867.701036917</v>
      </c>
      <c r="I20" s="239">
        <f t="shared" si="4"/>
        <v>-9057198.1628767047</v>
      </c>
      <c r="J20" s="239">
        <f t="shared" si="4"/>
        <v>-9738731.1559126582</v>
      </c>
      <c r="K20" s="239">
        <f t="shared" si="4"/>
        <v>-10443194.671911065</v>
      </c>
    </row>
    <row r="21" spans="3:11" s="15" customFormat="1" ht="15" customHeight="1">
      <c r="C21" s="241" t="s">
        <v>204</v>
      </c>
      <c r="D21" s="196">
        <v>-5512951</v>
      </c>
      <c r="E21" s="196">
        <v>-7419745</v>
      </c>
      <c r="F21" s="196">
        <v>-8641814</v>
      </c>
      <c r="G21" s="239">
        <f>-G16*G48</f>
        <v>-10415514.383432908</v>
      </c>
      <c r="H21" s="239">
        <f t="shared" ref="H21:K21" si="5">-H16*H48</f>
        <v>-11281412.22167288</v>
      </c>
      <c r="I21" s="239">
        <f t="shared" si="5"/>
        <v>-12155554.867486924</v>
      </c>
      <c r="J21" s="239">
        <f t="shared" si="5"/>
        <v>-13070231.960984441</v>
      </c>
      <c r="K21" s="239">
        <f t="shared" si="5"/>
        <v>-14015683.828865577</v>
      </c>
    </row>
    <row r="22" spans="3:11" s="15" customFormat="1" ht="15" customHeight="1">
      <c r="C22" s="241" t="s">
        <v>205</v>
      </c>
      <c r="D22" s="196">
        <v>-446942</v>
      </c>
      <c r="E22" s="196">
        <v>-556146</v>
      </c>
      <c r="F22" s="196">
        <v>-2314623</v>
      </c>
      <c r="G22" s="239">
        <f>-G16*G49</f>
        <v>-790571.31352599745</v>
      </c>
      <c r="H22" s="239">
        <f t="shared" ref="H22:K22" si="6">-H16*H49</f>
        <v>-856295.76708208479</v>
      </c>
      <c r="I22" s="239">
        <f t="shared" si="6"/>
        <v>-922646.02826645132</v>
      </c>
      <c r="J22" s="239">
        <f t="shared" si="6"/>
        <v>-992072.98546106438</v>
      </c>
      <c r="K22" s="239">
        <f t="shared" si="6"/>
        <v>-1063835.847817176</v>
      </c>
    </row>
    <row r="23" spans="3:11" s="15" customFormat="1" ht="15" customHeight="1">
      <c r="C23" s="241" t="s">
        <v>222</v>
      </c>
      <c r="D23" s="196">
        <v>-272574</v>
      </c>
      <c r="E23" s="196">
        <v>-444399</v>
      </c>
      <c r="F23" s="196">
        <v>-726311</v>
      </c>
      <c r="G23" s="239">
        <f>-G16*G50</f>
        <v>-660208.82012986683</v>
      </c>
      <c r="H23" s="239">
        <f t="shared" ref="H23:K23" si="7">-H16*H50</f>
        <v>-715095.53710725659</v>
      </c>
      <c r="I23" s="239">
        <f t="shared" si="7"/>
        <v>-770504.86818513984</v>
      </c>
      <c r="J23" s="239">
        <f t="shared" si="7"/>
        <v>-828483.5586719343</v>
      </c>
      <c r="K23" s="239">
        <f t="shared" si="7"/>
        <v>-888412.97158467909</v>
      </c>
    </row>
    <row r="24" spans="3:11" ht="15" customHeight="1">
      <c r="C24" s="206" t="s">
        <v>206</v>
      </c>
      <c r="D24" s="231">
        <f>SUM(D18:D23)</f>
        <v>12266386</v>
      </c>
      <c r="E24" s="231">
        <f t="shared" ref="E24:K24" si="8">SUM(E18:E23)</f>
        <v>17356527</v>
      </c>
      <c r="F24" s="231">
        <f t="shared" si="8"/>
        <v>28042356</v>
      </c>
      <c r="G24" s="231">
        <f t="shared" si="8"/>
        <v>27865561.888809513</v>
      </c>
      <c r="H24" s="231">
        <f t="shared" si="8"/>
        <v>30182176.211693265</v>
      </c>
      <c r="I24" s="231">
        <f t="shared" si="8"/>
        <v>32520848.609412171</v>
      </c>
      <c r="J24" s="231">
        <f t="shared" si="8"/>
        <v>34967966.458692186</v>
      </c>
      <c r="K24" s="231">
        <f t="shared" si="8"/>
        <v>37497418.828249477</v>
      </c>
    </row>
    <row r="25" spans="3:11" ht="15" customHeight="1">
      <c r="C25" s="242" t="s">
        <v>155</v>
      </c>
      <c r="D25" s="196">
        <v>723515</v>
      </c>
      <c r="E25" s="196">
        <v>590274</v>
      </c>
      <c r="F25" s="196">
        <v>1793895</v>
      </c>
      <c r="G25" s="239">
        <f>G268</f>
        <v>777762.86645395553</v>
      </c>
      <c r="H25" s="239">
        <f t="shared" ref="H25:K25" si="9">H268</f>
        <v>755505.70556773641</v>
      </c>
      <c r="I25" s="239">
        <f t="shared" si="9"/>
        <v>793326.82468933845</v>
      </c>
      <c r="J25" s="239">
        <f t="shared" si="9"/>
        <v>1105397.809428334</v>
      </c>
      <c r="K25" s="239">
        <f t="shared" si="9"/>
        <v>1682032.5693160361</v>
      </c>
    </row>
    <row r="26" spans="3:11" s="13" customFormat="1" ht="15" customHeight="1">
      <c r="C26" s="242" t="s">
        <v>207</v>
      </c>
      <c r="D26" s="196">
        <v>-4632460</v>
      </c>
      <c r="E26" s="196">
        <v>-16348179</v>
      </c>
      <c r="F26" s="196">
        <v>-13753377</v>
      </c>
      <c r="G26" s="239">
        <f>G267</f>
        <v>-12995938.442552095</v>
      </c>
      <c r="H26" s="239">
        <f t="shared" ref="H26:K26" si="10">H267</f>
        <v>-11493812.182552096</v>
      </c>
      <c r="I26" s="239">
        <f t="shared" si="10"/>
        <v>-9991685.9225520957</v>
      </c>
      <c r="J26" s="239">
        <f t="shared" si="10"/>
        <v>-9991685.9225520957</v>
      </c>
      <c r="K26" s="239">
        <f t="shared" si="10"/>
        <v>-8489559.6625520959</v>
      </c>
    </row>
    <row r="27" spans="3:11" s="13" customFormat="1" ht="15" customHeight="1">
      <c r="C27" s="13" t="s">
        <v>223</v>
      </c>
      <c r="D27" s="231">
        <f>SUM(D25:D26)</f>
        <v>-3908945</v>
      </c>
      <c r="E27" s="231">
        <f t="shared" ref="E27:F27" si="11">SUM(E25:E26)</f>
        <v>-15757905</v>
      </c>
      <c r="F27" s="231">
        <f t="shared" si="11"/>
        <v>-11959482</v>
      </c>
      <c r="G27" s="231">
        <f t="shared" ref="G27" si="12">SUM(G25:G26)</f>
        <v>-12218175.57609814</v>
      </c>
      <c r="H27" s="231">
        <f t="shared" ref="H27" si="13">SUM(H25:H26)</f>
        <v>-10738306.476984359</v>
      </c>
      <c r="I27" s="231">
        <f t="shared" ref="I27" si="14">SUM(I25:I26)</f>
        <v>-9198359.0978627577</v>
      </c>
      <c r="J27" s="231">
        <f t="shared" ref="J27" si="15">SUM(J25:J26)</f>
        <v>-8886288.1131237615</v>
      </c>
      <c r="K27" s="231">
        <f t="shared" ref="K27" si="16">SUM(K25:K26)</f>
        <v>-6807527.0932360599</v>
      </c>
    </row>
    <row r="28" spans="3:11" ht="15" customHeight="1">
      <c r="C28" s="6" t="s">
        <v>224</v>
      </c>
      <c r="D28" s="196">
        <v>5280319</v>
      </c>
      <c r="E28" s="196">
        <v>8662526</v>
      </c>
      <c r="F28" s="196">
        <v>14828173</v>
      </c>
      <c r="G28" s="239">
        <f>G296</f>
        <v>18090371.059999999</v>
      </c>
      <c r="H28" s="239">
        <f t="shared" ref="H28:K28" si="17">H296</f>
        <v>21346637.850799996</v>
      </c>
      <c r="I28" s="239">
        <f t="shared" si="17"/>
        <v>24548633.528419994</v>
      </c>
      <c r="J28" s="239">
        <f t="shared" si="17"/>
        <v>27494469.551830396</v>
      </c>
      <c r="K28" s="239">
        <f t="shared" si="17"/>
        <v>30243916.507013436</v>
      </c>
    </row>
    <row r="29" spans="3:11" ht="15" customHeight="1">
      <c r="C29" s="13" t="s">
        <v>225</v>
      </c>
      <c r="D29" s="231">
        <f>D24+D27+D28</f>
        <v>13637760</v>
      </c>
      <c r="E29" s="231">
        <f t="shared" ref="E29" si="18">E24+E27+E28</f>
        <v>10261148</v>
      </c>
      <c r="F29" s="231">
        <f>F24+F27+F28</f>
        <v>30911047</v>
      </c>
      <c r="G29" s="231">
        <f t="shared" ref="G29:K29" si="19">G24+G27+G28</f>
        <v>33737757.372711375</v>
      </c>
      <c r="H29" s="231">
        <f t="shared" si="19"/>
        <v>40790507.585508898</v>
      </c>
      <c r="I29" s="231">
        <f t="shared" si="19"/>
        <v>47871123.039969407</v>
      </c>
      <c r="J29" s="231">
        <f t="shared" si="19"/>
        <v>53576147.897398822</v>
      </c>
      <c r="K29" s="231">
        <f t="shared" si="19"/>
        <v>60933808.242026851</v>
      </c>
    </row>
    <row r="30" spans="3:11" ht="15" customHeight="1">
      <c r="C30" s="6" t="s">
        <v>226</v>
      </c>
      <c r="D30" s="196">
        <v>-1917135</v>
      </c>
      <c r="E30" s="196">
        <v>-383333</v>
      </c>
      <c r="F30" s="196">
        <v>-8569486</v>
      </c>
      <c r="G30" s="243">
        <f>-(G29-G28)*G51-G297*10%</f>
        <v>-4166488.1672020601</v>
      </c>
      <c r="H30" s="243">
        <f>-(H29-H28)*H51-H297*10%</f>
        <v>-5136945.6615830632</v>
      </c>
      <c r="I30" s="243">
        <f>-(I29-I28)*I51-I297*10%</f>
        <v>-6123946.3570632124</v>
      </c>
      <c r="J30" s="243">
        <f>-(J29-J28)*J51-J297*10%</f>
        <v>-6849930.190753242</v>
      </c>
      <c r="K30" s="243">
        <f>-(K29-K28)*K51-K297*10%</f>
        <v>-7984933.4596783975</v>
      </c>
    </row>
    <row r="31" spans="3:11" ht="15" customHeight="1">
      <c r="C31" s="13" t="s">
        <v>227</v>
      </c>
      <c r="D31" s="231">
        <f>SUM(D29:D30)</f>
        <v>11720625</v>
      </c>
      <c r="E31" s="231">
        <f t="shared" ref="E31:F31" si="20">SUM(E29:E30)</f>
        <v>9877815</v>
      </c>
      <c r="F31" s="231">
        <f t="shared" si="20"/>
        <v>22341561</v>
      </c>
      <c r="G31" s="231">
        <f t="shared" ref="G31" si="21">SUM(G29:G30)</f>
        <v>29571269.205509316</v>
      </c>
      <c r="H31" s="231">
        <f t="shared" ref="H31" si="22">SUM(H29:H30)</f>
        <v>35653561.923925832</v>
      </c>
      <c r="I31" s="231">
        <f t="shared" ref="I31" si="23">SUM(I29:I30)</f>
        <v>41747176.682906196</v>
      </c>
      <c r="J31" s="231">
        <f t="shared" ref="J31" si="24">SUM(J29:J30)</f>
        <v>46726217.706645578</v>
      </c>
      <c r="K31" s="231">
        <f t="shared" ref="K31" si="25">SUM(K29:K30)</f>
        <v>52948874.782348454</v>
      </c>
    </row>
    <row r="32" spans="3:11" ht="15" customHeight="1">
      <c r="C32" s="6" t="s">
        <v>228</v>
      </c>
      <c r="D32" s="262">
        <v>0</v>
      </c>
      <c r="E32" s="262">
        <v>233513</v>
      </c>
      <c r="F32" s="262">
        <v>236502</v>
      </c>
      <c r="G32" s="240">
        <f>F32</f>
        <v>236502</v>
      </c>
      <c r="H32" s="240">
        <v>0</v>
      </c>
      <c r="I32" s="240">
        <f t="shared" ref="I32:K32" si="26">H32</f>
        <v>0</v>
      </c>
      <c r="J32" s="240">
        <f t="shared" si="26"/>
        <v>0</v>
      </c>
      <c r="K32" s="240">
        <f t="shared" si="26"/>
        <v>0</v>
      </c>
    </row>
    <row r="33" spans="3:11" ht="15" customHeight="1">
      <c r="C33" s="13" t="s">
        <v>229</v>
      </c>
      <c r="D33" s="14">
        <f>SUM(D31:D32)</f>
        <v>11720625</v>
      </c>
      <c r="E33" s="14">
        <f t="shared" ref="E33:F33" si="27">SUM(E31:E32)</f>
        <v>10111328</v>
      </c>
      <c r="F33" s="14">
        <f t="shared" si="27"/>
        <v>22578063</v>
      </c>
      <c r="G33" s="14">
        <f t="shared" ref="G33" si="28">SUM(G31:G32)</f>
        <v>29807771.205509316</v>
      </c>
      <c r="H33" s="14">
        <f t="shared" ref="H33" si="29">SUM(H31:H32)</f>
        <v>35653561.923925832</v>
      </c>
      <c r="I33" s="14">
        <f t="shared" ref="I33" si="30">SUM(I31:I32)</f>
        <v>41747176.682906196</v>
      </c>
      <c r="J33" s="14">
        <f t="shared" ref="J33" si="31">SUM(J31:J32)</f>
        <v>46726217.706645578</v>
      </c>
      <c r="K33" s="14">
        <f t="shared" ref="K33" si="32">SUM(K31:K32)</f>
        <v>52948874.782348454</v>
      </c>
    </row>
    <row r="34" spans="3:11" ht="15" customHeight="1">
      <c r="C34" s="6" t="s">
        <v>230</v>
      </c>
      <c r="D34" s="19">
        <f>D33-D35</f>
        <v>11713179</v>
      </c>
      <c r="E34" s="19">
        <f t="shared" ref="E34:F34" si="33">E33-E35</f>
        <v>10098140</v>
      </c>
      <c r="F34" s="19">
        <f t="shared" si="33"/>
        <v>22554632</v>
      </c>
      <c r="G34" s="19">
        <f t="shared" ref="G34" si="34">G33-G35</f>
        <v>29778188.509678647</v>
      </c>
      <c r="H34" s="19">
        <f t="shared" ref="H34" si="35">H33-H35</f>
        <v>35618177.578333415</v>
      </c>
      <c r="I34" s="19">
        <f t="shared" ref="I34" si="36">I33-I35</f>
        <v>41705744.734804973</v>
      </c>
      <c r="J34" s="19">
        <f t="shared" ref="J34" si="37">J33-J35</f>
        <v>46679844.313740648</v>
      </c>
      <c r="K34" s="19">
        <f t="shared" ref="K34" si="38">K33-K35</f>
        <v>52896325.719003089</v>
      </c>
    </row>
    <row r="35" spans="3:11" ht="15" customHeight="1">
      <c r="C35" s="6" t="s">
        <v>231</v>
      </c>
      <c r="D35" s="262">
        <v>7446</v>
      </c>
      <c r="E35" s="262">
        <v>13188</v>
      </c>
      <c r="F35" s="262">
        <v>23431</v>
      </c>
      <c r="G35" s="240">
        <f>G33*G289</f>
        <v>29582.695830670407</v>
      </c>
      <c r="H35" s="240">
        <f>H33*H289</f>
        <v>35384.345592418074</v>
      </c>
      <c r="I35" s="240">
        <f>I33*I289</f>
        <v>41431.948101218928</v>
      </c>
      <c r="J35" s="240">
        <f>J33*J289</f>
        <v>46373.392904931323</v>
      </c>
      <c r="K35" s="240">
        <f>K33*K289</f>
        <v>52549.063345365445</v>
      </c>
    </row>
    <row r="36" spans="3:11" ht="15" customHeight="1">
      <c r="D36" s="14"/>
      <c r="E36" s="14"/>
      <c r="F36" s="14"/>
      <c r="G36" s="240"/>
      <c r="H36" s="244"/>
      <c r="I36" s="244"/>
      <c r="J36" s="244"/>
      <c r="K36" s="244"/>
    </row>
    <row r="37" spans="3:11" s="13" customFormat="1" ht="15" customHeight="1">
      <c r="C37" s="245" t="s">
        <v>25</v>
      </c>
      <c r="D37" s="14">
        <f t="shared" ref="D37:K37" si="39">D24+D172</f>
        <v>22429382</v>
      </c>
      <c r="E37" s="14">
        <f t="shared" si="39"/>
        <v>32351013</v>
      </c>
      <c r="F37" s="14">
        <f t="shared" si="39"/>
        <v>45433780</v>
      </c>
      <c r="G37" s="14">
        <f t="shared" si="39"/>
        <v>48130391.71927616</v>
      </c>
      <c r="H37" s="14">
        <f t="shared" si="39"/>
        <v>52131730.549901262</v>
      </c>
      <c r="I37" s="14">
        <f t="shared" si="39"/>
        <v>56171168.87360768</v>
      </c>
      <c r="J37" s="14">
        <f t="shared" si="39"/>
        <v>60397918.046621099</v>
      </c>
      <c r="K37" s="14">
        <f t="shared" si="39"/>
        <v>64766878.337744251</v>
      </c>
    </row>
    <row r="38" spans="3:11" ht="15" customHeight="1">
      <c r="C38" s="246" t="s">
        <v>152</v>
      </c>
      <c r="D38" s="15">
        <f>D37/D16</f>
        <v>0.39572542659555976</v>
      </c>
      <c r="E38" s="15">
        <f t="shared" ref="E38:K38" si="40">E37/E16</f>
        <v>0.39608079854048978</v>
      </c>
      <c r="F38" s="15">
        <f t="shared" si="40"/>
        <v>0.42591661432131067</v>
      </c>
      <c r="G38" s="15">
        <f t="shared" si="40"/>
        <v>0.41453677788219706</v>
      </c>
      <c r="H38" s="15">
        <f t="shared" si="40"/>
        <v>0.41453677788219712</v>
      </c>
      <c r="I38" s="15">
        <f t="shared" si="40"/>
        <v>0.41453677788219706</v>
      </c>
      <c r="J38" s="15">
        <f t="shared" si="40"/>
        <v>0.41453677788219701</v>
      </c>
      <c r="K38" s="15">
        <f t="shared" si="40"/>
        <v>0.41453677788219701</v>
      </c>
    </row>
    <row r="39" spans="3:11" ht="15" customHeight="1">
      <c r="C39" s="245"/>
      <c r="D39" s="14"/>
      <c r="E39" s="14"/>
      <c r="F39" s="14"/>
      <c r="G39" s="14"/>
      <c r="H39" s="14"/>
      <c r="I39" s="14"/>
      <c r="J39" s="14"/>
      <c r="K39" s="14"/>
    </row>
    <row r="40" spans="3:11" ht="15" customHeight="1">
      <c r="C40" s="247" t="s">
        <v>31</v>
      </c>
      <c r="D40" s="19"/>
      <c r="E40" s="19"/>
      <c r="F40" s="19">
        <f>$D$10</f>
        <v>1707071600</v>
      </c>
      <c r="G40" s="19">
        <f t="shared" ref="G40:K40" si="41">$D$10</f>
        <v>1707071600</v>
      </c>
      <c r="H40" s="19">
        <f t="shared" si="41"/>
        <v>1707071600</v>
      </c>
      <c r="I40" s="19">
        <f t="shared" si="41"/>
        <v>1707071600</v>
      </c>
      <c r="J40" s="19">
        <f t="shared" si="41"/>
        <v>1707071600</v>
      </c>
      <c r="K40" s="19">
        <f t="shared" si="41"/>
        <v>1707071600</v>
      </c>
    </row>
    <row r="41" spans="3:11" ht="15" customHeight="1">
      <c r="C41" s="247" t="s">
        <v>43</v>
      </c>
      <c r="D41" s="248"/>
      <c r="E41" s="248"/>
      <c r="F41" s="248">
        <f>F34*1000/F40</f>
        <v>13.21246982258975</v>
      </c>
      <c r="G41" s="248">
        <f t="shared" ref="G41:K41" si="42">G34*1000/G40</f>
        <v>17.44401846394647</v>
      </c>
      <c r="H41" s="248">
        <f t="shared" si="42"/>
        <v>20.865075359658853</v>
      </c>
      <c r="I41" s="248">
        <f t="shared" si="42"/>
        <v>24.431163130360186</v>
      </c>
      <c r="J41" s="248">
        <f t="shared" si="42"/>
        <v>27.344983253040262</v>
      </c>
      <c r="K41" s="248">
        <f t="shared" si="42"/>
        <v>30.986588798620449</v>
      </c>
    </row>
    <row r="42" spans="3:11" ht="15" customHeight="1">
      <c r="C42" s="17"/>
      <c r="D42" s="14"/>
      <c r="E42" s="14"/>
      <c r="F42" s="14"/>
      <c r="G42" s="205"/>
      <c r="H42" s="14"/>
      <c r="I42" s="14"/>
      <c r="J42" s="14"/>
      <c r="K42" s="14"/>
    </row>
    <row r="43" spans="3:11" ht="15" customHeight="1">
      <c r="C43" s="20" t="s">
        <v>28</v>
      </c>
      <c r="D43" s="21"/>
      <c r="E43" s="21"/>
      <c r="F43" s="14"/>
      <c r="H43" s="21"/>
      <c r="I43" s="21"/>
      <c r="J43" s="21"/>
      <c r="K43" s="21"/>
    </row>
    <row r="44" spans="3:11" ht="15" customHeight="1">
      <c r="C44" s="17" t="s">
        <v>26</v>
      </c>
      <c r="D44" s="22"/>
      <c r="E44" s="222">
        <f>E16/D16-1</f>
        <v>0.44105562057358205</v>
      </c>
      <c r="F44" s="222">
        <f t="shared" ref="F44:K44" si="43">F16/E16-1</f>
        <v>0.30602110154468876</v>
      </c>
      <c r="G44" s="222">
        <f t="shared" si="43"/>
        <v>8.8433849794844033E-2</v>
      </c>
      <c r="H44" s="222">
        <f t="shared" si="43"/>
        <v>8.3135388840447799E-2</v>
      </c>
      <c r="I44" s="222">
        <f t="shared" si="43"/>
        <v>7.7485214495993437E-2</v>
      </c>
      <c r="J44" s="222">
        <f t="shared" si="43"/>
        <v>7.5247662773836099E-2</v>
      </c>
      <c r="K44" s="222">
        <f t="shared" si="43"/>
        <v>7.233627304422563E-2</v>
      </c>
    </row>
    <row r="45" spans="3:11" ht="15" customHeight="1">
      <c r="C45" s="17" t="s">
        <v>208</v>
      </c>
      <c r="D45" s="22">
        <f>D18/D16</f>
        <v>0.39501599468150134</v>
      </c>
      <c r="E45" s="22">
        <f t="shared" ref="E45:F45" si="44">E18/E16</f>
        <v>0.37332980956933565</v>
      </c>
      <c r="F45" s="22">
        <f t="shared" si="44"/>
        <v>0.42034191124711229</v>
      </c>
      <c r="G45" s="23">
        <v>0.4</v>
      </c>
      <c r="H45" s="23">
        <v>0.4</v>
      </c>
      <c r="I45" s="23">
        <v>0.4</v>
      </c>
      <c r="J45" s="23">
        <v>0.4</v>
      </c>
      <c r="K45" s="23">
        <v>0.4</v>
      </c>
    </row>
    <row r="46" spans="3:11" ht="15" customHeight="1">
      <c r="C46" s="17" t="s">
        <v>258</v>
      </c>
      <c r="D46" s="22">
        <f>D19/D16</f>
        <v>8.5957882962718231E-3</v>
      </c>
      <c r="E46" s="22">
        <f t="shared" ref="E46:F46" si="45">E19/E16</f>
        <v>8.5674552594528358E-3</v>
      </c>
      <c r="F46" s="22">
        <f t="shared" si="45"/>
        <v>9.0430707707275654E-3</v>
      </c>
      <c r="G46" s="256">
        <f>F46</f>
        <v>9.0430707707275654E-3</v>
      </c>
      <c r="H46" s="256">
        <f t="shared" ref="H46:K46" si="46">G46</f>
        <v>9.0430707707275654E-3</v>
      </c>
      <c r="I46" s="256">
        <f t="shared" si="46"/>
        <v>9.0430707707275654E-3</v>
      </c>
      <c r="J46" s="256">
        <f t="shared" si="46"/>
        <v>9.0430707707275654E-3</v>
      </c>
      <c r="K46" s="256">
        <f t="shared" si="46"/>
        <v>9.0430707707275654E-3</v>
      </c>
    </row>
    <row r="47" spans="3:11" ht="15" customHeight="1">
      <c r="C47" s="17" t="s">
        <v>259</v>
      </c>
      <c r="D47" s="22">
        <f>-D20/D16</f>
        <v>7.7233352446180695E-2</v>
      </c>
      <c r="E47" s="22">
        <f t="shared" ref="E47:F47" si="47">-E20/E16</f>
        <v>6.6305840807782651E-2</v>
      </c>
      <c r="F47" s="22">
        <f t="shared" si="47"/>
        <v>5.6984054794924292E-2</v>
      </c>
      <c r="G47" s="256">
        <f>AVERAGE(D47:F47)</f>
        <v>6.6841082682962558E-2</v>
      </c>
      <c r="H47" s="256">
        <f>G47</f>
        <v>6.6841082682962558E-2</v>
      </c>
      <c r="I47" s="256">
        <f t="shared" ref="I47:K50" si="48">H47</f>
        <v>6.6841082682962558E-2</v>
      </c>
      <c r="J47" s="256">
        <f t="shared" si="48"/>
        <v>6.6841082682962558E-2</v>
      </c>
      <c r="K47" s="256">
        <f t="shared" si="48"/>
        <v>6.6841082682962558E-2</v>
      </c>
    </row>
    <row r="48" spans="3:11" ht="15" customHeight="1">
      <c r="C48" s="17" t="s">
        <v>209</v>
      </c>
      <c r="D48" s="22">
        <f>-D21/D16</f>
        <v>9.726593832480171E-2</v>
      </c>
      <c r="E48" s="22">
        <f t="shared" ref="E48:F48" si="49">-E21/E16</f>
        <v>9.0841622936716271E-2</v>
      </c>
      <c r="F48" s="22">
        <f t="shared" si="49"/>
        <v>8.1012237160863643E-2</v>
      </c>
      <c r="G48" s="256">
        <f>AVERAGE(D48:F48)</f>
        <v>8.9706599474127222E-2</v>
      </c>
      <c r="H48" s="256">
        <f>G48</f>
        <v>8.9706599474127222E-2</v>
      </c>
      <c r="I48" s="256">
        <f t="shared" si="48"/>
        <v>8.9706599474127222E-2</v>
      </c>
      <c r="J48" s="256">
        <f t="shared" si="48"/>
        <v>8.9706599474127222E-2</v>
      </c>
      <c r="K48" s="256">
        <f t="shared" si="48"/>
        <v>8.9706599474127222E-2</v>
      </c>
    </row>
    <row r="49" spans="3:11" ht="15" customHeight="1">
      <c r="C49" s="17" t="s">
        <v>210</v>
      </c>
      <c r="D49" s="22">
        <f>-D22/D16</f>
        <v>7.8854742236532712E-3</v>
      </c>
      <c r="E49" s="22">
        <f t="shared" ref="E49:F49" si="50">-E22/E16</f>
        <v>6.809021769584131E-3</v>
      </c>
      <c r="F49" s="22">
        <f t="shared" si="50"/>
        <v>2.1698313272420545E-2</v>
      </c>
      <c r="G49" s="256">
        <f>E49</f>
        <v>6.809021769584131E-3</v>
      </c>
      <c r="H49" s="256">
        <f>G49</f>
        <v>6.809021769584131E-3</v>
      </c>
      <c r="I49" s="256">
        <f t="shared" si="48"/>
        <v>6.809021769584131E-3</v>
      </c>
      <c r="J49" s="256">
        <f t="shared" si="48"/>
        <v>6.809021769584131E-3</v>
      </c>
      <c r="K49" s="256">
        <f t="shared" si="48"/>
        <v>6.809021769584131E-3</v>
      </c>
    </row>
    <row r="50" spans="3:11" ht="15" customHeight="1">
      <c r="C50" s="17" t="s">
        <v>211</v>
      </c>
      <c r="D50" s="22">
        <f>-D23/D16</f>
        <v>4.8090697473901914E-3</v>
      </c>
      <c r="E50" s="22">
        <f t="shared" ref="E50:F50" si="51">-E23/E16</f>
        <v>5.4408778726834648E-3</v>
      </c>
      <c r="F50" s="22">
        <f t="shared" si="51"/>
        <v>6.8087648015270905E-3</v>
      </c>
      <c r="G50" s="256">
        <f>AVERAGE(D50:F50)</f>
        <v>5.6862374738669156E-3</v>
      </c>
      <c r="H50" s="256">
        <f>G50</f>
        <v>5.6862374738669156E-3</v>
      </c>
      <c r="I50" s="256">
        <f t="shared" si="48"/>
        <v>5.6862374738669156E-3</v>
      </c>
      <c r="J50" s="256">
        <f t="shared" si="48"/>
        <v>5.6862374738669156E-3</v>
      </c>
      <c r="K50" s="256">
        <f t="shared" si="48"/>
        <v>5.6862374738669156E-3</v>
      </c>
    </row>
    <row r="51" spans="3:11" ht="15" customHeight="1">
      <c r="C51" s="17" t="s">
        <v>27</v>
      </c>
      <c r="D51" s="223">
        <f>-D30/D29</f>
        <v>0.14057550506828101</v>
      </c>
      <c r="E51" s="223">
        <f t="shared" ref="E51:F51" si="52">-E30/E29</f>
        <v>3.7357710852625847E-2</v>
      </c>
      <c r="F51" s="223">
        <f t="shared" si="52"/>
        <v>0.27723053185484142</v>
      </c>
      <c r="G51" s="23">
        <v>0.22500000000000001</v>
      </c>
      <c r="H51" s="23">
        <v>0.22500000000000001</v>
      </c>
      <c r="I51" s="23">
        <v>0.22500000000000001</v>
      </c>
      <c r="J51" s="23">
        <v>0.22500000000000001</v>
      </c>
      <c r="K51" s="23">
        <v>0.22500000000000001</v>
      </c>
    </row>
    <row r="52" spans="3:11" ht="15" customHeight="1">
      <c r="C52" s="17"/>
      <c r="D52" s="24"/>
      <c r="E52" s="24"/>
      <c r="F52" s="24"/>
      <c r="G52" s="24"/>
      <c r="H52" s="24"/>
      <c r="I52" s="24"/>
      <c r="J52" s="24"/>
      <c r="K52" s="24"/>
    </row>
    <row r="53" spans="3:11" customFormat="1">
      <c r="C53" s="41" t="s">
        <v>47</v>
      </c>
      <c r="D53" s="48"/>
      <c r="E53" s="48"/>
      <c r="F53" s="48"/>
      <c r="G53" s="42"/>
      <c r="H53" s="42"/>
      <c r="I53" s="42"/>
      <c r="J53" s="42"/>
      <c r="K53" s="42"/>
    </row>
    <row r="54" spans="3:11" customFormat="1">
      <c r="C54" t="s">
        <v>45</v>
      </c>
      <c r="D54" s="43">
        <f>D$13</f>
        <v>2023</v>
      </c>
      <c r="E54" s="43">
        <f t="shared" ref="E54:K54" si="53">E$13</f>
        <v>2024</v>
      </c>
      <c r="F54" s="43">
        <f t="shared" si="53"/>
        <v>2025</v>
      </c>
      <c r="G54" s="44">
        <f t="shared" si="53"/>
        <v>2026</v>
      </c>
      <c r="H54" s="44">
        <f t="shared" si="53"/>
        <v>2027</v>
      </c>
      <c r="I54" s="44">
        <f t="shared" si="53"/>
        <v>2028</v>
      </c>
      <c r="J54" s="44">
        <f t="shared" si="53"/>
        <v>2029</v>
      </c>
      <c r="K54" s="44">
        <f t="shared" si="53"/>
        <v>2030</v>
      </c>
    </row>
    <row r="55" spans="3:11" customFormat="1">
      <c r="C55" s="45" t="s">
        <v>46</v>
      </c>
      <c r="D55" s="46">
        <f>D$14</f>
        <v>45291</v>
      </c>
      <c r="E55" s="46">
        <f t="shared" ref="E55:K55" si="54">E$14</f>
        <v>45657</v>
      </c>
      <c r="F55" s="46">
        <f t="shared" si="54"/>
        <v>46022</v>
      </c>
      <c r="G55" s="46">
        <f t="shared" si="54"/>
        <v>46387</v>
      </c>
      <c r="H55" s="46">
        <f t="shared" si="54"/>
        <v>46752</v>
      </c>
      <c r="I55" s="46">
        <f t="shared" si="54"/>
        <v>47118</v>
      </c>
      <c r="J55" s="46">
        <f t="shared" si="54"/>
        <v>47483</v>
      </c>
      <c r="K55" s="46">
        <f t="shared" si="54"/>
        <v>47848</v>
      </c>
    </row>
    <row r="56" spans="3:11" s="37" customFormat="1" ht="15" customHeight="1">
      <c r="C56" s="47" t="s">
        <v>3</v>
      </c>
    </row>
    <row r="57" spans="3:11" ht="15" customHeight="1"/>
    <row r="58" spans="3:11" ht="15" customHeight="1">
      <c r="C58" s="13" t="s">
        <v>4</v>
      </c>
    </row>
    <row r="59" spans="3:11" ht="15" customHeight="1">
      <c r="C59" s="17" t="s">
        <v>157</v>
      </c>
      <c r="D59" s="10">
        <v>5080871</v>
      </c>
      <c r="E59" s="10">
        <v>8106567</v>
      </c>
      <c r="F59" s="10">
        <v>7389186</v>
      </c>
      <c r="G59" s="193">
        <f>G235</f>
        <v>8042640.1648301641</v>
      </c>
      <c r="H59" s="193">
        <f t="shared" ref="H59:K59" si="55">H235</f>
        <v>8711268.1822371222</v>
      </c>
      <c r="I59" s="193">
        <f t="shared" si="55"/>
        <v>9386262.6658698879</v>
      </c>
      <c r="J59" s="193">
        <f t="shared" si="55"/>
        <v>10092556.993657913</v>
      </c>
      <c r="K59" s="193">
        <f t="shared" si="55"/>
        <v>10822614.952065561</v>
      </c>
    </row>
    <row r="60" spans="3:11" ht="15" customHeight="1">
      <c r="C60" s="17" t="s">
        <v>241</v>
      </c>
      <c r="D60" s="10">
        <v>10217719</v>
      </c>
      <c r="E60" s="10">
        <v>17047503</v>
      </c>
      <c r="F60" s="10">
        <v>18233545</v>
      </c>
      <c r="G60" s="19">
        <f>G236</f>
        <v>19846007.579757527</v>
      </c>
      <c r="H60" s="19">
        <f t="shared" ref="H60:K60" si="56">H236</f>
        <v>21495913.136831142</v>
      </c>
      <c r="I60" s="19">
        <f t="shared" si="56"/>
        <v>23161528.577025745</v>
      </c>
      <c r="J60" s="19">
        <f t="shared" si="56"/>
        <v>24904379.468716346</v>
      </c>
      <c r="K60" s="19">
        <f t="shared" si="56"/>
        <v>26705869.46196242</v>
      </c>
    </row>
    <row r="61" spans="3:11" ht="15" customHeight="1">
      <c r="C61" s="17" t="s">
        <v>242</v>
      </c>
      <c r="D61" s="10">
        <v>890660</v>
      </c>
      <c r="E61" s="10">
        <v>740252</v>
      </c>
      <c r="F61" s="10">
        <v>0</v>
      </c>
      <c r="G61" s="19">
        <f>G237</f>
        <v>0</v>
      </c>
      <c r="H61" s="19">
        <f t="shared" ref="H61:K61" si="57">H237</f>
        <v>0</v>
      </c>
      <c r="I61" s="19">
        <f t="shared" si="57"/>
        <v>0</v>
      </c>
      <c r="J61" s="19">
        <f t="shared" si="57"/>
        <v>0</v>
      </c>
      <c r="K61" s="19">
        <f t="shared" si="57"/>
        <v>0</v>
      </c>
    </row>
    <row r="62" spans="3:11" ht="15" customHeight="1">
      <c r="C62" s="17" t="s">
        <v>243</v>
      </c>
      <c r="D62" s="10">
        <v>7192489</v>
      </c>
      <c r="E62" s="10">
        <v>8775367</v>
      </c>
      <c r="F62" s="10">
        <v>7794388</v>
      </c>
      <c r="G62" s="19">
        <f>G238</f>
        <v>8483675.7376347352</v>
      </c>
      <c r="H62" s="19">
        <f t="shared" ref="H62:K62" si="58">H238</f>
        <v>9188969.4188792706</v>
      </c>
      <c r="I62" s="19">
        <f t="shared" si="58"/>
        <v>9900978.6852982547</v>
      </c>
      <c r="J62" s="19">
        <f t="shared" si="58"/>
        <v>10646004.190540517</v>
      </c>
      <c r="K62" s="19">
        <f t="shared" si="58"/>
        <v>11416096.456497425</v>
      </c>
    </row>
    <row r="63" spans="3:11" ht="15" customHeight="1">
      <c r="C63" s="17" t="s">
        <v>244</v>
      </c>
      <c r="D63" s="10">
        <v>0</v>
      </c>
      <c r="E63" s="10">
        <v>0</v>
      </c>
      <c r="F63" s="10">
        <v>2584576</v>
      </c>
      <c r="G63" s="19">
        <f>F63*(1+G44)</f>
        <v>2813140.0057673589</v>
      </c>
      <c r="H63" s="19">
        <f t="shared" ref="H63:K63" si="59">G63*(1+H44)</f>
        <v>3047011.4940094477</v>
      </c>
      <c r="I63" s="19">
        <f t="shared" si="59"/>
        <v>3283109.8331945273</v>
      </c>
      <c r="J63" s="19">
        <f t="shared" si="59"/>
        <v>3530156.1747722146</v>
      </c>
      <c r="K63" s="19">
        <f t="shared" si="59"/>
        <v>3785514.5157192964</v>
      </c>
    </row>
    <row r="64" spans="3:11" ht="15" customHeight="1">
      <c r="C64" s="17" t="s">
        <v>158</v>
      </c>
      <c r="D64" s="10">
        <v>10977982</v>
      </c>
      <c r="E64" s="10">
        <v>8279240</v>
      </c>
      <c r="F64" s="10">
        <v>8312470</v>
      </c>
      <c r="G64" s="19">
        <f>G152</f>
        <v>7772066.3365843818</v>
      </c>
      <c r="H64" s="19">
        <f t="shared" ref="H64:K64" si="60">H152</f>
        <v>8068097.3322685752</v>
      </c>
      <c r="I64" s="19">
        <f t="shared" si="60"/>
        <v>12204349.516155757</v>
      </c>
      <c r="J64" s="19">
        <f t="shared" si="60"/>
        <v>20036392.283504102</v>
      </c>
      <c r="K64" s="19">
        <f t="shared" si="60"/>
        <v>32899926.981421236</v>
      </c>
    </row>
    <row r="65" spans="3:11" ht="15" customHeight="1">
      <c r="C65" s="17" t="s">
        <v>245</v>
      </c>
      <c r="D65" s="10">
        <v>0</v>
      </c>
      <c r="E65" s="10">
        <v>0</v>
      </c>
      <c r="F65" s="10">
        <v>2449845</v>
      </c>
      <c r="G65" s="19">
        <v>0</v>
      </c>
      <c r="H65" s="19">
        <f t="shared" ref="H65:K65" si="61">G65*(1+H44)</f>
        <v>0</v>
      </c>
      <c r="I65" s="19">
        <f t="shared" si="61"/>
        <v>0</v>
      </c>
      <c r="J65" s="19">
        <f t="shared" si="61"/>
        <v>0</v>
      </c>
      <c r="K65" s="19">
        <f t="shared" si="61"/>
        <v>0</v>
      </c>
    </row>
    <row r="66" spans="3:11" ht="15" customHeight="1">
      <c r="C66" s="11" t="s">
        <v>5</v>
      </c>
      <c r="D66" s="12">
        <f>SUM(D59:D65)</f>
        <v>34359721</v>
      </c>
      <c r="E66" s="12">
        <f t="shared" ref="E66:K66" si="62">SUM(E59:E65)</f>
        <v>42948929</v>
      </c>
      <c r="F66" s="12">
        <f t="shared" si="62"/>
        <v>46764010</v>
      </c>
      <c r="G66" s="12">
        <f t="shared" si="62"/>
        <v>46957529.824574165</v>
      </c>
      <c r="H66" s="12">
        <f t="shared" si="62"/>
        <v>50511259.564225562</v>
      </c>
      <c r="I66" s="12">
        <f t="shared" si="62"/>
        <v>57936229.277544171</v>
      </c>
      <c r="J66" s="12">
        <f t="shared" si="62"/>
        <v>69209489.111191094</v>
      </c>
      <c r="K66" s="12">
        <f t="shared" si="62"/>
        <v>85630022.367665932</v>
      </c>
    </row>
    <row r="67" spans="3:11" ht="15" customHeight="1">
      <c r="E67" s="18"/>
      <c r="F67" s="18"/>
      <c r="G67" s="18"/>
      <c r="H67" s="18"/>
      <c r="I67" s="18"/>
      <c r="J67" s="18"/>
      <c r="K67" s="18"/>
    </row>
    <row r="68" spans="3:11" ht="15" customHeight="1">
      <c r="C68" s="13" t="s">
        <v>6</v>
      </c>
      <c r="E68" s="18"/>
      <c r="F68" s="18"/>
      <c r="G68" s="18"/>
      <c r="H68" s="18"/>
      <c r="I68" s="18"/>
      <c r="J68" s="18"/>
      <c r="K68" s="18"/>
    </row>
    <row r="69" spans="3:11" ht="15" customHeight="1">
      <c r="C69" s="25" t="s">
        <v>232</v>
      </c>
      <c r="D69" s="10">
        <v>78003156</v>
      </c>
      <c r="E69" s="10">
        <v>104141296</v>
      </c>
      <c r="F69" s="10">
        <v>119828621</v>
      </c>
      <c r="G69" s="19">
        <f>G163</f>
        <v>133234660.30181724</v>
      </c>
      <c r="H69" s="19">
        <f t="shared" ref="H69:K69" si="63">H163</f>
        <v>145240035.89861569</v>
      </c>
      <c r="I69" s="19">
        <f t="shared" si="63"/>
        <v>155465581.34202838</v>
      </c>
      <c r="J69" s="19">
        <f t="shared" si="63"/>
        <v>163546579.54652184</v>
      </c>
      <c r="K69" s="19">
        <f t="shared" si="63"/>
        <v>169087343.82564211</v>
      </c>
    </row>
    <row r="70" spans="3:11" ht="15" customHeight="1">
      <c r="C70" s="17" t="s">
        <v>233</v>
      </c>
      <c r="D70" s="10">
        <v>15043035</v>
      </c>
      <c r="E70" s="10">
        <v>19565446</v>
      </c>
      <c r="F70" s="10">
        <v>18066436</v>
      </c>
      <c r="G70" s="19">
        <f>F70*(1+G44)</f>
        <v>19664120.487552162</v>
      </c>
      <c r="H70" s="19">
        <f t="shared" ref="H70:K70" si="64">G70*(1+H44)</f>
        <v>21298904.790490229</v>
      </c>
      <c r="I70" s="19">
        <f t="shared" si="64"/>
        <v>22949254.996711105</v>
      </c>
      <c r="J70" s="19">
        <f t="shared" si="64"/>
        <v>24676132.797614396</v>
      </c>
      <c r="K70" s="19">
        <f t="shared" si="64"/>
        <v>26461112.277338203</v>
      </c>
    </row>
    <row r="71" spans="3:11" ht="15" customHeight="1">
      <c r="C71" s="17" t="s">
        <v>234</v>
      </c>
      <c r="D71" s="10">
        <v>6460850</v>
      </c>
      <c r="E71" s="10">
        <v>8028589</v>
      </c>
      <c r="F71" s="10">
        <v>9175973</v>
      </c>
      <c r="G71" s="19">
        <f>F71*(1+G44)</f>
        <v>9987439.6180035435</v>
      </c>
      <c r="H71" s="19">
        <f t="shared" ref="H71:K71" si="65">G71*(1+H44)</f>
        <v>10817749.294166762</v>
      </c>
      <c r="I71" s="19">
        <f t="shared" si="65"/>
        <v>11655964.918589156</v>
      </c>
      <c r="J71" s="19">
        <f t="shared" si="65"/>
        <v>12533049.036086816</v>
      </c>
      <c r="K71" s="19">
        <f t="shared" si="65"/>
        <v>13439643.093237862</v>
      </c>
    </row>
    <row r="72" spans="3:11" ht="15" customHeight="1">
      <c r="C72" s="17" t="s">
        <v>235</v>
      </c>
      <c r="D72" s="10">
        <v>872300</v>
      </c>
      <c r="E72" s="10">
        <v>1334703</v>
      </c>
      <c r="F72" s="10">
        <v>1111056</v>
      </c>
      <c r="G72" s="19">
        <f>F72*(1+G44)</f>
        <v>1209310.9594176603</v>
      </c>
      <c r="H72" s="19">
        <f t="shared" ref="H72:K72" si="66">G72*(1+H44)</f>
        <v>1309847.4962578625</v>
      </c>
      <c r="I72" s="19">
        <f t="shared" si="66"/>
        <v>1411341.3104624429</v>
      </c>
      <c r="J72" s="19">
        <f t="shared" si="66"/>
        <v>1517541.4454509048</v>
      </c>
      <c r="K72" s="19">
        <f t="shared" si="66"/>
        <v>1627314.7378049702</v>
      </c>
    </row>
    <row r="73" spans="3:11" ht="15" customHeight="1">
      <c r="C73" s="17" t="s">
        <v>236</v>
      </c>
      <c r="D73" s="10">
        <v>14884865</v>
      </c>
      <c r="E73" s="10">
        <v>18727605</v>
      </c>
      <c r="F73" s="10">
        <v>30738330</v>
      </c>
      <c r="G73" s="19">
        <f>G299</f>
        <v>42370438.591580003</v>
      </c>
      <c r="H73" s="19">
        <f t="shared" ref="H73:K73" si="67">H299</f>
        <v>56096326.729644395</v>
      </c>
      <c r="I73" s="19">
        <f t="shared" si="67"/>
        <v>71881098.088418454</v>
      </c>
      <c r="J73" s="19">
        <f t="shared" si="67"/>
        <v>89560042.010245398</v>
      </c>
      <c r="K73" s="19">
        <f t="shared" si="67"/>
        <v>109006880.32425505</v>
      </c>
    </row>
    <row r="74" spans="3:11" ht="15" customHeight="1">
      <c r="C74" s="17" t="s">
        <v>237</v>
      </c>
      <c r="D74" s="10">
        <v>83442</v>
      </c>
      <c r="E74" s="10">
        <v>120476</v>
      </c>
      <c r="F74" s="10">
        <v>112828</v>
      </c>
      <c r="G74" s="19">
        <f>F74*(1+G44)</f>
        <v>122805.81440465266</v>
      </c>
      <c r="H74" s="19">
        <f t="shared" ref="H74:K74" si="68">G74*(1+H44)</f>
        <v>133015.32353705133</v>
      </c>
      <c r="I74" s="19">
        <f t="shared" si="68"/>
        <v>143322.04441257371</v>
      </c>
      <c r="J74" s="19">
        <f t="shared" si="68"/>
        <v>154106.69327858783</v>
      </c>
      <c r="K74" s="19">
        <f t="shared" si="68"/>
        <v>165254.19712153048</v>
      </c>
    </row>
    <row r="75" spans="3:11" ht="15" customHeight="1">
      <c r="C75" s="17" t="s">
        <v>238</v>
      </c>
      <c r="D75" s="10">
        <v>474825</v>
      </c>
      <c r="E75" s="10">
        <v>0</v>
      </c>
      <c r="F75" s="10">
        <v>0</v>
      </c>
      <c r="G75" s="19">
        <f>F75</f>
        <v>0</v>
      </c>
      <c r="H75" s="19">
        <f t="shared" ref="H75:K75" si="69">G75</f>
        <v>0</v>
      </c>
      <c r="I75" s="19">
        <f t="shared" si="69"/>
        <v>0</v>
      </c>
      <c r="J75" s="19">
        <f t="shared" si="69"/>
        <v>0</v>
      </c>
      <c r="K75" s="19">
        <f t="shared" si="69"/>
        <v>0</v>
      </c>
    </row>
    <row r="76" spans="3:11" ht="15" customHeight="1">
      <c r="C76" s="17" t="s">
        <v>239</v>
      </c>
      <c r="D76" s="10">
        <v>74870</v>
      </c>
      <c r="E76" s="10">
        <v>107262</v>
      </c>
      <c r="F76" s="10">
        <v>85273</v>
      </c>
      <c r="G76" s="19">
        <f>F76*(1+G44)</f>
        <v>92814.01967355574</v>
      </c>
      <c r="H76" s="19">
        <f t="shared" ref="H76:K76" si="70">G76*(1+H44)</f>
        <v>100530.14928896177</v>
      </c>
      <c r="I76" s="19">
        <f t="shared" si="70"/>
        <v>108319.74946993121</v>
      </c>
      <c r="J76" s="19">
        <f t="shared" si="70"/>
        <v>116470.557449791</v>
      </c>
      <c r="K76" s="19">
        <f t="shared" si="70"/>
        <v>124895.60349509225</v>
      </c>
    </row>
    <row r="77" spans="3:11" ht="15" customHeight="1">
      <c r="C77" s="17" t="s">
        <v>240</v>
      </c>
      <c r="D77" s="10">
        <v>0</v>
      </c>
      <c r="E77" s="10">
        <v>2978482</v>
      </c>
      <c r="F77" s="10">
        <v>0</v>
      </c>
      <c r="G77" s="19">
        <f>F77</f>
        <v>0</v>
      </c>
      <c r="H77" s="19">
        <f t="shared" ref="H77:K77" si="71">G77</f>
        <v>0</v>
      </c>
      <c r="I77" s="19">
        <f t="shared" si="71"/>
        <v>0</v>
      </c>
      <c r="J77" s="19">
        <f t="shared" si="71"/>
        <v>0</v>
      </c>
      <c r="K77" s="19">
        <f t="shared" si="71"/>
        <v>0</v>
      </c>
    </row>
    <row r="78" spans="3:11" ht="15" customHeight="1">
      <c r="C78" s="11" t="s">
        <v>7</v>
      </c>
      <c r="D78" s="12">
        <f>SUM(D69:D77)</f>
        <v>115897343</v>
      </c>
      <c r="E78" s="12">
        <f t="shared" ref="E78:K78" si="72">SUM(E69:E77)</f>
        <v>155003859</v>
      </c>
      <c r="F78" s="12">
        <f t="shared" si="72"/>
        <v>179118517</v>
      </c>
      <c r="G78" s="12">
        <f t="shared" si="72"/>
        <v>206681589.79244885</v>
      </c>
      <c r="H78" s="12">
        <f t="shared" si="72"/>
        <v>234996409.68200096</v>
      </c>
      <c r="I78" s="12">
        <f t="shared" si="72"/>
        <v>263614882.45009205</v>
      </c>
      <c r="J78" s="12">
        <f t="shared" si="72"/>
        <v>292103922.08664781</v>
      </c>
      <c r="K78" s="12">
        <f t="shared" si="72"/>
        <v>319912444.05889487</v>
      </c>
    </row>
    <row r="79" spans="3:11" ht="15" customHeight="1">
      <c r="E79" s="19"/>
      <c r="F79" s="19"/>
      <c r="G79" s="19"/>
      <c r="H79" s="19"/>
      <c r="I79" s="19"/>
      <c r="J79" s="19"/>
      <c r="K79" s="19"/>
    </row>
    <row r="80" spans="3:11" ht="15" customHeight="1">
      <c r="C80" s="13" t="s">
        <v>8</v>
      </c>
      <c r="D80" s="14">
        <f>D66+D78</f>
        <v>150257064</v>
      </c>
      <c r="E80" s="14">
        <f t="shared" ref="E80:K80" si="73">E66+E78</f>
        <v>197952788</v>
      </c>
      <c r="F80" s="14">
        <f t="shared" si="73"/>
        <v>225882527</v>
      </c>
      <c r="G80" s="14">
        <f t="shared" si="73"/>
        <v>253639119.61702302</v>
      </c>
      <c r="H80" s="14">
        <f t="shared" si="73"/>
        <v>285507669.24622655</v>
      </c>
      <c r="I80" s="14">
        <f t="shared" si="73"/>
        <v>321551111.72763622</v>
      </c>
      <c r="J80" s="14">
        <f t="shared" si="73"/>
        <v>361313411.1978389</v>
      </c>
      <c r="K80" s="14">
        <f t="shared" si="73"/>
        <v>405542466.42656082</v>
      </c>
    </row>
    <row r="81" spans="3:11" ht="15" customHeight="1">
      <c r="E81" s="18"/>
      <c r="F81" s="18"/>
      <c r="G81" s="18"/>
      <c r="H81" s="18"/>
      <c r="I81" s="18"/>
      <c r="J81" s="18"/>
      <c r="K81" s="18"/>
    </row>
    <row r="82" spans="3:11" s="37" customFormat="1" ht="15" customHeight="1">
      <c r="C82" s="47" t="s">
        <v>9</v>
      </c>
      <c r="D82" s="49"/>
      <c r="E82" s="50"/>
      <c r="F82" s="50"/>
      <c r="G82" s="230"/>
      <c r="H82" s="230"/>
      <c r="I82" s="230"/>
      <c r="J82" s="230"/>
      <c r="K82" s="230"/>
    </row>
    <row r="83" spans="3:11" ht="15" customHeight="1">
      <c r="E83" s="18"/>
      <c r="F83" s="18"/>
      <c r="G83" s="18"/>
      <c r="H83" s="18"/>
      <c r="I83" s="18"/>
      <c r="J83" s="18"/>
      <c r="K83" s="18"/>
    </row>
    <row r="84" spans="3:11" ht="15" customHeight="1">
      <c r="C84" s="13" t="s">
        <v>10</v>
      </c>
      <c r="E84" s="18"/>
      <c r="F84" s="18"/>
      <c r="G84" s="18"/>
      <c r="H84" s="18"/>
      <c r="I84" s="18"/>
      <c r="J84" s="18"/>
      <c r="K84" s="18"/>
    </row>
    <row r="85" spans="3:11" ht="15" customHeight="1">
      <c r="C85" s="17" t="s">
        <v>253</v>
      </c>
      <c r="D85" s="10">
        <v>29616014</v>
      </c>
      <c r="E85" s="10">
        <v>43064614</v>
      </c>
      <c r="F85" s="10">
        <v>38433287</v>
      </c>
      <c r="G85" s="19">
        <f>F85</f>
        <v>38433287</v>
      </c>
      <c r="H85" s="19">
        <f t="shared" ref="H85:K85" si="74">G85</f>
        <v>38433287</v>
      </c>
      <c r="I85" s="19">
        <f t="shared" si="74"/>
        <v>38433287</v>
      </c>
      <c r="J85" s="19">
        <f t="shared" si="74"/>
        <v>38433287</v>
      </c>
      <c r="K85" s="19">
        <f t="shared" si="74"/>
        <v>38433287</v>
      </c>
    </row>
    <row r="86" spans="3:11" ht="15" customHeight="1">
      <c r="C86" s="17" t="s">
        <v>251</v>
      </c>
      <c r="D86" s="10">
        <v>31114668</v>
      </c>
      <c r="E86" s="10">
        <v>42138450</v>
      </c>
      <c r="F86" s="10">
        <v>45606004</v>
      </c>
      <c r="G86" s="19">
        <f>G242</f>
        <v>49639118.507479057</v>
      </c>
      <c r="H86" s="19">
        <f t="shared" ref="H86:K86" si="75">H242</f>
        <v>53765885.9262954</v>
      </c>
      <c r="I86" s="19">
        <f t="shared" si="75"/>
        <v>57931947.129861504</v>
      </c>
      <c r="J86" s="19">
        <f t="shared" si="75"/>
        <v>62291190.751321018</v>
      </c>
      <c r="K86" s="19">
        <f t="shared" si="75"/>
        <v>66797103.333758526</v>
      </c>
    </row>
    <row r="87" spans="3:11" ht="15" customHeight="1">
      <c r="C87" s="17" t="s">
        <v>252</v>
      </c>
      <c r="D87" s="10">
        <v>253439</v>
      </c>
      <c r="E87" s="10">
        <v>503122</v>
      </c>
      <c r="F87" s="10">
        <v>615555</v>
      </c>
      <c r="G87" s="19">
        <f>F87</f>
        <v>615555</v>
      </c>
      <c r="H87" s="19">
        <f t="shared" ref="H87:K87" si="76">G87</f>
        <v>615555</v>
      </c>
      <c r="I87" s="19">
        <f t="shared" si="76"/>
        <v>615555</v>
      </c>
      <c r="J87" s="19">
        <f t="shared" si="76"/>
        <v>615555</v>
      </c>
      <c r="K87" s="19">
        <f t="shared" si="76"/>
        <v>615555</v>
      </c>
    </row>
    <row r="88" spans="3:11" ht="15" customHeight="1">
      <c r="C88" s="17" t="s">
        <v>254</v>
      </c>
      <c r="D88" s="10">
        <v>1083772</v>
      </c>
      <c r="E88" s="10">
        <v>2468657</v>
      </c>
      <c r="F88" s="10">
        <v>4543996</v>
      </c>
      <c r="G88" s="19">
        <f>G243</f>
        <v>4945839.0597323719</v>
      </c>
      <c r="H88" s="19">
        <f t="shared" ref="H88:K88" si="77">H243</f>
        <v>5357013.3131054975</v>
      </c>
      <c r="I88" s="19">
        <f t="shared" si="77"/>
        <v>5772102.6387293683</v>
      </c>
      <c r="J88" s="19">
        <f t="shared" si="77"/>
        <v>6206439.8715844452</v>
      </c>
      <c r="K88" s="19">
        <f t="shared" si="77"/>
        <v>6655390.6007679468</v>
      </c>
    </row>
    <row r="89" spans="3:11" ht="15" customHeight="1">
      <c r="C89" s="17" t="s">
        <v>255</v>
      </c>
      <c r="D89" s="10">
        <v>0</v>
      </c>
      <c r="E89" s="10">
        <v>0</v>
      </c>
      <c r="F89" s="10">
        <v>1154155</v>
      </c>
      <c r="G89" s="19">
        <f>G244</f>
        <v>1256221.3699099682</v>
      </c>
      <c r="H89" s="19">
        <f t="shared" ref="H89:K89" si="78">H244</f>
        <v>1360657.8219671133</v>
      </c>
      <c r="I89" s="19">
        <f t="shared" si="78"/>
        <v>1466088.6851578862</v>
      </c>
      <c r="J89" s="19">
        <f t="shared" si="78"/>
        <v>1576408.4321351836</v>
      </c>
      <c r="K89" s="19">
        <f t="shared" si="78"/>
        <v>1690439.9429113339</v>
      </c>
    </row>
    <row r="90" spans="3:11" ht="15" customHeight="1">
      <c r="C90" s="17" t="s">
        <v>256</v>
      </c>
      <c r="D90" s="10">
        <v>1426365</v>
      </c>
      <c r="E90" s="10">
        <v>1310573</v>
      </c>
      <c r="F90" s="10">
        <v>1793704</v>
      </c>
      <c r="G90" s="19">
        <f>G245</f>
        <v>1952328.1501124108</v>
      </c>
      <c r="H90" s="19">
        <f t="shared" ref="H90:K90" si="79">H245</f>
        <v>2114635.7100161579</v>
      </c>
      <c r="I90" s="19">
        <f t="shared" si="79"/>
        <v>2278488.7115876474</v>
      </c>
      <c r="J90" s="19">
        <f t="shared" si="79"/>
        <v>2449939.6617911868</v>
      </c>
      <c r="K90" s="19">
        <f t="shared" si="79"/>
        <v>2627159.1661083922</v>
      </c>
    </row>
    <row r="91" spans="3:11" ht="15" customHeight="1">
      <c r="C91" s="11" t="s">
        <v>11</v>
      </c>
      <c r="D91" s="12">
        <f>SUM(D85:D90)</f>
        <v>63494258</v>
      </c>
      <c r="E91" s="12">
        <f t="shared" ref="E91:K91" si="80">SUM(E85:E90)</f>
        <v>89485416</v>
      </c>
      <c r="F91" s="12">
        <f t="shared" si="80"/>
        <v>92146701</v>
      </c>
      <c r="G91" s="12">
        <f t="shared" si="80"/>
        <v>96842349.087233812</v>
      </c>
      <c r="H91" s="12">
        <f t="shared" si="80"/>
        <v>101647034.77138416</v>
      </c>
      <c r="I91" s="12">
        <f t="shared" si="80"/>
        <v>106497469.1653364</v>
      </c>
      <c r="J91" s="12">
        <f t="shared" si="80"/>
        <v>111572820.71683183</v>
      </c>
      <c r="K91" s="12">
        <f t="shared" si="80"/>
        <v>116818935.0435462</v>
      </c>
    </row>
    <row r="92" spans="3:11" ht="15" customHeight="1">
      <c r="E92" s="18"/>
      <c r="F92" s="18"/>
      <c r="G92" s="18"/>
      <c r="H92" s="18"/>
      <c r="I92" s="18"/>
      <c r="J92" s="18"/>
      <c r="K92" s="18"/>
    </row>
    <row r="93" spans="3:11" ht="15" customHeight="1">
      <c r="C93" s="13" t="s">
        <v>12</v>
      </c>
      <c r="E93" s="18"/>
      <c r="F93" s="18"/>
      <c r="G93" s="18"/>
      <c r="H93" s="18"/>
      <c r="I93" s="18"/>
      <c r="J93" s="18"/>
      <c r="K93" s="18"/>
    </row>
    <row r="94" spans="3:11" ht="15" customHeight="1">
      <c r="C94" s="17" t="s">
        <v>250</v>
      </c>
      <c r="D94" s="10">
        <v>19725744</v>
      </c>
      <c r="E94" s="10">
        <v>38411459</v>
      </c>
      <c r="F94" s="10">
        <v>35325509</v>
      </c>
      <c r="G94" s="19">
        <f>F94</f>
        <v>35325509</v>
      </c>
      <c r="H94" s="19">
        <f t="shared" ref="H94:K94" si="81">G94</f>
        <v>35325509</v>
      </c>
      <c r="I94" s="19">
        <f t="shared" si="81"/>
        <v>35325509</v>
      </c>
      <c r="J94" s="19">
        <f t="shared" si="81"/>
        <v>35325509</v>
      </c>
      <c r="K94" s="19">
        <f t="shared" si="81"/>
        <v>35325509</v>
      </c>
    </row>
    <row r="95" spans="3:11" ht="15" customHeight="1">
      <c r="C95" s="17" t="s">
        <v>251</v>
      </c>
      <c r="D95" s="10">
        <v>13893622</v>
      </c>
      <c r="E95" s="10">
        <v>23031473</v>
      </c>
      <c r="F95" s="10">
        <v>32120540</v>
      </c>
      <c r="G95" s="19">
        <f>F95*(1+G44)</f>
        <v>34961083.009689279</v>
      </c>
      <c r="H95" s="19">
        <f t="shared" ref="H95:K95" si="82">G95*(1+H44)</f>
        <v>37867586.23998297</v>
      </c>
      <c r="I95" s="19">
        <f t="shared" si="82"/>
        <v>40801764.282233581</v>
      </c>
      <c r="J95" s="19">
        <f t="shared" si="82"/>
        <v>43872001.681520641</v>
      </c>
      <c r="K95" s="19">
        <f t="shared" si="82"/>
        <v>47045538.774151847</v>
      </c>
    </row>
    <row r="96" spans="3:11" ht="15" customHeight="1">
      <c r="C96" s="17" t="s">
        <v>252</v>
      </c>
      <c r="D96" s="10">
        <v>809090</v>
      </c>
      <c r="E96" s="10">
        <v>1086449</v>
      </c>
      <c r="F96" s="10">
        <v>731962</v>
      </c>
      <c r="G96" s="19">
        <f>F96</f>
        <v>731962</v>
      </c>
      <c r="H96" s="19">
        <f t="shared" ref="H96:K96" si="83">G96</f>
        <v>731962</v>
      </c>
      <c r="I96" s="19">
        <f t="shared" si="83"/>
        <v>731962</v>
      </c>
      <c r="J96" s="19">
        <f t="shared" si="83"/>
        <v>731962</v>
      </c>
      <c r="K96" s="19">
        <f t="shared" si="83"/>
        <v>731962</v>
      </c>
    </row>
    <row r="97" spans="3:11" ht="15" customHeight="1">
      <c r="C97" s="17" t="s">
        <v>159</v>
      </c>
      <c r="D97" s="10">
        <v>1449418</v>
      </c>
      <c r="E97" s="10">
        <v>0</v>
      </c>
      <c r="F97" s="10">
        <v>1869989</v>
      </c>
      <c r="G97" s="19">
        <f>F97*(1+G44)</f>
        <v>2035359.3263440107</v>
      </c>
      <c r="H97" s="19">
        <f t="shared" ref="H97:K97" si="84">G97*(1+H44)</f>
        <v>2204569.715369652</v>
      </c>
      <c r="I97" s="19">
        <f t="shared" si="84"/>
        <v>2375391.2726364406</v>
      </c>
      <c r="J97" s="19">
        <f t="shared" si="84"/>
        <v>2554133.914075701</v>
      </c>
      <c r="K97" s="19">
        <f t="shared" si="84"/>
        <v>2738890.4422757975</v>
      </c>
    </row>
    <row r="98" spans="3:11" ht="15" customHeight="1">
      <c r="C98" s="11" t="s">
        <v>13</v>
      </c>
      <c r="D98" s="12">
        <f>SUM(D94:D97)</f>
        <v>35877874</v>
      </c>
      <c r="E98" s="12">
        <f t="shared" ref="E98:K98" si="85">SUM(E94:E97)</f>
        <v>62529381</v>
      </c>
      <c r="F98" s="12">
        <f t="shared" si="85"/>
        <v>70048000</v>
      </c>
      <c r="G98" s="12">
        <f t="shared" si="85"/>
        <v>73053913.336033285</v>
      </c>
      <c r="H98" s="12">
        <f t="shared" si="85"/>
        <v>76129626.955352619</v>
      </c>
      <c r="I98" s="12">
        <f t="shared" si="85"/>
        <v>79234626.554870024</v>
      </c>
      <c r="J98" s="12">
        <f t="shared" si="85"/>
        <v>82483606.595596343</v>
      </c>
      <c r="K98" s="12">
        <f t="shared" si="85"/>
        <v>85841900.216427639</v>
      </c>
    </row>
    <row r="99" spans="3:11" ht="15" customHeight="1">
      <c r="E99" s="18"/>
      <c r="F99" s="18"/>
      <c r="G99" s="18"/>
      <c r="H99" s="18"/>
      <c r="I99" s="18"/>
      <c r="J99" s="18"/>
      <c r="K99" s="18"/>
    </row>
    <row r="100" spans="3:11" ht="15" customHeight="1">
      <c r="C100" s="13" t="s">
        <v>14</v>
      </c>
      <c r="D100" s="26">
        <f>D91+D98</f>
        <v>99372132</v>
      </c>
      <c r="E100" s="26">
        <f t="shared" ref="E100:K100" si="86">E91+E98</f>
        <v>152014797</v>
      </c>
      <c r="F100" s="26">
        <f t="shared" si="86"/>
        <v>162194701</v>
      </c>
      <c r="G100" s="26">
        <f t="shared" si="86"/>
        <v>169896262.4232671</v>
      </c>
      <c r="H100" s="26">
        <f t="shared" si="86"/>
        <v>177776661.72673678</v>
      </c>
      <c r="I100" s="26">
        <f t="shared" si="86"/>
        <v>185732095.72020644</v>
      </c>
      <c r="J100" s="26">
        <f t="shared" si="86"/>
        <v>194056427.31242818</v>
      </c>
      <c r="K100" s="26">
        <f t="shared" si="86"/>
        <v>202660835.25997382</v>
      </c>
    </row>
    <row r="101" spans="3:11" ht="15" customHeight="1">
      <c r="E101" s="18"/>
      <c r="F101" s="18"/>
      <c r="G101" s="18"/>
      <c r="H101" s="18"/>
      <c r="I101" s="18"/>
      <c r="J101" s="18"/>
      <c r="K101" s="18"/>
    </row>
    <row r="102" spans="3:11" ht="15" customHeight="1">
      <c r="C102" s="13" t="s">
        <v>15</v>
      </c>
      <c r="E102" s="18"/>
      <c r="F102" s="18"/>
      <c r="G102" s="18"/>
      <c r="H102" s="18"/>
      <c r="I102" s="18"/>
      <c r="J102" s="18"/>
      <c r="K102" s="18"/>
    </row>
    <row r="103" spans="3:11" ht="15" customHeight="1">
      <c r="C103" s="17" t="s">
        <v>246</v>
      </c>
      <c r="D103" s="10">
        <v>17070716</v>
      </c>
      <c r="E103" s="10">
        <v>17070716</v>
      </c>
      <c r="F103" s="10">
        <v>17070716</v>
      </c>
      <c r="G103" s="19">
        <f>F103</f>
        <v>17070716</v>
      </c>
      <c r="H103" s="19">
        <f t="shared" ref="H103:K103" si="87">G103</f>
        <v>17070716</v>
      </c>
      <c r="I103" s="19">
        <f t="shared" si="87"/>
        <v>17070716</v>
      </c>
      <c r="J103" s="19">
        <f t="shared" si="87"/>
        <v>17070716</v>
      </c>
      <c r="K103" s="19">
        <f t="shared" si="87"/>
        <v>17070716</v>
      </c>
    </row>
    <row r="104" spans="3:11" ht="15" customHeight="1">
      <c r="C104" s="17" t="s">
        <v>247</v>
      </c>
      <c r="D104" s="10">
        <v>5864699</v>
      </c>
      <c r="E104" s="10">
        <v>6247693</v>
      </c>
      <c r="F104" s="10">
        <v>6386678</v>
      </c>
      <c r="G104" s="19">
        <f>F104</f>
        <v>6386678</v>
      </c>
      <c r="H104" s="19">
        <f t="shared" ref="H104:K104" si="88">G104</f>
        <v>6386678</v>
      </c>
      <c r="I104" s="19">
        <f t="shared" si="88"/>
        <v>6386678</v>
      </c>
      <c r="J104" s="19">
        <f t="shared" si="88"/>
        <v>6386678</v>
      </c>
      <c r="K104" s="19">
        <f t="shared" si="88"/>
        <v>6386678</v>
      </c>
    </row>
    <row r="105" spans="3:11" ht="15" customHeight="1">
      <c r="C105" s="17" t="s">
        <v>16</v>
      </c>
      <c r="D105" s="10">
        <v>27224185</v>
      </c>
      <c r="E105" s="10">
        <v>20889691</v>
      </c>
      <c r="F105" s="10">
        <v>38489540</v>
      </c>
      <c r="G105" s="19">
        <f>G280</f>
        <v>58524667.596013218</v>
      </c>
      <c r="H105" s="19">
        <f t="shared" ref="H105:K105" si="89">H280</f>
        <v>82489010.903445244</v>
      </c>
      <c r="I105" s="19">
        <f t="shared" si="89"/>
        <v>110549143.47252311</v>
      </c>
      <c r="J105" s="19">
        <f t="shared" si="89"/>
        <v>141955910.76744607</v>
      </c>
      <c r="K105" s="19">
        <f t="shared" si="89"/>
        <v>177545202.39934123</v>
      </c>
    </row>
    <row r="106" spans="3:11" ht="15" customHeight="1">
      <c r="C106" s="17" t="s">
        <v>248</v>
      </c>
      <c r="D106" s="10">
        <v>707362</v>
      </c>
      <c r="E106" s="10">
        <v>1706212</v>
      </c>
      <c r="F106" s="10">
        <v>1700113</v>
      </c>
      <c r="G106" s="19">
        <f>F106</f>
        <v>1700113</v>
      </c>
      <c r="H106" s="19">
        <f t="shared" ref="H106:K106" si="90">G106</f>
        <v>1700113</v>
      </c>
      <c r="I106" s="19">
        <f t="shared" si="90"/>
        <v>1700113</v>
      </c>
      <c r="J106" s="19">
        <f t="shared" si="90"/>
        <v>1700113</v>
      </c>
      <c r="K106" s="19">
        <f t="shared" si="90"/>
        <v>1700113</v>
      </c>
    </row>
    <row r="107" spans="3:11" ht="15" customHeight="1">
      <c r="C107" s="249" t="s">
        <v>249</v>
      </c>
      <c r="D107" s="165">
        <f>SUM(D103:D106)</f>
        <v>50866962</v>
      </c>
      <c r="E107" s="165">
        <f t="shared" ref="E107:K107" si="91">SUM(E103:E106)</f>
        <v>45914312</v>
      </c>
      <c r="F107" s="165">
        <f t="shared" si="91"/>
        <v>63647047</v>
      </c>
      <c r="G107" s="165">
        <f t="shared" si="91"/>
        <v>83682174.596013218</v>
      </c>
      <c r="H107" s="165">
        <f t="shared" si="91"/>
        <v>107646517.90344524</v>
      </c>
      <c r="I107" s="165">
        <f t="shared" si="91"/>
        <v>135706650.47252309</v>
      </c>
      <c r="J107" s="165">
        <f t="shared" si="91"/>
        <v>167113417.76744607</v>
      </c>
      <c r="K107" s="165">
        <f t="shared" si="91"/>
        <v>202702709.39934123</v>
      </c>
    </row>
    <row r="108" spans="3:11" ht="15" customHeight="1">
      <c r="C108" s="17" t="s">
        <v>212</v>
      </c>
      <c r="D108" s="10">
        <v>17970</v>
      </c>
      <c r="E108" s="10">
        <v>23679</v>
      </c>
      <c r="F108" s="10">
        <v>40779</v>
      </c>
      <c r="G108" s="19">
        <f>G286</f>
        <v>60682.597742652812</v>
      </c>
      <c r="H108" s="19">
        <f t="shared" ref="H108:K108" si="92">H286</f>
        <v>84489.616044491559</v>
      </c>
      <c r="I108" s="19">
        <f t="shared" si="92"/>
        <v>112365.53490669897</v>
      </c>
      <c r="J108" s="19">
        <f t="shared" si="92"/>
        <v>143566.11796460976</v>
      </c>
      <c r="K108" s="19">
        <f t="shared" si="92"/>
        <v>178921.76724573321</v>
      </c>
    </row>
    <row r="109" spans="3:11" ht="15" customHeight="1">
      <c r="C109" s="27" t="s">
        <v>17</v>
      </c>
      <c r="D109" s="12">
        <f>SUM(D107:D108)</f>
        <v>50884932</v>
      </c>
      <c r="E109" s="12">
        <f t="shared" ref="E109:F109" si="93">SUM(E107:E108)</f>
        <v>45937991</v>
      </c>
      <c r="F109" s="12">
        <f t="shared" si="93"/>
        <v>63687826</v>
      </c>
      <c r="G109" s="12">
        <f t="shared" ref="G109" si="94">SUM(G107:G108)</f>
        <v>83742857.193755865</v>
      </c>
      <c r="H109" s="12">
        <f t="shared" ref="H109" si="95">SUM(H107:H108)</f>
        <v>107731007.51948974</v>
      </c>
      <c r="I109" s="12">
        <f t="shared" ref="I109" si="96">SUM(I107:I108)</f>
        <v>135819016.00742978</v>
      </c>
      <c r="J109" s="12">
        <f t="shared" ref="J109" si="97">SUM(J107:J108)</f>
        <v>167256983.88541067</v>
      </c>
      <c r="K109" s="12">
        <f t="shared" ref="K109" si="98">SUM(K107:K108)</f>
        <v>202881631.16658697</v>
      </c>
    </row>
    <row r="110" spans="3:11" ht="15" customHeight="1">
      <c r="E110" s="19"/>
      <c r="F110" s="19"/>
      <c r="G110" s="19"/>
      <c r="H110" s="19"/>
      <c r="I110" s="19"/>
      <c r="J110" s="19"/>
      <c r="K110" s="19"/>
    </row>
    <row r="111" spans="3:11" ht="15" customHeight="1">
      <c r="C111" s="13" t="s">
        <v>18</v>
      </c>
      <c r="D111" s="14">
        <f>D100+D109</f>
        <v>150257064</v>
      </c>
      <c r="E111" s="14">
        <f t="shared" ref="E111:K111" si="99">E100+E109</f>
        <v>197952788</v>
      </c>
      <c r="F111" s="14">
        <f t="shared" si="99"/>
        <v>225882527</v>
      </c>
      <c r="G111" s="14">
        <f t="shared" si="99"/>
        <v>253639119.61702296</v>
      </c>
      <c r="H111" s="14">
        <f t="shared" si="99"/>
        <v>285507669.24622655</v>
      </c>
      <c r="I111" s="14">
        <f t="shared" si="99"/>
        <v>321551111.72763622</v>
      </c>
      <c r="J111" s="14">
        <f t="shared" si="99"/>
        <v>361313411.19783884</v>
      </c>
      <c r="K111" s="14">
        <f t="shared" si="99"/>
        <v>405542466.42656076</v>
      </c>
    </row>
    <row r="112" spans="3:11" ht="15" customHeight="1">
      <c r="E112" s="18"/>
      <c r="F112" s="18"/>
      <c r="G112" s="18"/>
      <c r="H112" s="18"/>
      <c r="I112" s="18"/>
      <c r="J112" s="18"/>
      <c r="K112" s="18"/>
    </row>
    <row r="113" spans="3:11" ht="15" customHeight="1">
      <c r="C113" s="6" t="s">
        <v>19</v>
      </c>
      <c r="D113" s="18">
        <f>D80-D111</f>
        <v>0</v>
      </c>
      <c r="E113" s="18">
        <f t="shared" ref="E113:K113" si="100">E80-E111</f>
        <v>0</v>
      </c>
      <c r="F113" s="18">
        <f t="shared" si="100"/>
        <v>0</v>
      </c>
      <c r="G113" s="18">
        <f t="shared" si="100"/>
        <v>0</v>
      </c>
      <c r="H113" s="18">
        <f t="shared" si="100"/>
        <v>0</v>
      </c>
      <c r="I113" s="18">
        <f t="shared" si="100"/>
        <v>0</v>
      </c>
      <c r="J113" s="18">
        <f t="shared" si="100"/>
        <v>0</v>
      </c>
      <c r="K113" s="18">
        <f t="shared" si="100"/>
        <v>0</v>
      </c>
    </row>
    <row r="114" spans="3:11" ht="15" customHeight="1"/>
    <row r="115" spans="3:11" customFormat="1">
      <c r="C115" s="41" t="s">
        <v>48</v>
      </c>
      <c r="D115" s="48"/>
      <c r="E115" s="48"/>
      <c r="F115" s="48"/>
      <c r="G115" s="48"/>
      <c r="H115" s="48"/>
      <c r="I115" s="48"/>
      <c r="J115" s="48"/>
      <c r="K115" s="48"/>
    </row>
    <row r="116" spans="3:11" customFormat="1">
      <c r="C116" t="s">
        <v>45</v>
      </c>
      <c r="D116" s="43"/>
      <c r="E116" s="43"/>
      <c r="F116" s="43"/>
      <c r="G116" s="44">
        <f t="shared" ref="G116:K116" si="101">G$13</f>
        <v>2026</v>
      </c>
      <c r="H116" s="44">
        <f t="shared" si="101"/>
        <v>2027</v>
      </c>
      <c r="I116" s="44">
        <f t="shared" si="101"/>
        <v>2028</v>
      </c>
      <c r="J116" s="44">
        <f t="shared" si="101"/>
        <v>2029</v>
      </c>
      <c r="K116" s="44">
        <f t="shared" si="101"/>
        <v>2030</v>
      </c>
    </row>
    <row r="117" spans="3:11" customFormat="1">
      <c r="C117" s="45" t="s">
        <v>46</v>
      </c>
      <c r="D117" s="46"/>
      <c r="E117" s="46"/>
      <c r="F117" s="46"/>
      <c r="G117" s="46">
        <f t="shared" ref="G117:K117" si="102">G$14</f>
        <v>46387</v>
      </c>
      <c r="H117" s="46">
        <f t="shared" si="102"/>
        <v>46752</v>
      </c>
      <c r="I117" s="46">
        <f t="shared" si="102"/>
        <v>47118</v>
      </c>
      <c r="J117" s="46">
        <f t="shared" si="102"/>
        <v>47483</v>
      </c>
      <c r="K117" s="46">
        <f t="shared" si="102"/>
        <v>47848</v>
      </c>
    </row>
    <row r="118" spans="3:11" ht="15" customHeight="1"/>
    <row r="119" spans="3:11" s="13" customFormat="1" ht="15" customHeight="1">
      <c r="C119" s="17" t="s">
        <v>295</v>
      </c>
      <c r="D119" s="208"/>
      <c r="E119" s="208"/>
      <c r="F119" s="208"/>
      <c r="G119" s="208">
        <f>G33</f>
        <v>29807771.205509316</v>
      </c>
      <c r="H119" s="208">
        <f t="shared" ref="H119:K119" si="103">H33</f>
        <v>35653561.923925832</v>
      </c>
      <c r="I119" s="208">
        <f t="shared" si="103"/>
        <v>41747176.682906196</v>
      </c>
      <c r="J119" s="208">
        <f t="shared" si="103"/>
        <v>46726217.706645578</v>
      </c>
      <c r="K119" s="208">
        <f t="shared" si="103"/>
        <v>52948874.782348454</v>
      </c>
    </row>
    <row r="120" spans="3:11" ht="15" customHeight="1">
      <c r="C120" s="17" t="s">
        <v>289</v>
      </c>
      <c r="D120" s="210"/>
      <c r="E120" s="209"/>
      <c r="F120" s="209"/>
      <c r="G120" s="209">
        <f>G162</f>
        <v>16781636.471954525</v>
      </c>
      <c r="H120" s="209">
        <f t="shared" ref="H120:K120" si="104">H162</f>
        <v>18176784.345429502</v>
      </c>
      <c r="I120" s="209">
        <f t="shared" si="104"/>
        <v>19585216.379282519</v>
      </c>
      <c r="J120" s="209">
        <f t="shared" si="104"/>
        <v>21058958.136743382</v>
      </c>
      <c r="K120" s="209">
        <f t="shared" si="104"/>
        <v>22582284.682549771</v>
      </c>
    </row>
    <row r="121" spans="3:11" ht="15" customHeight="1">
      <c r="C121" s="17" t="s">
        <v>290</v>
      </c>
      <c r="D121" s="210"/>
      <c r="E121" s="209"/>
      <c r="F121" s="209"/>
      <c r="G121" s="209">
        <f>G170</f>
        <v>3483193.358512125</v>
      </c>
      <c r="H121" s="209">
        <f t="shared" ref="H121:K121" si="105">H170</f>
        <v>3772769.9927784959</v>
      </c>
      <c r="I121" s="209">
        <f t="shared" si="105"/>
        <v>4065103.8849129849</v>
      </c>
      <c r="J121" s="209">
        <f t="shared" si="105"/>
        <v>4370993.4511855282</v>
      </c>
      <c r="K121" s="209">
        <f t="shared" si="105"/>
        <v>4687174.8269450068</v>
      </c>
    </row>
    <row r="122" spans="3:11" ht="15" customHeight="1">
      <c r="C122" s="17" t="s">
        <v>291</v>
      </c>
      <c r="D122" s="210"/>
      <c r="E122" s="209"/>
      <c r="F122" s="209"/>
      <c r="G122" s="209">
        <f>-G28</f>
        <v>-18090371.059999999</v>
      </c>
      <c r="H122" s="209">
        <f t="shared" ref="H122:K122" si="106">-H28</f>
        <v>-21346637.850799996</v>
      </c>
      <c r="I122" s="209">
        <f t="shared" si="106"/>
        <v>-24548633.528419994</v>
      </c>
      <c r="J122" s="209">
        <f t="shared" si="106"/>
        <v>-27494469.551830396</v>
      </c>
      <c r="K122" s="209">
        <f t="shared" si="106"/>
        <v>-30243916.507013436</v>
      </c>
    </row>
    <row r="123" spans="3:11" s="13" customFormat="1" ht="15" customHeight="1">
      <c r="C123" s="13" t="s">
        <v>192</v>
      </c>
      <c r="D123" s="208"/>
      <c r="E123" s="208"/>
      <c r="F123" s="208"/>
      <c r="G123" s="208">
        <f>SUM(G119:G122)</f>
        <v>31982229.975975972</v>
      </c>
      <c r="H123" s="208">
        <f t="shared" ref="H123:K123" si="107">SUM(H119:H122)</f>
        <v>36256478.411333829</v>
      </c>
      <c r="I123" s="208">
        <f t="shared" si="107"/>
        <v>40848863.418681704</v>
      </c>
      <c r="J123" s="208">
        <f t="shared" si="107"/>
        <v>44661699.742744088</v>
      </c>
      <c r="K123" s="208">
        <f t="shared" si="107"/>
        <v>49974417.784829795</v>
      </c>
    </row>
    <row r="124" spans="3:11" s="13" customFormat="1" ht="15" customHeight="1">
      <c r="D124" s="214"/>
      <c r="E124" s="212"/>
      <c r="F124" s="212"/>
      <c r="G124" s="213"/>
      <c r="H124" s="213"/>
      <c r="I124" s="213"/>
      <c r="J124" s="213"/>
      <c r="K124" s="213"/>
    </row>
    <row r="125" spans="3:11" ht="15" customHeight="1">
      <c r="C125" s="206" t="s">
        <v>161</v>
      </c>
      <c r="D125" s="209"/>
      <c r="E125" s="209"/>
      <c r="F125" s="209"/>
      <c r="G125" s="209"/>
      <c r="H125" s="209"/>
      <c r="I125" s="209"/>
      <c r="J125" s="209"/>
      <c r="K125" s="209"/>
    </row>
    <row r="126" spans="3:11" ht="15" customHeight="1">
      <c r="C126" s="17" t="s">
        <v>200</v>
      </c>
      <c r="D126" s="209"/>
      <c r="E126" s="209"/>
      <c r="F126" s="209"/>
      <c r="G126" s="209">
        <f>G250</f>
        <v>1740443.6050113812</v>
      </c>
      <c r="H126" s="209">
        <f t="shared" ref="H126:K126" si="108">H250</f>
        <v>1780858.428425245</v>
      </c>
      <c r="I126" s="209">
        <f t="shared" si="108"/>
        <v>1797815.2037058994</v>
      </c>
      <c r="J126" s="209">
        <f t="shared" si="108"/>
        <v>1881180.8267745376</v>
      </c>
      <c r="K126" s="209">
        <f t="shared" si="108"/>
        <v>1944474.1091037318</v>
      </c>
    </row>
    <row r="127" spans="3:11" s="13" customFormat="1" ht="15" customHeight="1">
      <c r="C127" s="13" t="s">
        <v>20</v>
      </c>
      <c r="D127" s="212"/>
      <c r="E127" s="212"/>
      <c r="F127" s="212"/>
      <c r="G127" s="212">
        <f>G123+G126</f>
        <v>33722673.580987349</v>
      </c>
      <c r="H127" s="212">
        <f>H123+H126</f>
        <v>38037336.839759074</v>
      </c>
      <c r="I127" s="212">
        <f>I123+I126</f>
        <v>42646678.622387603</v>
      </c>
      <c r="J127" s="212">
        <f>J123+J126</f>
        <v>46542880.569518626</v>
      </c>
      <c r="K127" s="212">
        <f>K123+K126</f>
        <v>51918891.893933527</v>
      </c>
    </row>
    <row r="128" spans="3:11" s="13" customFormat="1" ht="15" customHeight="1">
      <c r="C128" s="13" t="s">
        <v>198</v>
      </c>
      <c r="D128" s="208"/>
      <c r="E128" s="208"/>
      <c r="F128" s="208"/>
      <c r="G128" s="208">
        <f>SUM(G127:G127)</f>
        <v>33722673.580987349</v>
      </c>
      <c r="H128" s="208">
        <f>SUM(H127:H127)</f>
        <v>38037336.839759074</v>
      </c>
      <c r="I128" s="208">
        <f>SUM(I127:I127)</f>
        <v>42646678.622387603</v>
      </c>
      <c r="J128" s="208">
        <f>SUM(J127:J127)</f>
        <v>46542880.569518626</v>
      </c>
      <c r="K128" s="208">
        <f>SUM(K127:K127)</f>
        <v>51918891.893933527</v>
      </c>
    </row>
    <row r="129" spans="3:11" ht="15" customHeight="1">
      <c r="D129" s="215"/>
      <c r="E129" s="211"/>
      <c r="F129" s="211"/>
      <c r="G129" s="211"/>
      <c r="H129" s="211"/>
      <c r="I129" s="211"/>
      <c r="J129" s="211"/>
      <c r="K129" s="211"/>
    </row>
    <row r="130" spans="3:11" customFormat="1">
      <c r="C130" s="237" t="s">
        <v>21</v>
      </c>
      <c r="D130" s="238"/>
      <c r="E130" s="238"/>
      <c r="F130" s="238"/>
      <c r="G130" s="238"/>
      <c r="H130" s="238"/>
      <c r="I130" s="238"/>
      <c r="J130" s="238"/>
      <c r="K130" s="238"/>
    </row>
    <row r="131" spans="3:11" ht="15" customHeight="1">
      <c r="D131" s="215"/>
      <c r="E131" s="211"/>
      <c r="F131" s="211"/>
      <c r="G131" s="211"/>
      <c r="H131" s="211"/>
      <c r="I131" s="211"/>
      <c r="J131" s="211"/>
      <c r="K131" s="211"/>
    </row>
    <row r="132" spans="3:11" ht="15" customHeight="1">
      <c r="C132" s="17" t="s">
        <v>292</v>
      </c>
      <c r="D132" s="215"/>
      <c r="E132" s="209"/>
      <c r="F132" s="209"/>
      <c r="G132" s="209">
        <f>-G161</f>
        <v>-30187675.773771755</v>
      </c>
      <c r="H132" s="209">
        <f t="shared" ref="H132:K132" si="109">-H161</f>
        <v>-30182159.942227971</v>
      </c>
      <c r="I132" s="209">
        <f t="shared" si="109"/>
        <v>-29810761.822695225</v>
      </c>
      <c r="J132" s="209">
        <f t="shared" si="109"/>
        <v>-29139956.34123686</v>
      </c>
      <c r="K132" s="209">
        <f t="shared" si="109"/>
        <v>-28123048.961670049</v>
      </c>
    </row>
    <row r="133" spans="3:11" ht="15" customHeight="1">
      <c r="C133" s="17" t="s">
        <v>293</v>
      </c>
      <c r="D133" s="215"/>
      <c r="E133" s="209"/>
      <c r="F133" s="209">
        <f t="shared" ref="F133:K133" si="110">-(F170+SUM(F70:F72)-SUM(E70:E72))</f>
        <v>-2035084</v>
      </c>
      <c r="G133" s="209">
        <f t="shared" si="110"/>
        <v>-5990599.4234854877</v>
      </c>
      <c r="H133" s="209">
        <f t="shared" si="110"/>
        <v>-6338400.5087199844</v>
      </c>
      <c r="I133" s="209">
        <f t="shared" si="110"/>
        <v>-6655163.5297608376</v>
      </c>
      <c r="J133" s="209">
        <f t="shared" si="110"/>
        <v>-7081155.5045749247</v>
      </c>
      <c r="K133" s="209">
        <f t="shared" si="110"/>
        <v>-7488521.656173937</v>
      </c>
    </row>
    <row r="134" spans="3:11" ht="15" customHeight="1">
      <c r="C134" s="17" t="s">
        <v>294</v>
      </c>
      <c r="D134" s="215"/>
      <c r="E134" s="209"/>
      <c r="F134" s="209"/>
      <c r="G134" s="209">
        <f>G297</f>
        <v>6458262.4684199989</v>
      </c>
      <c r="H134" s="209">
        <f t="shared" ref="H134:K134" si="111">H297</f>
        <v>7620749.712735598</v>
      </c>
      <c r="I134" s="209">
        <f t="shared" si="111"/>
        <v>8763862.1696459372</v>
      </c>
      <c r="J134" s="209">
        <f t="shared" si="111"/>
        <v>9815525.6300034504</v>
      </c>
      <c r="K134" s="209">
        <f t="shared" si="111"/>
        <v>10797078.193003796</v>
      </c>
    </row>
    <row r="135" spans="3:11" ht="15" customHeight="1">
      <c r="C135" s="17" t="s">
        <v>296</v>
      </c>
      <c r="D135" s="215"/>
      <c r="E135" s="209"/>
      <c r="F135" s="209"/>
      <c r="G135" s="209">
        <f>G95-F95</f>
        <v>2840543.0096892789</v>
      </c>
      <c r="H135" s="209">
        <f>H95-G95</f>
        <v>2906503.2302936912</v>
      </c>
      <c r="I135" s="209">
        <f>I95-H95</f>
        <v>2934178.0422506109</v>
      </c>
      <c r="J135" s="209">
        <f>J95-I95</f>
        <v>3070237.3992870599</v>
      </c>
      <c r="K135" s="209">
        <f>K95-J95</f>
        <v>3173537.0926312059</v>
      </c>
    </row>
    <row r="136" spans="3:11" ht="15" customHeight="1">
      <c r="C136" s="17" t="s">
        <v>297</v>
      </c>
      <c r="D136" s="215"/>
      <c r="E136" s="209"/>
      <c r="F136" s="209"/>
      <c r="G136" s="209">
        <f>F63-G63</f>
        <v>-228564.00576735893</v>
      </c>
      <c r="H136" s="209">
        <f t="shared" ref="H136:K136" si="112">G63-H63</f>
        <v>-233871.48824208882</v>
      </c>
      <c r="I136" s="209">
        <f t="shared" si="112"/>
        <v>-236098.33918507956</v>
      </c>
      <c r="J136" s="209">
        <f t="shared" si="112"/>
        <v>-247046.3415776873</v>
      </c>
      <c r="K136" s="209">
        <f t="shared" si="112"/>
        <v>-255358.3409470818</v>
      </c>
    </row>
    <row r="137" spans="3:11" ht="15" customHeight="1">
      <c r="C137" s="17" t="s">
        <v>245</v>
      </c>
      <c r="D137" s="215"/>
      <c r="E137" s="209"/>
      <c r="F137" s="209"/>
      <c r="G137" s="209">
        <f>F65-G65</f>
        <v>2449845</v>
      </c>
      <c r="H137" s="209">
        <f t="shared" ref="H137:K137" si="113">G65-H65</f>
        <v>0</v>
      </c>
      <c r="I137" s="209">
        <f t="shared" si="113"/>
        <v>0</v>
      </c>
      <c r="J137" s="209">
        <f t="shared" si="113"/>
        <v>0</v>
      </c>
      <c r="K137" s="209">
        <f t="shared" si="113"/>
        <v>0</v>
      </c>
    </row>
    <row r="138" spans="3:11" ht="15" customHeight="1">
      <c r="C138" s="17" t="s">
        <v>237</v>
      </c>
      <c r="D138" s="215"/>
      <c r="E138" s="209"/>
      <c r="F138" s="209"/>
      <c r="G138" s="209">
        <f>F74-G74</f>
        <v>-9977.8144046526577</v>
      </c>
      <c r="H138" s="209">
        <f t="shared" ref="H138:K138" si="114">G74-H74</f>
        <v>-10209.509132398671</v>
      </c>
      <c r="I138" s="209">
        <f t="shared" si="114"/>
        <v>-10306.720875522384</v>
      </c>
      <c r="J138" s="209">
        <f t="shared" si="114"/>
        <v>-10784.648866014119</v>
      </c>
      <c r="K138" s="209">
        <f t="shared" si="114"/>
        <v>-11147.503842942649</v>
      </c>
    </row>
    <row r="139" spans="3:11" ht="15" customHeight="1">
      <c r="C139" s="17" t="s">
        <v>239</v>
      </c>
      <c r="D139" s="215"/>
      <c r="E139" s="209"/>
      <c r="F139" s="209"/>
      <c r="G139" s="209">
        <f>F76-G76</f>
        <v>-7541.0196735557402</v>
      </c>
      <c r="H139" s="209">
        <f t="shared" ref="H139:K139" si="115">G76-H76</f>
        <v>-7716.1296154060256</v>
      </c>
      <c r="I139" s="209">
        <f t="shared" si="115"/>
        <v>-7789.6001809694426</v>
      </c>
      <c r="J139" s="209">
        <f t="shared" si="115"/>
        <v>-8150.8079798597901</v>
      </c>
      <c r="K139" s="209">
        <f t="shared" si="115"/>
        <v>-8425.0460453012493</v>
      </c>
    </row>
    <row r="140" spans="3:11" ht="15" customHeight="1">
      <c r="C140" s="13" t="s">
        <v>197</v>
      </c>
      <c r="D140" s="215"/>
      <c r="E140" s="212"/>
      <c r="F140" s="212"/>
      <c r="G140" s="212">
        <f>SUM(G132:G139)</f>
        <v>-24675707.558993533</v>
      </c>
      <c r="H140" s="212">
        <f t="shared" ref="H140:K140" si="116">SUM(H132:H139)</f>
        <v>-26245104.634908564</v>
      </c>
      <c r="I140" s="212">
        <f t="shared" si="116"/>
        <v>-25022079.800801091</v>
      </c>
      <c r="J140" s="212">
        <f t="shared" si="116"/>
        <v>-23601330.614944831</v>
      </c>
      <c r="K140" s="212">
        <f t="shared" si="116"/>
        <v>-21915886.223044306</v>
      </c>
    </row>
    <row r="141" spans="3:11" ht="15" customHeight="1">
      <c r="D141" s="215"/>
      <c r="E141" s="216"/>
      <c r="F141" s="216"/>
      <c r="G141" s="211"/>
      <c r="H141" s="211"/>
      <c r="I141" s="211"/>
      <c r="J141" s="211"/>
      <c r="K141" s="211"/>
    </row>
    <row r="142" spans="3:11" s="37" customFormat="1" ht="15" customHeight="1">
      <c r="C142" s="47" t="s">
        <v>22</v>
      </c>
      <c r="D142" s="217"/>
      <c r="E142" s="218"/>
      <c r="F142" s="218"/>
      <c r="G142" s="218"/>
      <c r="H142" s="218"/>
      <c r="I142" s="218"/>
      <c r="J142" s="218"/>
      <c r="K142" s="218"/>
    </row>
    <row r="143" spans="3:11" ht="15" customHeight="1">
      <c r="D143" s="215"/>
      <c r="E143" s="216"/>
      <c r="F143" s="216"/>
      <c r="G143" s="211"/>
      <c r="H143" s="211"/>
      <c r="I143" s="211"/>
      <c r="J143" s="211"/>
      <c r="K143" s="211"/>
    </row>
    <row r="144" spans="3:11" ht="15" customHeight="1">
      <c r="C144" s="17" t="s">
        <v>193</v>
      </c>
      <c r="D144" s="215"/>
      <c r="E144" s="209"/>
      <c r="F144" s="209"/>
      <c r="G144" s="209">
        <f>G258-F258</f>
        <v>0</v>
      </c>
      <c r="H144" s="209">
        <f t="shared" ref="H144:K144" si="117">H258-G258</f>
        <v>0</v>
      </c>
      <c r="I144" s="209">
        <f t="shared" si="117"/>
        <v>0</v>
      </c>
      <c r="J144" s="209">
        <f t="shared" si="117"/>
        <v>0</v>
      </c>
      <c r="K144" s="209">
        <f t="shared" si="117"/>
        <v>0</v>
      </c>
    </row>
    <row r="145" spans="3:11" ht="15" customHeight="1">
      <c r="C145" s="17" t="s">
        <v>194</v>
      </c>
      <c r="D145" s="215"/>
      <c r="E145" s="209"/>
      <c r="F145" s="209"/>
      <c r="G145" s="209">
        <f>-G278</f>
        <v>-9743060.9136654288</v>
      </c>
      <c r="H145" s="209">
        <f t="shared" ref="H145:K145" si="118">-H278</f>
        <v>-11653834.270901378</v>
      </c>
      <c r="I145" s="209">
        <f t="shared" si="118"/>
        <v>-13645612.165727107</v>
      </c>
      <c r="J145" s="209">
        <f t="shared" si="118"/>
        <v>-15273077.018817691</v>
      </c>
      <c r="K145" s="209">
        <f t="shared" si="118"/>
        <v>-17307034.087107942</v>
      </c>
    </row>
    <row r="146" spans="3:11" ht="15" customHeight="1">
      <c r="C146" s="17" t="s">
        <v>159</v>
      </c>
      <c r="D146" s="215"/>
      <c r="E146" s="209"/>
      <c r="F146" s="209"/>
      <c r="G146" s="209">
        <f>G97-F97</f>
        <v>165370.32634401065</v>
      </c>
      <c r="H146" s="209">
        <f>H97-G97</f>
        <v>169210.38902564137</v>
      </c>
      <c r="I146" s="209">
        <f>I97-H97</f>
        <v>170821.55726678856</v>
      </c>
      <c r="J146" s="209">
        <f>J97-I97</f>
        <v>178742.64143926045</v>
      </c>
      <c r="K146" s="209">
        <f>K97-J97</f>
        <v>184756.52820009645</v>
      </c>
    </row>
    <row r="147" spans="3:11" ht="15" customHeight="1">
      <c r="C147" s="17" t="s">
        <v>195</v>
      </c>
      <c r="D147" s="215"/>
      <c r="E147" s="209"/>
      <c r="F147" s="209"/>
      <c r="G147" s="209">
        <f>G285</f>
        <v>-9679.0980880175957</v>
      </c>
      <c r="H147" s="209">
        <f t="shared" ref="H147:K147" si="119">H285</f>
        <v>-11577.32729057932</v>
      </c>
      <c r="I147" s="209">
        <f t="shared" si="119"/>
        <v>-13556.029239011525</v>
      </c>
      <c r="J147" s="209">
        <f t="shared" si="119"/>
        <v>-15172.809847020542</v>
      </c>
      <c r="K147" s="209">
        <f t="shared" si="119"/>
        <v>-17193.414064242013</v>
      </c>
    </row>
    <row r="148" spans="3:11" ht="15" customHeight="1">
      <c r="C148" s="13" t="s">
        <v>196</v>
      </c>
      <c r="D148" s="214"/>
      <c r="E148" s="212"/>
      <c r="F148" s="212"/>
      <c r="G148" s="212">
        <f>SUM(G144:G147)</f>
        <v>-9587369.6854094341</v>
      </c>
      <c r="H148" s="212">
        <f>SUM(H144:H147)</f>
        <v>-11496201.209166316</v>
      </c>
      <c r="I148" s="212">
        <f>SUM(I144:I147)</f>
        <v>-13488346.63769933</v>
      </c>
      <c r="J148" s="212">
        <f>SUM(J144:J147)</f>
        <v>-15109507.18722545</v>
      </c>
      <c r="K148" s="212">
        <f>SUM(K144:K147)</f>
        <v>-17139470.972972088</v>
      </c>
    </row>
    <row r="149" spans="3:11" ht="15" customHeight="1">
      <c r="C149" s="13"/>
      <c r="D149" s="214"/>
      <c r="E149" s="212"/>
      <c r="F149" s="212"/>
      <c r="G149" s="212"/>
      <c r="H149" s="212"/>
      <c r="I149" s="212"/>
      <c r="J149" s="212"/>
      <c r="K149" s="212"/>
    </row>
    <row r="150" spans="3:11" ht="15" customHeight="1">
      <c r="C150" s="13" t="s">
        <v>162</v>
      </c>
      <c r="D150" s="214"/>
      <c r="E150" s="212"/>
      <c r="F150" s="212"/>
      <c r="G150" s="212">
        <f>G128+G140+G148</f>
        <v>-540403.66341561824</v>
      </c>
      <c r="H150" s="212">
        <f>H128+H140+H148</f>
        <v>296030.99568419345</v>
      </c>
      <c r="I150" s="212">
        <f>I128+I140+I148</f>
        <v>4136252.1838871818</v>
      </c>
      <c r="J150" s="212">
        <f>J128+J140+J148</f>
        <v>7832042.7673483454</v>
      </c>
      <c r="K150" s="212">
        <f>K128+K140+K148</f>
        <v>12863534.697917134</v>
      </c>
    </row>
    <row r="151" spans="3:11" ht="15" customHeight="1">
      <c r="C151" s="6" t="s">
        <v>163</v>
      </c>
      <c r="D151" s="214"/>
      <c r="E151" s="212"/>
      <c r="F151" s="212"/>
      <c r="G151" s="212">
        <f>F64</f>
        <v>8312470</v>
      </c>
      <c r="H151" s="212">
        <f>G64</f>
        <v>7772066.3365843818</v>
      </c>
      <c r="I151" s="212">
        <f>H64</f>
        <v>8068097.3322685752</v>
      </c>
      <c r="J151" s="212">
        <f>I64</f>
        <v>12204349.516155757</v>
      </c>
      <c r="K151" s="212">
        <f>J64</f>
        <v>20036392.283504102</v>
      </c>
    </row>
    <row r="152" spans="3:11" ht="15" customHeight="1">
      <c r="C152" s="13" t="s">
        <v>164</v>
      </c>
      <c r="D152" s="215"/>
      <c r="E152" s="212"/>
      <c r="F152" s="212"/>
      <c r="G152" s="212">
        <f>G150+G151</f>
        <v>7772066.3365843818</v>
      </c>
      <c r="H152" s="212">
        <f t="shared" ref="H152:K152" si="120">H150+H151</f>
        <v>8068097.3322685752</v>
      </c>
      <c r="I152" s="212">
        <f t="shared" si="120"/>
        <v>12204349.516155757</v>
      </c>
      <c r="J152" s="212">
        <f t="shared" si="120"/>
        <v>20036392.283504102</v>
      </c>
      <c r="K152" s="212">
        <f t="shared" si="120"/>
        <v>32899926.981421236</v>
      </c>
    </row>
    <row r="153" spans="3:11" ht="15" customHeight="1">
      <c r="C153" s="13"/>
      <c r="D153" s="215"/>
      <c r="E153" s="213"/>
      <c r="F153" s="212"/>
      <c r="G153" s="213"/>
      <c r="H153" s="213"/>
      <c r="I153" s="213"/>
      <c r="J153" s="213"/>
      <c r="K153" s="213"/>
    </row>
    <row r="154" spans="3:11" ht="15" customHeight="1">
      <c r="C154" s="13" t="s">
        <v>23</v>
      </c>
      <c r="D154" s="255"/>
      <c r="E154" s="255"/>
      <c r="F154" s="209"/>
      <c r="G154" s="209">
        <f>G152-G64</f>
        <v>0</v>
      </c>
      <c r="H154" s="209">
        <f>H152-H64</f>
        <v>0</v>
      </c>
      <c r="I154" s="209">
        <f>I152-I64</f>
        <v>0</v>
      </c>
      <c r="J154" s="209">
        <f>J152-J64</f>
        <v>0</v>
      </c>
      <c r="K154" s="209">
        <f>K152-K64</f>
        <v>0</v>
      </c>
    </row>
    <row r="155" spans="3:11" ht="15" customHeight="1"/>
    <row r="156" spans="3:11" customFormat="1">
      <c r="C156" s="41" t="s">
        <v>32</v>
      </c>
      <c r="D156" s="42"/>
      <c r="E156" s="42"/>
      <c r="F156" s="42"/>
      <c r="G156" s="42"/>
      <c r="H156" s="42"/>
      <c r="I156" s="42"/>
      <c r="J156" s="42"/>
      <c r="K156" s="42"/>
    </row>
    <row r="157" spans="3:11" customFormat="1">
      <c r="C157" t="s">
        <v>45</v>
      </c>
      <c r="D157" s="43">
        <f t="shared" ref="D157:F157" si="121">D$13</f>
        <v>2023</v>
      </c>
      <c r="E157" s="43">
        <f t="shared" si="121"/>
        <v>2024</v>
      </c>
      <c r="F157" s="43">
        <f t="shared" si="121"/>
        <v>2025</v>
      </c>
      <c r="G157" s="44">
        <f t="shared" ref="G157:K157" si="122">G$13</f>
        <v>2026</v>
      </c>
      <c r="H157" s="44">
        <f t="shared" si="122"/>
        <v>2027</v>
      </c>
      <c r="I157" s="44">
        <f t="shared" si="122"/>
        <v>2028</v>
      </c>
      <c r="J157" s="44">
        <f t="shared" si="122"/>
        <v>2029</v>
      </c>
      <c r="K157" s="44">
        <f t="shared" si="122"/>
        <v>2030</v>
      </c>
    </row>
    <row r="158" spans="3:11" customFormat="1">
      <c r="C158" s="45" t="s">
        <v>46</v>
      </c>
      <c r="D158" s="46">
        <f t="shared" ref="D158:F158" si="123">D$14</f>
        <v>45291</v>
      </c>
      <c r="E158" s="46">
        <f t="shared" si="123"/>
        <v>45657</v>
      </c>
      <c r="F158" s="46">
        <f t="shared" si="123"/>
        <v>46022</v>
      </c>
      <c r="G158" s="46">
        <f t="shared" ref="G158:K158" si="124">G$14</f>
        <v>46387</v>
      </c>
      <c r="H158" s="46">
        <f t="shared" si="124"/>
        <v>46752</v>
      </c>
      <c r="I158" s="46">
        <f t="shared" si="124"/>
        <v>47118</v>
      </c>
      <c r="J158" s="46">
        <f t="shared" si="124"/>
        <v>47483</v>
      </c>
      <c r="K158" s="46">
        <f t="shared" si="124"/>
        <v>47848</v>
      </c>
    </row>
    <row r="159" spans="3:11" ht="15" customHeight="1"/>
    <row r="160" spans="3:11" ht="15" customHeight="1">
      <c r="C160" s="17" t="s">
        <v>33</v>
      </c>
      <c r="D160" s="194"/>
      <c r="E160" s="195">
        <f>D163</f>
        <v>78003156</v>
      </c>
      <c r="F160" s="195">
        <f t="shared" ref="F160:K160" si="125">E163</f>
        <v>104141296</v>
      </c>
      <c r="G160" s="195">
        <f t="shared" si="125"/>
        <v>119828621</v>
      </c>
      <c r="H160" s="195">
        <f t="shared" si="125"/>
        <v>133234660.30181724</v>
      </c>
      <c r="I160" s="195">
        <f t="shared" si="125"/>
        <v>145240035.89861569</v>
      </c>
      <c r="J160" s="195">
        <f t="shared" si="125"/>
        <v>155465581.34202838</v>
      </c>
      <c r="K160" s="195">
        <f t="shared" si="125"/>
        <v>163546579.54652184</v>
      </c>
    </row>
    <row r="161" spans="1:11" ht="15" customHeight="1">
      <c r="C161" s="31" t="s">
        <v>34</v>
      </c>
      <c r="D161" s="255">
        <v>23594647</v>
      </c>
      <c r="E161" s="255">
        <v>28945948</v>
      </c>
      <c r="F161" s="255">
        <v>27778906</v>
      </c>
      <c r="G161" s="193">
        <f>G165*G16</f>
        <v>30187675.773771755</v>
      </c>
      <c r="H161" s="193">
        <f>H165*H16</f>
        <v>30182159.942227971</v>
      </c>
      <c r="I161" s="193">
        <f>I165*I16</f>
        <v>29810761.822695225</v>
      </c>
      <c r="J161" s="193">
        <f>J165*J16</f>
        <v>29139956.34123686</v>
      </c>
      <c r="K161" s="193">
        <f>K165*K16</f>
        <v>28123048.961670049</v>
      </c>
    </row>
    <row r="162" spans="1:11" ht="15" customHeight="1">
      <c r="C162" s="31" t="s">
        <v>35</v>
      </c>
      <c r="D162" s="207">
        <v>8132514</v>
      </c>
      <c r="E162" s="207">
        <v>12379274</v>
      </c>
      <c r="F162" s="207">
        <v>14781067</v>
      </c>
      <c r="G162" s="193">
        <f>G166*G16</f>
        <v>16781636.471954525</v>
      </c>
      <c r="H162" s="193">
        <f>H166*H16</f>
        <v>18176784.345429502</v>
      </c>
      <c r="I162" s="193">
        <f>I166*I16</f>
        <v>19585216.379282519</v>
      </c>
      <c r="J162" s="193">
        <f>J166*J16</f>
        <v>21058958.136743382</v>
      </c>
      <c r="K162" s="193">
        <f>K166*K16</f>
        <v>22582284.682549771</v>
      </c>
    </row>
    <row r="163" spans="1:11" ht="15" customHeight="1">
      <c r="C163" s="16" t="s">
        <v>36</v>
      </c>
      <c r="D163" s="252">
        <f>D69</f>
        <v>78003156</v>
      </c>
      <c r="E163" s="252">
        <f>E69</f>
        <v>104141296</v>
      </c>
      <c r="F163" s="252">
        <f>F69</f>
        <v>119828621</v>
      </c>
      <c r="G163" s="252">
        <f>G160+G161-G162</f>
        <v>133234660.30181724</v>
      </c>
      <c r="H163" s="252">
        <f t="shared" ref="H163:K163" si="126">H160+H161-H162</f>
        <v>145240035.89861569</v>
      </c>
      <c r="I163" s="252">
        <f t="shared" si="126"/>
        <v>155465581.34202838</v>
      </c>
      <c r="J163" s="252">
        <f t="shared" si="126"/>
        <v>163546579.54652184</v>
      </c>
      <c r="K163" s="252">
        <f t="shared" si="126"/>
        <v>169087343.82564211</v>
      </c>
    </row>
    <row r="164" spans="1:11" ht="15" customHeight="1">
      <c r="C164" s="13"/>
      <c r="D164" s="10"/>
      <c r="E164" s="165"/>
      <c r="F164" s="165"/>
      <c r="G164" s="166"/>
      <c r="H164" s="166"/>
      <c r="I164" s="166"/>
      <c r="J164" s="166"/>
      <c r="K164" s="166"/>
    </row>
    <row r="165" spans="1:11" ht="15" customHeight="1">
      <c r="C165" s="6" t="s">
        <v>151</v>
      </c>
      <c r="D165" s="1">
        <f>D161/D16</f>
        <v>0.41628439648701171</v>
      </c>
      <c r="E165" s="1">
        <f>E161/E16</f>
        <v>0.35439181451138774</v>
      </c>
      <c r="F165" s="1">
        <f>F161/F16</f>
        <v>0.26041191362615973</v>
      </c>
      <c r="G165" s="224">
        <v>0.26</v>
      </c>
      <c r="H165" s="224">
        <f>G165-2%</f>
        <v>0.24000000000000002</v>
      </c>
      <c r="I165" s="224">
        <f t="shared" ref="I165:K165" si="127">H165-2%</f>
        <v>0.22000000000000003</v>
      </c>
      <c r="J165" s="224">
        <f t="shared" si="127"/>
        <v>0.20000000000000004</v>
      </c>
      <c r="K165" s="224">
        <f t="shared" si="127"/>
        <v>0.18000000000000005</v>
      </c>
    </row>
    <row r="166" spans="1:11" ht="15" customHeight="1">
      <c r="C166" s="6" t="s">
        <v>199</v>
      </c>
      <c r="D166" s="1">
        <f>D162/D16</f>
        <v>0.14348333680992023</v>
      </c>
      <c r="E166" s="1">
        <f>E162/E16</f>
        <v>0.15156226271095508</v>
      </c>
      <c r="F166" s="1">
        <f>F162/F16</f>
        <v>0.13856434601515552</v>
      </c>
      <c r="G166" s="267">
        <f>AVERAGE(D166:F166)</f>
        <v>0.14453664851201029</v>
      </c>
      <c r="H166" s="267">
        <f>G166</f>
        <v>0.14453664851201029</v>
      </c>
      <c r="I166" s="267">
        <f t="shared" ref="I166:K166" si="128">H166</f>
        <v>0.14453664851201029</v>
      </c>
      <c r="J166" s="267">
        <f t="shared" si="128"/>
        <v>0.14453664851201029</v>
      </c>
      <c r="K166" s="267">
        <f t="shared" si="128"/>
        <v>0.14453664851201029</v>
      </c>
    </row>
    <row r="167" spans="1:11" ht="15" customHeight="1">
      <c r="D167" s="30"/>
      <c r="E167" s="1"/>
      <c r="F167" s="1"/>
      <c r="G167" s="1"/>
      <c r="H167" s="1"/>
      <c r="I167" s="1"/>
      <c r="J167" s="1"/>
      <c r="K167" s="1"/>
    </row>
    <row r="168" spans="1:11" s="37" customFormat="1" ht="15" customHeight="1">
      <c r="C168" s="47" t="s">
        <v>37</v>
      </c>
      <c r="D168" s="50"/>
      <c r="E168" s="50"/>
      <c r="F168" s="50"/>
      <c r="G168" s="50"/>
      <c r="H168" s="50"/>
      <c r="I168" s="50"/>
      <c r="J168" s="50"/>
      <c r="K168" s="50"/>
    </row>
    <row r="169" spans="1:11" s="33" customFormat="1" ht="15" customHeight="1">
      <c r="C169" s="34"/>
      <c r="D169" s="35"/>
      <c r="E169" s="36"/>
      <c r="F169" s="36"/>
      <c r="G169" s="36"/>
      <c r="H169" s="36"/>
      <c r="I169" s="36"/>
      <c r="J169" s="36"/>
      <c r="K169" s="36"/>
    </row>
    <row r="170" spans="1:11" s="33" customFormat="1" ht="15" customHeight="1">
      <c r="C170" s="37" t="s">
        <v>38</v>
      </c>
      <c r="D170" s="10">
        <f>1422440+286022+322020</f>
        <v>2030482</v>
      </c>
      <c r="E170" s="10">
        <f>1578182+620954+416076</f>
        <v>2615212</v>
      </c>
      <c r="F170" s="196">
        <f>1777008+388342+445007</f>
        <v>2610357</v>
      </c>
      <c r="G170" s="38">
        <f>G171*G16</f>
        <v>3483193.358512125</v>
      </c>
      <c r="H170" s="38">
        <f>H171*H16</f>
        <v>3772769.9927784959</v>
      </c>
      <c r="I170" s="38">
        <f>I171*I16</f>
        <v>4065103.8849129849</v>
      </c>
      <c r="J170" s="38">
        <f>J171*J16</f>
        <v>4370993.4511855282</v>
      </c>
      <c r="K170" s="38">
        <f>K171*K16</f>
        <v>4687174.8269450068</v>
      </c>
    </row>
    <row r="171" spans="1:11" s="33" customFormat="1" ht="15" customHeight="1">
      <c r="A171" s="34"/>
      <c r="B171" s="34"/>
      <c r="C171" s="25" t="s">
        <v>39</v>
      </c>
      <c r="D171" s="39">
        <f>D170/D16</f>
        <v>3.5824141549892254E-2</v>
      </c>
      <c r="E171" s="39">
        <f>E170/E16</f>
        <v>3.2018634387512734E-2</v>
      </c>
      <c r="F171" s="39">
        <f>F170/F16</f>
        <v>2.4470656318050878E-2</v>
      </c>
      <c r="G171" s="267">
        <v>0.03</v>
      </c>
      <c r="H171" s="267">
        <f>G171</f>
        <v>0.03</v>
      </c>
      <c r="I171" s="267">
        <f t="shared" ref="I171:K171" si="129">H171</f>
        <v>0.03</v>
      </c>
      <c r="J171" s="267">
        <f t="shared" si="129"/>
        <v>0.03</v>
      </c>
      <c r="K171" s="267">
        <f t="shared" si="129"/>
        <v>0.03</v>
      </c>
    </row>
    <row r="172" spans="1:11" ht="15" customHeight="1">
      <c r="C172" s="40" t="s">
        <v>40</v>
      </c>
      <c r="D172" s="32">
        <f>D162+D170</f>
        <v>10162996</v>
      </c>
      <c r="E172" s="32">
        <f t="shared" ref="E172:K172" si="130">E162+E170</f>
        <v>14994486</v>
      </c>
      <c r="F172" s="32">
        <f t="shared" si="130"/>
        <v>17391424</v>
      </c>
      <c r="G172" s="32">
        <f t="shared" si="130"/>
        <v>20264829.83046665</v>
      </c>
      <c r="H172" s="32">
        <f t="shared" si="130"/>
        <v>21949554.338207997</v>
      </c>
      <c r="I172" s="32">
        <f t="shared" si="130"/>
        <v>23650320.264195506</v>
      </c>
      <c r="J172" s="32">
        <f t="shared" si="130"/>
        <v>25429951.58792891</v>
      </c>
      <c r="K172" s="32">
        <f t="shared" si="130"/>
        <v>27269459.509494778</v>
      </c>
    </row>
    <row r="174" spans="1:11">
      <c r="C174" s="13" t="s">
        <v>165</v>
      </c>
      <c r="D174" s="28"/>
      <c r="E174" s="13"/>
      <c r="F174" s="13"/>
      <c r="G174" s="13"/>
      <c r="H174" s="13"/>
      <c r="I174" s="13"/>
      <c r="J174" s="13"/>
      <c r="K174" s="13"/>
    </row>
    <row r="175" spans="1:11">
      <c r="C175" s="51" t="s">
        <v>45</v>
      </c>
      <c r="D175" s="52">
        <f t="shared" ref="D175:F175" si="131">D$13</f>
        <v>2023</v>
      </c>
      <c r="E175" s="52">
        <f t="shared" si="131"/>
        <v>2024</v>
      </c>
      <c r="F175" s="52">
        <f t="shared" si="131"/>
        <v>2025</v>
      </c>
      <c r="G175" s="53">
        <f t="shared" ref="G175:K175" si="132">G$13</f>
        <v>2026</v>
      </c>
      <c r="H175" s="53">
        <f t="shared" si="132"/>
        <v>2027</v>
      </c>
      <c r="I175" s="53">
        <f t="shared" si="132"/>
        <v>2028</v>
      </c>
      <c r="J175" s="53">
        <f t="shared" si="132"/>
        <v>2029</v>
      </c>
      <c r="K175" s="53">
        <f t="shared" si="132"/>
        <v>2030</v>
      </c>
    </row>
    <row r="176" spans="1:11">
      <c r="C176" s="45" t="s">
        <v>46</v>
      </c>
      <c r="D176" s="46">
        <f t="shared" ref="D176:K176" si="133">D$14</f>
        <v>45291</v>
      </c>
      <c r="E176" s="46">
        <f t="shared" si="133"/>
        <v>45657</v>
      </c>
      <c r="F176" s="46">
        <f t="shared" si="133"/>
        <v>46022</v>
      </c>
      <c r="G176" s="46">
        <f t="shared" si="133"/>
        <v>46387</v>
      </c>
      <c r="H176" s="46">
        <f t="shared" si="133"/>
        <v>46752</v>
      </c>
      <c r="I176" s="46">
        <f t="shared" si="133"/>
        <v>47118</v>
      </c>
      <c r="J176" s="46">
        <f t="shared" si="133"/>
        <v>47483</v>
      </c>
      <c r="K176" s="46">
        <f t="shared" si="133"/>
        <v>47848</v>
      </c>
    </row>
    <row r="177" spans="3:11">
      <c r="C177" s="37"/>
      <c r="D177" s="49"/>
      <c r="E177" s="37"/>
      <c r="F177" s="37"/>
      <c r="G177" s="37"/>
      <c r="H177" s="37"/>
    </row>
    <row r="178" spans="3:11">
      <c r="C178" s="263" t="s">
        <v>263</v>
      </c>
      <c r="D178" s="209"/>
      <c r="E178" s="209"/>
      <c r="F178" s="209"/>
      <c r="G178" s="209"/>
      <c r="H178" s="209"/>
      <c r="I178" s="209"/>
      <c r="J178" s="209"/>
      <c r="K178" s="209"/>
    </row>
    <row r="179" spans="3:11">
      <c r="C179" s="13" t="s">
        <v>260</v>
      </c>
      <c r="D179" s="266"/>
      <c r="E179" s="266"/>
      <c r="F179" s="266"/>
      <c r="G179" s="209"/>
      <c r="H179" s="209"/>
      <c r="I179" s="209"/>
      <c r="J179" s="209"/>
      <c r="K179" s="209"/>
    </row>
    <row r="180" spans="3:11">
      <c r="C180" s="17" t="s">
        <v>265</v>
      </c>
      <c r="D180" s="266">
        <v>4204538.7933134194</v>
      </c>
      <c r="E180" s="266">
        <v>5390705.3919355161</v>
      </c>
      <c r="F180" s="266">
        <v>7358230.8148570871</v>
      </c>
      <c r="G180" s="209">
        <f>F180*(1+G208)</f>
        <v>7652560.0474513704</v>
      </c>
      <c r="H180" s="209">
        <f t="shared" ref="H180:K180" si="134">G180*(1+H208)</f>
        <v>7920399.6491121678</v>
      </c>
      <c r="I180" s="209">
        <f t="shared" si="134"/>
        <v>8158011.638585533</v>
      </c>
      <c r="J180" s="209">
        <f t="shared" si="134"/>
        <v>8402751.9877431002</v>
      </c>
      <c r="K180" s="209">
        <f t="shared" si="134"/>
        <v>8612820.7874366771</v>
      </c>
    </row>
    <row r="181" spans="3:11">
      <c r="C181" s="17" t="s">
        <v>264</v>
      </c>
      <c r="D181" s="266">
        <v>20656995.305049878</v>
      </c>
      <c r="E181" s="266">
        <v>30643019.79370448</v>
      </c>
      <c r="F181" s="266">
        <v>44728078.347532913</v>
      </c>
      <c r="G181" s="209">
        <f t="shared" ref="G181:K183" si="135">F181*(1+G209)</f>
        <v>50542728.532712184</v>
      </c>
      <c r="H181" s="209">
        <f t="shared" si="135"/>
        <v>56607855.956637651</v>
      </c>
      <c r="I181" s="209">
        <f t="shared" si="135"/>
        <v>62834720.1118678</v>
      </c>
      <c r="J181" s="209">
        <f t="shared" si="135"/>
        <v>69432365.723613918</v>
      </c>
      <c r="K181" s="209">
        <f t="shared" si="135"/>
        <v>76375602.295975313</v>
      </c>
    </row>
    <row r="182" spans="3:11">
      <c r="C182" s="13" t="s">
        <v>261</v>
      </c>
      <c r="D182" s="266"/>
      <c r="E182" s="266"/>
      <c r="F182" s="266"/>
      <c r="G182" s="209"/>
      <c r="H182" s="209"/>
      <c r="I182" s="209"/>
      <c r="J182" s="209"/>
      <c r="K182" s="209"/>
    </row>
    <row r="183" spans="3:11">
      <c r="C183" s="17" t="s">
        <v>265</v>
      </c>
      <c r="D183" s="266">
        <v>1644935.4184166999</v>
      </c>
      <c r="E183" s="266">
        <v>1831604.75719</v>
      </c>
      <c r="F183" s="266">
        <v>2205443.5842200001</v>
      </c>
      <c r="G183" s="209">
        <f t="shared" si="135"/>
        <v>2293661.3275888003</v>
      </c>
      <c r="H183" s="209">
        <f t="shared" si="135"/>
        <v>2373939.4740544083</v>
      </c>
      <c r="I183" s="209">
        <f t="shared" si="135"/>
        <v>2445157.6582760406</v>
      </c>
      <c r="J183" s="209">
        <f t="shared" si="135"/>
        <v>2518512.3880243218</v>
      </c>
      <c r="K183" s="209">
        <f t="shared" si="135"/>
        <v>2581475.1977249295</v>
      </c>
    </row>
    <row r="184" spans="3:11">
      <c r="C184" s="17" t="s">
        <v>264</v>
      </c>
      <c r="D184" s="266">
        <v>903228.29083000007</v>
      </c>
      <c r="E184" s="266">
        <v>1298404.1615200001</v>
      </c>
      <c r="F184" s="266">
        <v>1966247.3538299999</v>
      </c>
      <c r="G184" s="209">
        <f t="shared" ref="G184:K184" si="136">F184*(1+G212)</f>
        <v>2241521.9833662002</v>
      </c>
      <c r="H184" s="209">
        <f t="shared" si="136"/>
        <v>2521712.2312869751</v>
      </c>
      <c r="I184" s="209">
        <f t="shared" si="136"/>
        <v>2811709.1378849773</v>
      </c>
      <c r="J184" s="209">
        <f t="shared" si="136"/>
        <v>3120997.1430523251</v>
      </c>
      <c r="K184" s="209">
        <f t="shared" si="136"/>
        <v>3448701.8430728191</v>
      </c>
    </row>
    <row r="185" spans="3:11">
      <c r="C185" s="17" t="s">
        <v>266</v>
      </c>
      <c r="D185" s="266">
        <v>3865181.0927800001</v>
      </c>
      <c r="E185" s="266">
        <v>5181676.4358699992</v>
      </c>
      <c r="F185" s="266">
        <v>5616543.8498899993</v>
      </c>
      <c r="G185" s="209">
        <f t="shared" ref="G185:K185" si="137">F185*(1+G213)</f>
        <v>5953536.4808834</v>
      </c>
      <c r="H185" s="209">
        <f t="shared" si="137"/>
        <v>6310748.669736404</v>
      </c>
      <c r="I185" s="209">
        <f t="shared" si="137"/>
        <v>6657839.8465719055</v>
      </c>
      <c r="J185" s="209">
        <f t="shared" si="137"/>
        <v>6990731.8389005009</v>
      </c>
      <c r="K185" s="209">
        <f t="shared" si="137"/>
        <v>7340268.430845526</v>
      </c>
    </row>
    <row r="186" spans="3:11">
      <c r="C186" s="40" t="s">
        <v>267</v>
      </c>
      <c r="D186" s="265">
        <f t="shared" ref="D186:E186" si="138">SUM(D180:D185)</f>
        <v>31274878.900389999</v>
      </c>
      <c r="E186" s="265">
        <f t="shared" si="138"/>
        <v>44345410.540219985</v>
      </c>
      <c r="F186" s="265">
        <f>SUM(F180:F185)</f>
        <v>61874543.950330004</v>
      </c>
      <c r="G186" s="265">
        <f t="shared" ref="G186:K186" si="139">SUM(G180:G185)</f>
        <v>68684008.372001946</v>
      </c>
      <c r="H186" s="265">
        <f t="shared" si="139"/>
        <v>75734655.9808276</v>
      </c>
      <c r="I186" s="265">
        <f t="shared" si="139"/>
        <v>82907438.393186256</v>
      </c>
      <c r="J186" s="265">
        <f t="shared" si="139"/>
        <v>90465359.081334159</v>
      </c>
      <c r="K186" s="265">
        <f t="shared" si="139"/>
        <v>98358868.555055261</v>
      </c>
    </row>
    <row r="187" spans="3:11">
      <c r="C187" s="249"/>
      <c r="D187" s="209"/>
      <c r="E187" s="209"/>
      <c r="F187" s="209"/>
      <c r="G187" s="209"/>
      <c r="H187" s="209"/>
      <c r="I187" s="209"/>
      <c r="J187" s="209"/>
      <c r="K187" s="209"/>
    </row>
    <row r="188" spans="3:11">
      <c r="C188" s="264" t="s">
        <v>268</v>
      </c>
      <c r="D188" s="209"/>
      <c r="E188" s="209"/>
      <c r="F188" s="209"/>
      <c r="G188" s="209"/>
      <c r="H188" s="209"/>
      <c r="I188" s="209"/>
      <c r="J188" s="209"/>
      <c r="K188" s="209"/>
    </row>
    <row r="189" spans="3:11">
      <c r="C189" s="13" t="s">
        <v>262</v>
      </c>
      <c r="D189" s="266"/>
      <c r="E189" s="266"/>
      <c r="F189" s="266"/>
      <c r="G189" s="209"/>
      <c r="H189" s="209"/>
      <c r="I189" s="209"/>
      <c r="J189" s="209"/>
      <c r="K189" s="209"/>
    </row>
    <row r="190" spans="3:11">
      <c r="C190" s="17" t="s">
        <v>269</v>
      </c>
      <c r="D190" s="266">
        <v>7617442.6226000004</v>
      </c>
      <c r="E190" s="266">
        <v>9214890.97786</v>
      </c>
      <c r="F190" s="266">
        <v>10201987.4791</v>
      </c>
      <c r="G190" s="209">
        <f>F190*(1+G217)</f>
        <v>11222186.22701</v>
      </c>
      <c r="H190" s="209">
        <f t="shared" ref="H190:K190" si="140">G190*(1+H217)</f>
        <v>12288293.91857595</v>
      </c>
      <c r="I190" s="209">
        <f t="shared" si="140"/>
        <v>13394240.371247787</v>
      </c>
      <c r="J190" s="209">
        <f t="shared" si="140"/>
        <v>14599722.004660089</v>
      </c>
      <c r="K190" s="209">
        <f t="shared" si="140"/>
        <v>15840698.375056196</v>
      </c>
    </row>
    <row r="191" spans="3:11">
      <c r="C191" s="17" t="s">
        <v>270</v>
      </c>
      <c r="D191" s="266">
        <v>37827.171979999999</v>
      </c>
      <c r="E191" s="266">
        <v>78234.962660000005</v>
      </c>
      <c r="F191" s="266">
        <v>91556.417400000006</v>
      </c>
      <c r="G191" s="209">
        <f t="shared" ref="G191:K191" si="141">F191*(1+G218)</f>
        <v>92471.981574000005</v>
      </c>
      <c r="H191" s="209">
        <f t="shared" si="141"/>
        <v>93396.701389740003</v>
      </c>
      <c r="I191" s="209">
        <f t="shared" si="141"/>
        <v>93863.68489668869</v>
      </c>
      <c r="J191" s="209">
        <f t="shared" si="141"/>
        <v>94333.003321172117</v>
      </c>
      <c r="K191" s="209">
        <f t="shared" si="141"/>
        <v>94333.003321172117</v>
      </c>
    </row>
    <row r="192" spans="3:11">
      <c r="C192" s="13" t="s">
        <v>271</v>
      </c>
      <c r="D192" s="266"/>
      <c r="E192" s="266"/>
      <c r="F192" s="266"/>
      <c r="G192" s="209"/>
      <c r="H192" s="209"/>
      <c r="I192" s="209"/>
      <c r="J192" s="209"/>
      <c r="K192" s="209"/>
    </row>
    <row r="193" spans="3:11">
      <c r="C193" s="17" t="s">
        <v>272</v>
      </c>
      <c r="D193" s="266">
        <v>1670785.6376700001</v>
      </c>
      <c r="E193" s="266">
        <v>3009603.1589199998</v>
      </c>
      <c r="F193" s="266">
        <v>3928945.4565300001</v>
      </c>
      <c r="G193" s="209">
        <f>F193*(1+G220)</f>
        <v>4203971.6384871006</v>
      </c>
      <c r="H193" s="209">
        <f t="shared" ref="H193:K193" si="142">G193*(1+H220)</f>
        <v>4477229.7949887617</v>
      </c>
      <c r="I193" s="209">
        <f t="shared" si="142"/>
        <v>4745863.5826880876</v>
      </c>
      <c r="J193" s="209">
        <f t="shared" si="142"/>
        <v>5006886.0797359319</v>
      </c>
      <c r="K193" s="209">
        <f t="shared" si="142"/>
        <v>5257230.383722729</v>
      </c>
    </row>
    <row r="194" spans="3:11">
      <c r="C194" s="17" t="s">
        <v>273</v>
      </c>
      <c r="D194" s="266">
        <v>5988611.9511799999</v>
      </c>
      <c r="E194" s="266">
        <v>10056071.331359999</v>
      </c>
      <c r="F194" s="266">
        <v>13081315.44379</v>
      </c>
      <c r="G194" s="209">
        <f t="shared" ref="G194:K194" si="143">F194*(1+G221)</f>
        <v>13473754.907103701</v>
      </c>
      <c r="H194" s="209">
        <f t="shared" si="143"/>
        <v>13810598.779781291</v>
      </c>
      <c r="I194" s="209">
        <f t="shared" si="143"/>
        <v>14086810.755376918</v>
      </c>
      <c r="J194" s="209">
        <f t="shared" si="143"/>
        <v>14298112.91670757</v>
      </c>
      <c r="K194" s="209">
        <f t="shared" si="143"/>
        <v>14441094.045874646</v>
      </c>
    </row>
    <row r="195" spans="3:11">
      <c r="C195" s="17" t="s">
        <v>274</v>
      </c>
      <c r="D195" s="266">
        <v>457469.14986999996</v>
      </c>
      <c r="E195" s="266">
        <v>1144600.20579</v>
      </c>
      <c r="F195" s="266">
        <v>1191979.8026699999</v>
      </c>
      <c r="G195" s="209">
        <f t="shared" ref="G195:K197" si="144">F195*(1+G222)</f>
        <v>1191979.8026699999</v>
      </c>
      <c r="H195" s="209">
        <f t="shared" si="144"/>
        <v>1186019.9036566499</v>
      </c>
      <c r="I195" s="209">
        <f t="shared" si="144"/>
        <v>1174159.7046200833</v>
      </c>
      <c r="J195" s="209">
        <f t="shared" si="144"/>
        <v>1162418.1075738824</v>
      </c>
      <c r="K195" s="209">
        <f t="shared" si="144"/>
        <v>1144981.8359602741</v>
      </c>
    </row>
    <row r="196" spans="3:11">
      <c r="C196" s="13" t="s">
        <v>275</v>
      </c>
      <c r="D196" s="266"/>
      <c r="E196" s="266"/>
      <c r="F196" s="266"/>
      <c r="G196" s="209"/>
      <c r="H196" s="209"/>
      <c r="I196" s="209"/>
      <c r="J196" s="209"/>
      <c r="K196" s="209"/>
    </row>
    <row r="197" spans="3:11">
      <c r="C197" s="17" t="s">
        <v>276</v>
      </c>
      <c r="D197" s="266">
        <v>3990004.2176000001</v>
      </c>
      <c r="E197" s="266">
        <v>4795150.7058000006</v>
      </c>
      <c r="F197" s="266">
        <v>6262684.0937999999</v>
      </c>
      <c r="G197" s="209">
        <f t="shared" si="144"/>
        <v>6701071.980366</v>
      </c>
      <c r="H197" s="209">
        <f t="shared" ref="H197:K197" si="145">G197*(1+H224)</f>
        <v>7136641.6590897897</v>
      </c>
      <c r="I197" s="209">
        <f t="shared" si="145"/>
        <v>7564840.1586351776</v>
      </c>
      <c r="J197" s="209">
        <f t="shared" si="145"/>
        <v>8018730.5681532891</v>
      </c>
      <c r="K197" s="209">
        <f t="shared" si="145"/>
        <v>8499854.4022424873</v>
      </c>
    </row>
    <row r="198" spans="3:11">
      <c r="C198" s="17" t="s">
        <v>279</v>
      </c>
      <c r="D198" s="266">
        <v>1299046.1770299999</v>
      </c>
      <c r="E198" s="266">
        <v>1890911.9769700002</v>
      </c>
      <c r="F198" s="266">
        <v>2104042.4156999998</v>
      </c>
      <c r="G198" s="209">
        <f t="shared" ref="G198:K198" si="146">F198*(1+G225)</f>
        <v>2198724.3244064995</v>
      </c>
      <c r="H198" s="209">
        <f t="shared" si="146"/>
        <v>2297666.9190047919</v>
      </c>
      <c r="I198" s="209">
        <f t="shared" si="146"/>
        <v>2401061.9303600076</v>
      </c>
      <c r="J198" s="209">
        <f t="shared" si="146"/>
        <v>2509109.7172262077</v>
      </c>
      <c r="K198" s="209">
        <f t="shared" si="146"/>
        <v>2622019.6545013869</v>
      </c>
    </row>
    <row r="199" spans="3:11">
      <c r="C199" s="17" t="s">
        <v>277</v>
      </c>
      <c r="D199" s="266">
        <v>2600840.1670899997</v>
      </c>
      <c r="E199" s="266">
        <v>3940398.3364100005</v>
      </c>
      <c r="F199" s="266">
        <v>3664563.8253131998</v>
      </c>
      <c r="G199" s="209">
        <f t="shared" ref="G199:K199" si="147">F199*(1+G226)</f>
        <v>3957728.9313382562</v>
      </c>
      <c r="H199" s="209">
        <f t="shared" si="147"/>
        <v>4254558.6011886252</v>
      </c>
      <c r="I199" s="209">
        <f t="shared" si="147"/>
        <v>4552377.7032718295</v>
      </c>
      <c r="J199" s="209">
        <f t="shared" si="147"/>
        <v>4871044.1425008578</v>
      </c>
      <c r="K199" s="209">
        <f t="shared" si="147"/>
        <v>5212017.2324759178</v>
      </c>
    </row>
    <row r="200" spans="3:11">
      <c r="C200" s="17" t="s">
        <v>278</v>
      </c>
      <c r="D200" s="266">
        <v>0</v>
      </c>
      <c r="E200" s="266">
        <v>529619.73418999999</v>
      </c>
      <c r="F200" s="266">
        <v>1540821.9187800002</v>
      </c>
      <c r="G200" s="209">
        <f t="shared" ref="G200:K200" si="148">F200*(1+G227)</f>
        <v>1540821.9187800002</v>
      </c>
      <c r="H200" s="209">
        <f t="shared" si="148"/>
        <v>1540821.9187800002</v>
      </c>
      <c r="I200" s="209">
        <f t="shared" si="148"/>
        <v>1540821.9187800002</v>
      </c>
      <c r="J200" s="209">
        <f t="shared" si="148"/>
        <v>1540821.9187800002</v>
      </c>
      <c r="K200" s="209">
        <f t="shared" si="148"/>
        <v>1540821.9187800002</v>
      </c>
    </row>
    <row r="201" spans="3:11">
      <c r="C201" s="17" t="s">
        <v>282</v>
      </c>
      <c r="D201" s="266">
        <v>1742249</v>
      </c>
      <c r="E201" s="266">
        <v>2672918</v>
      </c>
      <c r="F201" s="266">
        <v>2730505</v>
      </c>
      <c r="G201" s="209">
        <f t="shared" ref="G201:K201" si="149">F201*(1+G228)</f>
        <v>2839725.2</v>
      </c>
      <c r="H201" s="209">
        <f t="shared" si="149"/>
        <v>2939115.5819999999</v>
      </c>
      <c r="I201" s="209">
        <f t="shared" si="149"/>
        <v>3041984.6273699999</v>
      </c>
      <c r="J201" s="209">
        <f t="shared" si="149"/>
        <v>3133244.1661911001</v>
      </c>
      <c r="K201" s="209">
        <f t="shared" si="149"/>
        <v>3227241.4911768334</v>
      </c>
    </row>
    <row r="202" spans="3:11">
      <c r="C202" s="16" t="s">
        <v>280</v>
      </c>
      <c r="D202" s="265">
        <f t="shared" ref="D202:E202" si="150">SUM(D190:D201)</f>
        <v>25404276.09502</v>
      </c>
      <c r="E202" s="265">
        <f t="shared" si="150"/>
        <v>37332399.389959998</v>
      </c>
      <c r="F202" s="265">
        <f>SUM(F190:F201)</f>
        <v>44798401.853083201</v>
      </c>
      <c r="G202" s="265">
        <f t="shared" ref="G202:K202" si="151">SUM(G190:G201)</f>
        <v>47422436.911735557</v>
      </c>
      <c r="H202" s="265">
        <f t="shared" si="151"/>
        <v>50024343.7784556</v>
      </c>
      <c r="I202" s="265">
        <f t="shared" si="151"/>
        <v>52596024.437246576</v>
      </c>
      <c r="J202" s="265">
        <f t="shared" si="151"/>
        <v>55234422.624850102</v>
      </c>
      <c r="K202" s="265">
        <f t="shared" si="151"/>
        <v>57880292.343111642</v>
      </c>
    </row>
    <row r="203" spans="3:11">
      <c r="C203" s="16" t="s">
        <v>281</v>
      </c>
      <c r="D203" s="220">
        <f t="shared" ref="D203:E203" si="152">D186+D202</f>
        <v>56679154.995409995</v>
      </c>
      <c r="E203" s="220">
        <f t="shared" si="152"/>
        <v>81677809.930179983</v>
      </c>
      <c r="F203" s="220">
        <f>F186+F202</f>
        <v>106672945.80341321</v>
      </c>
      <c r="G203" s="220">
        <f t="shared" ref="G203:K203" si="153">G186+G202</f>
        <v>116106445.28373751</v>
      </c>
      <c r="H203" s="220">
        <f t="shared" si="153"/>
        <v>125758999.7592832</v>
      </c>
      <c r="I203" s="220">
        <f t="shared" si="153"/>
        <v>135503462.83043283</v>
      </c>
      <c r="J203" s="220">
        <f t="shared" si="153"/>
        <v>145699781.70618427</v>
      </c>
      <c r="K203" s="220">
        <f t="shared" si="153"/>
        <v>156239160.89816689</v>
      </c>
    </row>
    <row r="204" spans="3:11">
      <c r="C204" s="6" t="s">
        <v>213</v>
      </c>
      <c r="D204" s="209">
        <f t="shared" ref="D204:K204" si="154">D203-D16</f>
        <v>1.9954099953174591</v>
      </c>
      <c r="E204" s="209">
        <f t="shared" si="154"/>
        <v>-2.0698200166225433</v>
      </c>
      <c r="F204" s="209">
        <f t="shared" si="154"/>
        <v>-0.19658678770065308</v>
      </c>
      <c r="G204" s="209">
        <f t="shared" si="154"/>
        <v>0</v>
      </c>
      <c r="H204" s="209">
        <f t="shared" si="154"/>
        <v>0</v>
      </c>
      <c r="I204" s="209">
        <f t="shared" si="154"/>
        <v>0</v>
      </c>
      <c r="J204" s="209">
        <f t="shared" si="154"/>
        <v>0</v>
      </c>
      <c r="K204" s="209">
        <f t="shared" si="154"/>
        <v>0</v>
      </c>
    </row>
    <row r="205" spans="3:11">
      <c r="D205" s="209"/>
      <c r="E205" s="209"/>
      <c r="F205" s="209"/>
      <c r="G205" s="209"/>
      <c r="H205" s="209"/>
      <c r="I205" s="209"/>
      <c r="J205" s="209"/>
      <c r="K205" s="209"/>
    </row>
    <row r="206" spans="3:11">
      <c r="C206" s="263" t="s">
        <v>263</v>
      </c>
      <c r="D206" s="6"/>
    </row>
    <row r="207" spans="3:11">
      <c r="C207" s="13" t="s">
        <v>260</v>
      </c>
      <c r="E207" s="1"/>
      <c r="F207" s="1"/>
      <c r="G207" s="224"/>
      <c r="H207" s="224"/>
      <c r="I207" s="224"/>
      <c r="J207" s="224"/>
      <c r="K207" s="224"/>
    </row>
    <row r="208" spans="3:11">
      <c r="C208" s="17" t="s">
        <v>265</v>
      </c>
      <c r="E208" s="1">
        <f>E180/D180-1</f>
        <v>0.28211574608575063</v>
      </c>
      <c r="F208" s="1">
        <f t="shared" ref="F208" si="155">F180/E180-1</f>
        <v>0.36498478025992376</v>
      </c>
      <c r="G208" s="224">
        <v>0.04</v>
      </c>
      <c r="H208" s="224">
        <v>3.5000000000000003E-2</v>
      </c>
      <c r="I208" s="224">
        <v>0.03</v>
      </c>
      <c r="J208" s="224">
        <v>0.03</v>
      </c>
      <c r="K208" s="224">
        <v>2.5000000000000001E-2</v>
      </c>
    </row>
    <row r="209" spans="3:11">
      <c r="C209" s="17" t="s">
        <v>264</v>
      </c>
      <c r="E209" s="1">
        <f t="shared" ref="E209:F213" si="156">E181/D181-1</f>
        <v>0.48342095939835872</v>
      </c>
      <c r="F209" s="1">
        <f t="shared" si="156"/>
        <v>0.45964982069822535</v>
      </c>
      <c r="G209" s="224">
        <v>0.13</v>
      </c>
      <c r="H209" s="224">
        <v>0.12</v>
      </c>
      <c r="I209" s="224">
        <v>0.11</v>
      </c>
      <c r="J209" s="224">
        <v>0.105</v>
      </c>
      <c r="K209" s="224">
        <v>0.1</v>
      </c>
    </row>
    <row r="210" spans="3:11">
      <c r="C210" s="13" t="s">
        <v>261</v>
      </c>
      <c r="E210" s="1"/>
      <c r="F210" s="1"/>
      <c r="G210" s="224"/>
      <c r="H210" s="224"/>
      <c r="I210" s="224"/>
      <c r="J210" s="224"/>
      <c r="K210" s="224"/>
    </row>
    <row r="211" spans="3:11">
      <c r="C211" s="17" t="s">
        <v>265</v>
      </c>
      <c r="E211" s="1">
        <f t="shared" si="156"/>
        <v>0.11348125688300592</v>
      </c>
      <c r="F211" s="1">
        <f t="shared" si="156"/>
        <v>0.20410452940924539</v>
      </c>
      <c r="G211" s="224">
        <v>0.04</v>
      </c>
      <c r="H211" s="224">
        <v>3.5000000000000003E-2</v>
      </c>
      <c r="I211" s="224">
        <v>0.03</v>
      </c>
      <c r="J211" s="224">
        <v>0.03</v>
      </c>
      <c r="K211" s="224">
        <v>2.5000000000000001E-2</v>
      </c>
    </row>
    <row r="212" spans="3:11">
      <c r="C212" s="17" t="s">
        <v>264</v>
      </c>
      <c r="E212" s="1">
        <f t="shared" si="156"/>
        <v>0.43751493913777062</v>
      </c>
      <c r="F212" s="1">
        <f t="shared" si="156"/>
        <v>0.51435694069878624</v>
      </c>
      <c r="G212" s="224">
        <v>0.14000000000000001</v>
      </c>
      <c r="H212" s="224">
        <v>0.125</v>
      </c>
      <c r="I212" s="224">
        <v>0.115</v>
      </c>
      <c r="J212" s="224">
        <v>0.11</v>
      </c>
      <c r="K212" s="224">
        <v>0.105</v>
      </c>
    </row>
    <row r="213" spans="3:11">
      <c r="C213" s="17" t="s">
        <v>266</v>
      </c>
      <c r="E213" s="1">
        <f t="shared" si="156"/>
        <v>0.34060379358399495</v>
      </c>
      <c r="F213" s="1">
        <f t="shared" si="156"/>
        <v>8.3924077352580895E-2</v>
      </c>
      <c r="G213" s="224">
        <v>0.06</v>
      </c>
      <c r="H213" s="224">
        <v>0.06</v>
      </c>
      <c r="I213" s="224">
        <v>5.5E-2</v>
      </c>
      <c r="J213" s="224">
        <v>0.05</v>
      </c>
      <c r="K213" s="224">
        <v>0.05</v>
      </c>
    </row>
    <row r="214" spans="3:11">
      <c r="E214" s="1"/>
      <c r="F214" s="1"/>
      <c r="G214" s="224"/>
      <c r="H214" s="224"/>
      <c r="I214" s="224"/>
      <c r="J214" s="224"/>
      <c r="K214" s="224"/>
    </row>
    <row r="215" spans="3:11">
      <c r="C215" s="264" t="s">
        <v>268</v>
      </c>
      <c r="E215" s="1"/>
      <c r="F215" s="1"/>
      <c r="G215" s="224"/>
      <c r="H215" s="224"/>
      <c r="I215" s="224"/>
      <c r="J215" s="224"/>
      <c r="K215" s="224"/>
    </row>
    <row r="216" spans="3:11">
      <c r="C216" s="13" t="s">
        <v>262</v>
      </c>
      <c r="E216" s="1"/>
      <c r="F216" s="1"/>
      <c r="G216" s="224"/>
      <c r="H216" s="224"/>
      <c r="I216" s="224"/>
      <c r="J216" s="224"/>
      <c r="K216" s="224"/>
    </row>
    <row r="217" spans="3:11">
      <c r="C217" s="17" t="s">
        <v>269</v>
      </c>
      <c r="E217" s="1">
        <f>E190/D190-1</f>
        <v>0.20970927309915921</v>
      </c>
      <c r="F217" s="1">
        <f t="shared" ref="F217" si="157">F190/E190-1</f>
        <v>0.1071197156441277</v>
      </c>
      <c r="G217" s="224">
        <v>0.1</v>
      </c>
      <c r="H217" s="224">
        <v>9.5000000000000001E-2</v>
      </c>
      <c r="I217" s="224">
        <v>0.09</v>
      </c>
      <c r="J217" s="224">
        <v>0.09</v>
      </c>
      <c r="K217" s="224">
        <v>8.5000000000000006E-2</v>
      </c>
    </row>
    <row r="218" spans="3:11">
      <c r="C218" s="17" t="s">
        <v>270</v>
      </c>
      <c r="E218" s="1">
        <f t="shared" ref="E218:F228" si="158">E191/D191-1</f>
        <v>1.0682212960927777</v>
      </c>
      <c r="F218" s="1">
        <f t="shared" si="158"/>
        <v>0.17027495491872968</v>
      </c>
      <c r="G218" s="224">
        <v>0.01</v>
      </c>
      <c r="H218" s="224">
        <v>0.01</v>
      </c>
      <c r="I218" s="224">
        <v>5.0000000000000001E-3</v>
      </c>
      <c r="J218" s="224">
        <v>5.0000000000000001E-3</v>
      </c>
      <c r="K218" s="224">
        <v>0</v>
      </c>
    </row>
    <row r="219" spans="3:11">
      <c r="C219" s="13" t="s">
        <v>271</v>
      </c>
      <c r="E219" s="1"/>
      <c r="F219" s="1"/>
      <c r="G219" s="224"/>
      <c r="H219" s="224"/>
      <c r="I219" s="224"/>
      <c r="J219" s="224"/>
      <c r="K219" s="224"/>
    </row>
    <row r="220" spans="3:11">
      <c r="C220" s="17" t="s">
        <v>272</v>
      </c>
      <c r="E220" s="1">
        <f t="shared" si="158"/>
        <v>0.80131016874016958</v>
      </c>
      <c r="F220" s="1">
        <f t="shared" si="158"/>
        <v>0.3054696081392696</v>
      </c>
      <c r="G220" s="224">
        <v>7.0000000000000007E-2</v>
      </c>
      <c r="H220" s="224">
        <v>6.5000000000000002E-2</v>
      </c>
      <c r="I220" s="224">
        <v>0.06</v>
      </c>
      <c r="J220" s="224">
        <v>5.5E-2</v>
      </c>
      <c r="K220" s="224">
        <v>0.05</v>
      </c>
    </row>
    <row r="221" spans="3:11">
      <c r="C221" s="17" t="s">
        <v>273</v>
      </c>
      <c r="E221" s="1">
        <f t="shared" si="158"/>
        <v>0.67919902196677562</v>
      </c>
      <c r="F221" s="1">
        <f t="shared" si="158"/>
        <v>0.30083757490817864</v>
      </c>
      <c r="G221" s="224">
        <v>0.03</v>
      </c>
      <c r="H221" s="224">
        <v>2.5000000000000001E-2</v>
      </c>
      <c r="I221" s="224">
        <v>0.02</v>
      </c>
      <c r="J221" s="224">
        <v>1.4999999999999999E-2</v>
      </c>
      <c r="K221" s="224">
        <v>0.01</v>
      </c>
    </row>
    <row r="222" spans="3:11">
      <c r="C222" s="17" t="s">
        <v>274</v>
      </c>
      <c r="E222" s="1">
        <f t="shared" si="158"/>
        <v>1.5020270899475161</v>
      </c>
      <c r="F222" s="1">
        <f t="shared" si="158"/>
        <v>4.1394013945068808E-2</v>
      </c>
      <c r="G222" s="224">
        <v>0</v>
      </c>
      <c r="H222" s="224">
        <v>-5.0000000000000001E-3</v>
      </c>
      <c r="I222" s="224">
        <v>-0.01</v>
      </c>
      <c r="J222" s="224">
        <v>-0.01</v>
      </c>
      <c r="K222" s="224">
        <v>-1.4999999999999999E-2</v>
      </c>
    </row>
    <row r="223" spans="3:11">
      <c r="C223" s="13" t="s">
        <v>275</v>
      </c>
      <c r="E223" s="1"/>
      <c r="F223" s="1"/>
      <c r="G223" s="224"/>
      <c r="H223" s="224"/>
      <c r="I223" s="224"/>
      <c r="J223" s="224"/>
      <c r="K223" s="224"/>
    </row>
    <row r="224" spans="3:11">
      <c r="C224" s="17" t="s">
        <v>276</v>
      </c>
      <c r="E224" s="1">
        <f t="shared" si="158"/>
        <v>0.20179088649793431</v>
      </c>
      <c r="F224" s="1">
        <f t="shared" si="158"/>
        <v>0.30604531078135588</v>
      </c>
      <c r="G224" s="224">
        <v>7.0000000000000007E-2</v>
      </c>
      <c r="H224" s="224">
        <v>6.5000000000000002E-2</v>
      </c>
      <c r="I224" s="224">
        <v>0.06</v>
      </c>
      <c r="J224" s="224">
        <v>0.06</v>
      </c>
      <c r="K224" s="224">
        <v>0.06</v>
      </c>
    </row>
    <row r="225" spans="3:11">
      <c r="C225" s="17" t="s">
        <v>279</v>
      </c>
      <c r="E225" s="1">
        <f t="shared" si="158"/>
        <v>0.45561567433513317</v>
      </c>
      <c r="F225" s="1">
        <f t="shared" si="158"/>
        <v>0.1127130407579946</v>
      </c>
      <c r="G225" s="224">
        <v>4.4999999999999998E-2</v>
      </c>
      <c r="H225" s="224">
        <f>G225</f>
        <v>4.4999999999999998E-2</v>
      </c>
      <c r="I225" s="224">
        <f t="shared" ref="I225:K225" si="159">H225</f>
        <v>4.4999999999999998E-2</v>
      </c>
      <c r="J225" s="224">
        <f t="shared" si="159"/>
        <v>4.4999999999999998E-2</v>
      </c>
      <c r="K225" s="224">
        <f t="shared" si="159"/>
        <v>4.4999999999999998E-2</v>
      </c>
    </row>
    <row r="226" spans="3:11">
      <c r="C226" s="17" t="s">
        <v>277</v>
      </c>
      <c r="E226" s="1">
        <f t="shared" si="158"/>
        <v>0.51504824720497577</v>
      </c>
      <c r="F226" s="1">
        <f t="shared" si="158"/>
        <v>-7.0001681948761219E-2</v>
      </c>
      <c r="G226" s="224">
        <v>0.08</v>
      </c>
      <c r="H226" s="224">
        <v>7.4999999999999997E-2</v>
      </c>
      <c r="I226" s="224">
        <v>7.0000000000000007E-2</v>
      </c>
      <c r="J226" s="224">
        <v>7.0000000000000007E-2</v>
      </c>
      <c r="K226" s="224">
        <f>J226</f>
        <v>7.0000000000000007E-2</v>
      </c>
    </row>
    <row r="227" spans="3:11">
      <c r="C227" s="17" t="s">
        <v>278</v>
      </c>
      <c r="E227" s="1"/>
      <c r="F227" s="1">
        <f t="shared" si="158"/>
        <v>1.9092985387648596</v>
      </c>
      <c r="G227" s="224">
        <v>0</v>
      </c>
      <c r="H227" s="224">
        <v>0</v>
      </c>
      <c r="I227" s="224">
        <v>0</v>
      </c>
      <c r="J227" s="224">
        <v>0</v>
      </c>
      <c r="K227" s="224">
        <v>0</v>
      </c>
    </row>
    <row r="228" spans="3:11">
      <c r="C228" s="17" t="s">
        <v>282</v>
      </c>
      <c r="E228" s="1">
        <f t="shared" si="158"/>
        <v>0.53417680251215516</v>
      </c>
      <c r="F228" s="1">
        <f t="shared" si="158"/>
        <v>2.1544619026846235E-2</v>
      </c>
      <c r="G228" s="224">
        <v>0.04</v>
      </c>
      <c r="H228" s="224">
        <v>3.5000000000000003E-2</v>
      </c>
      <c r="I228" s="224">
        <v>3.5000000000000003E-2</v>
      </c>
      <c r="J228" s="224">
        <v>0.03</v>
      </c>
      <c r="K228" s="224">
        <v>0.03</v>
      </c>
    </row>
    <row r="229" spans="3:11">
      <c r="G229" s="221"/>
      <c r="H229" s="221"/>
      <c r="I229" s="221"/>
      <c r="J229" s="221"/>
      <c r="K229" s="221"/>
    </row>
    <row r="230" spans="3:11">
      <c r="C230" s="13" t="s">
        <v>166</v>
      </c>
    </row>
    <row r="231" spans="3:11">
      <c r="C231" s="51" t="s">
        <v>45</v>
      </c>
      <c r="D231" s="52">
        <f t="shared" ref="D231:K231" si="160">D$13</f>
        <v>2023</v>
      </c>
      <c r="E231" s="52">
        <f t="shared" si="160"/>
        <v>2024</v>
      </c>
      <c r="F231" s="52">
        <f t="shared" si="160"/>
        <v>2025</v>
      </c>
      <c r="G231" s="53">
        <f t="shared" si="160"/>
        <v>2026</v>
      </c>
      <c r="H231" s="53">
        <f t="shared" si="160"/>
        <v>2027</v>
      </c>
      <c r="I231" s="53">
        <f t="shared" si="160"/>
        <v>2028</v>
      </c>
      <c r="J231" s="53">
        <f t="shared" si="160"/>
        <v>2029</v>
      </c>
      <c r="K231" s="53">
        <f t="shared" si="160"/>
        <v>2030</v>
      </c>
    </row>
    <row r="232" spans="3:11">
      <c r="C232" s="45" t="s">
        <v>46</v>
      </c>
      <c r="D232" s="46">
        <f t="shared" ref="D232:K232" si="161">D$14</f>
        <v>45291</v>
      </c>
      <c r="E232" s="46">
        <f t="shared" si="161"/>
        <v>45657</v>
      </c>
      <c r="F232" s="46">
        <f t="shared" si="161"/>
        <v>46022</v>
      </c>
      <c r="G232" s="46">
        <f t="shared" si="161"/>
        <v>46387</v>
      </c>
      <c r="H232" s="46">
        <f t="shared" si="161"/>
        <v>46752</v>
      </c>
      <c r="I232" s="46">
        <f t="shared" si="161"/>
        <v>47118</v>
      </c>
      <c r="J232" s="46">
        <f t="shared" si="161"/>
        <v>47483</v>
      </c>
      <c r="K232" s="46">
        <f t="shared" si="161"/>
        <v>47848</v>
      </c>
    </row>
    <row r="233" spans="3:11">
      <c r="D233" s="6"/>
    </row>
    <row r="234" spans="3:11">
      <c r="C234" s="13" t="s">
        <v>167</v>
      </c>
      <c r="D234" s="6"/>
    </row>
    <row r="235" spans="3:11">
      <c r="C235" s="17" t="s">
        <v>157</v>
      </c>
      <c r="D235" s="29">
        <f t="shared" ref="D235:F238" si="162">D59</f>
        <v>5080871</v>
      </c>
      <c r="E235" s="29">
        <f t="shared" si="162"/>
        <v>8106567</v>
      </c>
      <c r="F235" s="29">
        <f t="shared" si="162"/>
        <v>7389186</v>
      </c>
      <c r="G235" s="29">
        <f>$F235/$F$16*G$16</f>
        <v>8042640.1648301641</v>
      </c>
      <c r="H235" s="29">
        <f t="shared" ref="H235:K238" si="163">$F235/$F$16*H$16</f>
        <v>8711268.1822371222</v>
      </c>
      <c r="I235" s="29">
        <f t="shared" si="163"/>
        <v>9386262.6658698879</v>
      </c>
      <c r="J235" s="29">
        <f t="shared" si="163"/>
        <v>10092556.993657913</v>
      </c>
      <c r="K235" s="29">
        <f t="shared" si="163"/>
        <v>10822614.952065561</v>
      </c>
    </row>
    <row r="236" spans="3:11">
      <c r="C236" s="17" t="s">
        <v>241</v>
      </c>
      <c r="D236" s="29">
        <f t="shared" si="162"/>
        <v>10217719</v>
      </c>
      <c r="E236" s="29">
        <f t="shared" si="162"/>
        <v>17047503</v>
      </c>
      <c r="F236" s="29">
        <f t="shared" si="162"/>
        <v>18233545</v>
      </c>
      <c r="G236" s="29">
        <f t="shared" ref="G236:G238" si="164">$F236/$F$16*G$16</f>
        <v>19846007.579757527</v>
      </c>
      <c r="H236" s="29">
        <f t="shared" si="163"/>
        <v>21495913.136831142</v>
      </c>
      <c r="I236" s="29">
        <f t="shared" si="163"/>
        <v>23161528.577025745</v>
      </c>
      <c r="J236" s="29">
        <f t="shared" si="163"/>
        <v>24904379.468716346</v>
      </c>
      <c r="K236" s="29">
        <f t="shared" si="163"/>
        <v>26705869.46196242</v>
      </c>
    </row>
    <row r="237" spans="3:11">
      <c r="C237" s="17" t="s">
        <v>242</v>
      </c>
      <c r="D237" s="29">
        <f t="shared" si="162"/>
        <v>890660</v>
      </c>
      <c r="E237" s="29">
        <f t="shared" si="162"/>
        <v>740252</v>
      </c>
      <c r="F237" s="29">
        <f t="shared" si="162"/>
        <v>0</v>
      </c>
      <c r="G237" s="29">
        <f t="shared" si="164"/>
        <v>0</v>
      </c>
      <c r="H237" s="29">
        <f t="shared" si="163"/>
        <v>0</v>
      </c>
      <c r="I237" s="29">
        <f t="shared" si="163"/>
        <v>0</v>
      </c>
      <c r="J237" s="29">
        <f t="shared" si="163"/>
        <v>0</v>
      </c>
      <c r="K237" s="29">
        <f t="shared" si="163"/>
        <v>0</v>
      </c>
    </row>
    <row r="238" spans="3:11">
      <c r="C238" s="17" t="s">
        <v>243</v>
      </c>
      <c r="D238" s="29">
        <f t="shared" si="162"/>
        <v>7192489</v>
      </c>
      <c r="E238" s="29">
        <f t="shared" si="162"/>
        <v>8775367</v>
      </c>
      <c r="F238" s="29">
        <f t="shared" si="162"/>
        <v>7794388</v>
      </c>
      <c r="G238" s="29">
        <f t="shared" si="164"/>
        <v>8483675.7376347352</v>
      </c>
      <c r="H238" s="29">
        <f t="shared" si="163"/>
        <v>9188969.4188792706</v>
      </c>
      <c r="I238" s="29">
        <f t="shared" si="163"/>
        <v>9900978.6852982547</v>
      </c>
      <c r="J238" s="29">
        <f t="shared" si="163"/>
        <v>10646004.190540517</v>
      </c>
      <c r="K238" s="29">
        <f t="shared" si="163"/>
        <v>11416096.456497425</v>
      </c>
    </row>
    <row r="239" spans="3:11">
      <c r="C239" s="13" t="s">
        <v>168</v>
      </c>
      <c r="D239" s="226">
        <f>SUM(D235:D238)</f>
        <v>23381739</v>
      </c>
      <c r="E239" s="226">
        <f t="shared" ref="E239:F239" si="165">SUM(E235:E238)</f>
        <v>34669689</v>
      </c>
      <c r="F239" s="226">
        <f t="shared" si="165"/>
        <v>33417119</v>
      </c>
      <c r="G239" s="226">
        <f t="shared" ref="G239" si="166">SUM(G235:G238)</f>
        <v>36372323.482222423</v>
      </c>
      <c r="H239" s="226">
        <f t="shared" ref="H239" si="167">SUM(H235:H238)</f>
        <v>39396150.737947538</v>
      </c>
      <c r="I239" s="226">
        <f t="shared" ref="I239" si="168">SUM(I235:I238)</f>
        <v>42448769.92819389</v>
      </c>
      <c r="J239" s="226">
        <f t="shared" ref="J239" si="169">SUM(J235:J238)</f>
        <v>45642940.65291477</v>
      </c>
      <c r="K239" s="226">
        <f t="shared" ref="K239" si="170">SUM(K235:K238)</f>
        <v>48944580.870525405</v>
      </c>
    </row>
    <row r="240" spans="3:11">
      <c r="C240" s="13"/>
      <c r="E240" s="7"/>
      <c r="F240" s="7"/>
      <c r="G240" s="7"/>
      <c r="H240" s="7"/>
      <c r="I240" s="7"/>
      <c r="J240" s="7"/>
      <c r="K240" s="7"/>
    </row>
    <row r="241" spans="3:11">
      <c r="C241" s="13" t="s">
        <v>172</v>
      </c>
      <c r="E241" s="7"/>
      <c r="F241" s="7"/>
      <c r="G241" s="7"/>
      <c r="H241" s="7"/>
      <c r="I241" s="7"/>
      <c r="J241" s="7"/>
      <c r="K241" s="7"/>
    </row>
    <row r="242" spans="3:11">
      <c r="C242" s="17" t="s">
        <v>251</v>
      </c>
      <c r="D242" s="193">
        <f>D86</f>
        <v>31114668</v>
      </c>
      <c r="E242" s="193">
        <f>E86</f>
        <v>42138450</v>
      </c>
      <c r="F242" s="193">
        <f>F86</f>
        <v>45606004</v>
      </c>
      <c r="G242" s="29">
        <f>$F242/$F$16*G$16</f>
        <v>49639118.507479057</v>
      </c>
      <c r="H242" s="29">
        <f t="shared" ref="H242:K245" si="171">$F242/$F$16*H$16</f>
        <v>53765885.9262954</v>
      </c>
      <c r="I242" s="29">
        <f t="shared" si="171"/>
        <v>57931947.129861504</v>
      </c>
      <c r="J242" s="29">
        <f t="shared" si="171"/>
        <v>62291190.751321018</v>
      </c>
      <c r="K242" s="29">
        <f t="shared" si="171"/>
        <v>66797103.333758526</v>
      </c>
    </row>
    <row r="243" spans="3:11">
      <c r="C243" s="17" t="s">
        <v>254</v>
      </c>
      <c r="D243" s="193">
        <f t="shared" ref="D243:F245" si="172">D88</f>
        <v>1083772</v>
      </c>
      <c r="E243" s="193">
        <f t="shared" si="172"/>
        <v>2468657</v>
      </c>
      <c r="F243" s="193">
        <f t="shared" si="172"/>
        <v>4543996</v>
      </c>
      <c r="G243" s="29">
        <f t="shared" ref="G243:G245" si="173">$F243/$F$16*G$16</f>
        <v>4945839.0597323719</v>
      </c>
      <c r="H243" s="29">
        <f t="shared" si="171"/>
        <v>5357013.3131054975</v>
      </c>
      <c r="I243" s="29">
        <f t="shared" si="171"/>
        <v>5772102.6387293683</v>
      </c>
      <c r="J243" s="29">
        <f t="shared" si="171"/>
        <v>6206439.8715844452</v>
      </c>
      <c r="K243" s="29">
        <f t="shared" si="171"/>
        <v>6655390.6007679468</v>
      </c>
    </row>
    <row r="244" spans="3:11">
      <c r="C244" s="17" t="s">
        <v>255</v>
      </c>
      <c r="D244" s="193">
        <f t="shared" si="172"/>
        <v>0</v>
      </c>
      <c r="E244" s="193">
        <f t="shared" si="172"/>
        <v>0</v>
      </c>
      <c r="F244" s="193">
        <f t="shared" si="172"/>
        <v>1154155</v>
      </c>
      <c r="G244" s="29">
        <f t="shared" si="173"/>
        <v>1256221.3699099682</v>
      </c>
      <c r="H244" s="29">
        <f t="shared" si="171"/>
        <v>1360657.8219671133</v>
      </c>
      <c r="I244" s="29">
        <f t="shared" si="171"/>
        <v>1466088.6851578862</v>
      </c>
      <c r="J244" s="29">
        <f t="shared" si="171"/>
        <v>1576408.4321351836</v>
      </c>
      <c r="K244" s="29">
        <f t="shared" si="171"/>
        <v>1690439.9429113339</v>
      </c>
    </row>
    <row r="245" spans="3:11">
      <c r="C245" s="17" t="s">
        <v>256</v>
      </c>
      <c r="D245" s="193">
        <f t="shared" si="172"/>
        <v>1426365</v>
      </c>
      <c r="E245" s="193">
        <f t="shared" si="172"/>
        <v>1310573</v>
      </c>
      <c r="F245" s="193">
        <f t="shared" si="172"/>
        <v>1793704</v>
      </c>
      <c r="G245" s="29">
        <f t="shared" si="173"/>
        <v>1952328.1501124108</v>
      </c>
      <c r="H245" s="29">
        <f t="shared" si="171"/>
        <v>2114635.7100161579</v>
      </c>
      <c r="I245" s="29">
        <f t="shared" si="171"/>
        <v>2278488.7115876474</v>
      </c>
      <c r="J245" s="29">
        <f t="shared" si="171"/>
        <v>2449939.6617911868</v>
      </c>
      <c r="K245" s="29">
        <f t="shared" si="171"/>
        <v>2627159.1661083922</v>
      </c>
    </row>
    <row r="246" spans="3:11">
      <c r="C246" s="13" t="s">
        <v>173</v>
      </c>
      <c r="D246" s="229">
        <f>SUM(D242:D245)</f>
        <v>33624805</v>
      </c>
      <c r="E246" s="229">
        <f t="shared" ref="E246:F246" si="174">SUM(E242:E245)</f>
        <v>45917680</v>
      </c>
      <c r="F246" s="229">
        <f t="shared" si="174"/>
        <v>53097859</v>
      </c>
      <c r="G246" s="229">
        <f t="shared" ref="G246" si="175">SUM(G242:G245)</f>
        <v>57793507.087233804</v>
      </c>
      <c r="H246" s="229">
        <f t="shared" ref="H246" si="176">SUM(H242:H245)</f>
        <v>62598192.771384165</v>
      </c>
      <c r="I246" s="229">
        <f t="shared" ref="I246" si="177">SUM(I242:I245)</f>
        <v>67448627.165336415</v>
      </c>
      <c r="J246" s="229">
        <f t="shared" ref="J246" si="178">SUM(J242:J245)</f>
        <v>72523978.716831833</v>
      </c>
      <c r="K246" s="229">
        <f t="shared" ref="K246" si="179">SUM(K242:K245)</f>
        <v>77770093.0435462</v>
      </c>
    </row>
    <row r="247" spans="3:11">
      <c r="E247" s="7"/>
      <c r="F247" s="7"/>
      <c r="G247" s="7"/>
      <c r="H247" s="7"/>
      <c r="I247" s="7"/>
      <c r="J247" s="7"/>
      <c r="K247" s="7"/>
    </row>
    <row r="248" spans="3:11">
      <c r="C248" s="6" t="s">
        <v>169</v>
      </c>
      <c r="D248" s="193">
        <f>D239-D246</f>
        <v>-10243066</v>
      </c>
      <c r="E248" s="193">
        <f t="shared" ref="E248:K248" si="180">E239-E246</f>
        <v>-11247991</v>
      </c>
      <c r="F248" s="193">
        <f t="shared" si="180"/>
        <v>-19680740</v>
      </c>
      <c r="G248" s="193">
        <f t="shared" si="180"/>
        <v>-21421183.605011381</v>
      </c>
      <c r="H248" s="193">
        <f t="shared" si="180"/>
        <v>-23202042.033436626</v>
      </c>
      <c r="I248" s="193">
        <f t="shared" si="180"/>
        <v>-24999857.237142526</v>
      </c>
      <c r="J248" s="193">
        <f t="shared" si="180"/>
        <v>-26881038.063917063</v>
      </c>
      <c r="K248" s="193">
        <f t="shared" si="180"/>
        <v>-28825512.173020795</v>
      </c>
    </row>
    <row r="249" spans="3:11">
      <c r="C249" s="6" t="s">
        <v>170</v>
      </c>
      <c r="D249" s="1">
        <f t="shared" ref="D249:K249" si="181">-D248/D16</f>
        <v>0.18072016707800839</v>
      </c>
      <c r="E249" s="1">
        <f t="shared" si="181"/>
        <v>0.13771170804624394</v>
      </c>
      <c r="F249" s="1">
        <f t="shared" si="181"/>
        <v>0.18449607644659968</v>
      </c>
      <c r="G249" s="1">
        <f t="shared" si="181"/>
        <v>0.18449607644659971</v>
      </c>
      <c r="H249" s="1">
        <f t="shared" si="181"/>
        <v>0.18449607644659971</v>
      </c>
      <c r="I249" s="1">
        <f t="shared" si="181"/>
        <v>0.18449607644659977</v>
      </c>
      <c r="J249" s="1">
        <f t="shared" si="181"/>
        <v>0.18449607644659971</v>
      </c>
      <c r="K249" s="1">
        <f t="shared" si="181"/>
        <v>0.18449607644659974</v>
      </c>
    </row>
    <row r="250" spans="3:11">
      <c r="C250" s="6" t="s">
        <v>171</v>
      </c>
      <c r="D250" s="193"/>
      <c r="E250" s="193">
        <f>D248-E248</f>
        <v>1004925</v>
      </c>
      <c r="F250" s="193">
        <f t="shared" ref="F250:K250" si="182">E248-F248</f>
        <v>8432749</v>
      </c>
      <c r="G250" s="193">
        <f t="shared" si="182"/>
        <v>1740443.6050113812</v>
      </c>
      <c r="H250" s="193">
        <f t="shared" si="182"/>
        <v>1780858.428425245</v>
      </c>
      <c r="I250" s="193">
        <f t="shared" si="182"/>
        <v>1797815.2037058994</v>
      </c>
      <c r="J250" s="193">
        <f t="shared" si="182"/>
        <v>1881180.8267745376</v>
      </c>
      <c r="K250" s="193">
        <f t="shared" si="182"/>
        <v>1944474.1091037318</v>
      </c>
    </row>
    <row r="252" spans="3:11">
      <c r="C252" s="13" t="s">
        <v>174</v>
      </c>
    </row>
    <row r="253" spans="3:11">
      <c r="C253" s="51" t="s">
        <v>45</v>
      </c>
      <c r="D253" s="52">
        <f t="shared" ref="D253:K253" si="183">D$13</f>
        <v>2023</v>
      </c>
      <c r="E253" s="52">
        <f t="shared" si="183"/>
        <v>2024</v>
      </c>
      <c r="F253" s="52">
        <f t="shared" si="183"/>
        <v>2025</v>
      </c>
      <c r="G253" s="53">
        <f t="shared" si="183"/>
        <v>2026</v>
      </c>
      <c r="H253" s="53">
        <f t="shared" si="183"/>
        <v>2027</v>
      </c>
      <c r="I253" s="53">
        <f t="shared" si="183"/>
        <v>2028</v>
      </c>
      <c r="J253" s="53">
        <f t="shared" si="183"/>
        <v>2029</v>
      </c>
      <c r="K253" s="53">
        <f t="shared" si="183"/>
        <v>2030</v>
      </c>
    </row>
    <row r="254" spans="3:11">
      <c r="C254" s="45" t="s">
        <v>46</v>
      </c>
      <c r="D254" s="46">
        <f t="shared" ref="D254:K254" si="184">D$14</f>
        <v>45291</v>
      </c>
      <c r="E254" s="46">
        <f t="shared" si="184"/>
        <v>45657</v>
      </c>
      <c r="F254" s="46">
        <f t="shared" si="184"/>
        <v>46022</v>
      </c>
      <c r="G254" s="46">
        <f t="shared" si="184"/>
        <v>46387</v>
      </c>
      <c r="H254" s="46">
        <f t="shared" si="184"/>
        <v>46752</v>
      </c>
      <c r="I254" s="46">
        <f t="shared" si="184"/>
        <v>47118</v>
      </c>
      <c r="J254" s="46">
        <f t="shared" si="184"/>
        <v>47483</v>
      </c>
      <c r="K254" s="46">
        <f t="shared" si="184"/>
        <v>47848</v>
      </c>
    </row>
    <row r="256" spans="3:11">
      <c r="C256" s="13" t="s">
        <v>175</v>
      </c>
      <c r="D256" s="193"/>
      <c r="E256" s="193"/>
      <c r="F256" s="193"/>
      <c r="G256" s="193"/>
      <c r="H256" s="193"/>
      <c r="I256" s="193"/>
      <c r="J256" s="193"/>
      <c r="K256" s="193"/>
    </row>
    <row r="257" spans="3:11">
      <c r="C257" s="31" t="s">
        <v>33</v>
      </c>
      <c r="D257" s="193"/>
      <c r="E257" s="193">
        <f>D258</f>
        <v>50404287</v>
      </c>
      <c r="F257" s="193">
        <f t="shared" ref="F257:K257" si="185">E258</f>
        <v>83065644</v>
      </c>
      <c r="G257" s="193">
        <f t="shared" si="185"/>
        <v>75106313</v>
      </c>
      <c r="H257" s="193">
        <f t="shared" si="185"/>
        <v>75106313</v>
      </c>
      <c r="I257" s="193">
        <f t="shared" si="185"/>
        <v>75106313</v>
      </c>
      <c r="J257" s="193">
        <f t="shared" si="185"/>
        <v>75106313</v>
      </c>
      <c r="K257" s="193">
        <f t="shared" si="185"/>
        <v>75106313</v>
      </c>
    </row>
    <row r="258" spans="3:11">
      <c r="C258" s="31" t="s">
        <v>36</v>
      </c>
      <c r="D258" s="193">
        <f>D85+D94+D87+D96</f>
        <v>50404287</v>
      </c>
      <c r="E258" s="193">
        <f>E85+E94+E87+E96</f>
        <v>83065644</v>
      </c>
      <c r="F258" s="193">
        <f>F85+F94+F87+F96</f>
        <v>75106313</v>
      </c>
      <c r="G258" s="193">
        <f>F258</f>
        <v>75106313</v>
      </c>
      <c r="H258" s="193">
        <f t="shared" ref="H258:K258" si="186">G258</f>
        <v>75106313</v>
      </c>
      <c r="I258" s="193">
        <f t="shared" si="186"/>
        <v>75106313</v>
      </c>
      <c r="J258" s="193">
        <f t="shared" si="186"/>
        <v>75106313</v>
      </c>
      <c r="K258" s="193">
        <f t="shared" si="186"/>
        <v>75106313</v>
      </c>
    </row>
    <row r="259" spans="3:11">
      <c r="C259" s="31" t="s">
        <v>176</v>
      </c>
      <c r="D259" s="193"/>
      <c r="E259" s="193">
        <f>AVERAGE(E257,E258)</f>
        <v>66734965.5</v>
      </c>
      <c r="F259" s="193">
        <f t="shared" ref="F259:K259" si="187">AVERAGE(F257,F258)</f>
        <v>79085978.5</v>
      </c>
      <c r="G259" s="193">
        <f t="shared" si="187"/>
        <v>75106313</v>
      </c>
      <c r="H259" s="193">
        <f t="shared" si="187"/>
        <v>75106313</v>
      </c>
      <c r="I259" s="193">
        <f t="shared" si="187"/>
        <v>75106313</v>
      </c>
      <c r="J259" s="193">
        <f t="shared" si="187"/>
        <v>75106313</v>
      </c>
      <c r="K259" s="193">
        <f t="shared" si="187"/>
        <v>75106313</v>
      </c>
    </row>
    <row r="260" spans="3:11">
      <c r="C260" s="31" t="s">
        <v>177</v>
      </c>
      <c r="D260" s="1"/>
      <c r="E260" s="1">
        <f>11489338/E259</f>
        <v>0.17216369131111636</v>
      </c>
      <c r="F260" s="1">
        <f>-F26/F259</f>
        <v>0.17390411373616627</v>
      </c>
      <c r="G260" s="224">
        <f>AVERAGE(E260:F260)</f>
        <v>0.17303390252364131</v>
      </c>
      <c r="H260" s="224">
        <f>G260-2%</f>
        <v>0.15303390252364132</v>
      </c>
      <c r="I260" s="224">
        <f t="shared" ref="I260:K260" si="188">H260-2%</f>
        <v>0.13303390252364133</v>
      </c>
      <c r="J260" s="224">
        <f>I260</f>
        <v>0.13303390252364133</v>
      </c>
      <c r="K260" s="224">
        <f t="shared" si="188"/>
        <v>0.11303390252364133</v>
      </c>
    </row>
    <row r="262" spans="3:11">
      <c r="C262" s="13" t="s">
        <v>178</v>
      </c>
    </row>
    <row r="263" spans="3:11">
      <c r="C263" s="17" t="s">
        <v>214</v>
      </c>
      <c r="D263" s="193">
        <f t="shared" ref="D263:K263" si="189">D64+D63</f>
        <v>10977982</v>
      </c>
      <c r="E263" s="193">
        <f t="shared" si="189"/>
        <v>8279240</v>
      </c>
      <c r="F263" s="193">
        <f t="shared" si="189"/>
        <v>10897046</v>
      </c>
      <c r="G263" s="193">
        <f t="shared" si="189"/>
        <v>10585206.34235174</v>
      </c>
      <c r="H263" s="193">
        <f t="shared" si="189"/>
        <v>11115108.826278023</v>
      </c>
      <c r="I263" s="193">
        <f t="shared" si="189"/>
        <v>15487459.349350285</v>
      </c>
      <c r="J263" s="193">
        <f t="shared" si="189"/>
        <v>23566548.458276317</v>
      </c>
      <c r="K263" s="193">
        <f t="shared" si="189"/>
        <v>36685441.497140534</v>
      </c>
    </row>
    <row r="264" spans="3:11">
      <c r="C264" s="17" t="s">
        <v>179</v>
      </c>
      <c r="D264" s="193"/>
      <c r="E264" s="193">
        <f>AVERAGE(D263,E263)</f>
        <v>9628611</v>
      </c>
      <c r="F264" s="193">
        <f t="shared" ref="F264" si="190">AVERAGE(E263,F263)</f>
        <v>9588143</v>
      </c>
      <c r="G264" s="193">
        <f>F263</f>
        <v>10897046</v>
      </c>
      <c r="H264" s="193">
        <f t="shared" ref="H264:K264" si="191">G263</f>
        <v>10585206.34235174</v>
      </c>
      <c r="I264" s="193">
        <f t="shared" si="191"/>
        <v>11115108.826278023</v>
      </c>
      <c r="J264" s="193">
        <f t="shared" si="191"/>
        <v>15487459.349350285</v>
      </c>
      <c r="K264" s="193">
        <f t="shared" si="191"/>
        <v>23566548.458276317</v>
      </c>
    </row>
    <row r="265" spans="3:11">
      <c r="C265" s="17" t="s">
        <v>180</v>
      </c>
      <c r="D265" s="1"/>
      <c r="E265" s="1">
        <f>E25/E264</f>
        <v>6.1304169417582662E-2</v>
      </c>
      <c r="F265" s="1">
        <f>(F25-1013005)/F264</f>
        <v>8.1443299291635518E-2</v>
      </c>
      <c r="G265" s="224">
        <f>AVERAGE(E265:F265)</f>
        <v>7.1373734354609086E-2</v>
      </c>
      <c r="H265" s="224">
        <f>G265</f>
        <v>7.1373734354609086E-2</v>
      </c>
      <c r="I265" s="224">
        <f t="shared" ref="I265:K265" si="192">H265</f>
        <v>7.1373734354609086E-2</v>
      </c>
      <c r="J265" s="224">
        <f t="shared" si="192"/>
        <v>7.1373734354609086E-2</v>
      </c>
      <c r="K265" s="224">
        <f t="shared" si="192"/>
        <v>7.1373734354609086E-2</v>
      </c>
    </row>
    <row r="267" spans="3:11">
      <c r="C267" s="6" t="s">
        <v>156</v>
      </c>
      <c r="D267" s="193">
        <f>D26</f>
        <v>-4632460</v>
      </c>
      <c r="E267" s="193">
        <f>E26</f>
        <v>-16348179</v>
      </c>
      <c r="F267" s="193">
        <f>F26</f>
        <v>-13753377</v>
      </c>
      <c r="G267" s="193">
        <f>-G259*G260</f>
        <v>-12995938.442552095</v>
      </c>
      <c r="H267" s="193">
        <f t="shared" ref="H267:K267" si="193">-H259*H260</f>
        <v>-11493812.182552096</v>
      </c>
      <c r="I267" s="193">
        <f t="shared" si="193"/>
        <v>-9991685.9225520957</v>
      </c>
      <c r="J267" s="193">
        <f t="shared" si="193"/>
        <v>-9991685.9225520957</v>
      </c>
      <c r="K267" s="193">
        <f t="shared" si="193"/>
        <v>-8489559.6625520959</v>
      </c>
    </row>
    <row r="268" spans="3:11">
      <c r="C268" s="6" t="s">
        <v>155</v>
      </c>
      <c r="D268" s="193">
        <f>D25</f>
        <v>723515</v>
      </c>
      <c r="E268" s="193">
        <f>E25</f>
        <v>590274</v>
      </c>
      <c r="F268" s="193">
        <f>F25</f>
        <v>1793895</v>
      </c>
      <c r="G268" s="193">
        <f>G264*G265</f>
        <v>777762.86645395553</v>
      </c>
      <c r="H268" s="193">
        <f t="shared" ref="H268:K268" si="194">H264*H265</f>
        <v>755505.70556773641</v>
      </c>
      <c r="I268" s="193">
        <f t="shared" si="194"/>
        <v>793326.82468933845</v>
      </c>
      <c r="J268" s="193">
        <f t="shared" si="194"/>
        <v>1105397.809428334</v>
      </c>
      <c r="K268" s="193">
        <f t="shared" si="194"/>
        <v>1682032.5693160361</v>
      </c>
    </row>
    <row r="269" spans="3:11">
      <c r="C269" s="6" t="s">
        <v>160</v>
      </c>
      <c r="D269" s="193">
        <f>SUM(D267:D268)</f>
        <v>-3908945</v>
      </c>
      <c r="E269" s="193">
        <f t="shared" ref="E269:F269" si="195">SUM(E267:E268)</f>
        <v>-15757905</v>
      </c>
      <c r="F269" s="193">
        <f t="shared" si="195"/>
        <v>-11959482</v>
      </c>
      <c r="G269" s="193">
        <f>SUM(G267:G268)</f>
        <v>-12218175.57609814</v>
      </c>
      <c r="H269" s="193">
        <f t="shared" ref="H269:K269" si="196">SUM(H267:H268)</f>
        <v>-10738306.476984359</v>
      </c>
      <c r="I269" s="193">
        <f t="shared" si="196"/>
        <v>-9198359.0978627577</v>
      </c>
      <c r="J269" s="193">
        <f t="shared" si="196"/>
        <v>-8886288.1131237615</v>
      </c>
      <c r="K269" s="193">
        <f t="shared" si="196"/>
        <v>-6807527.0932360599</v>
      </c>
    </row>
    <row r="271" spans="3:11">
      <c r="C271" s="13" t="s">
        <v>181</v>
      </c>
    </row>
    <row r="272" spans="3:11">
      <c r="C272" s="51" t="s">
        <v>45</v>
      </c>
      <c r="D272" s="52">
        <f t="shared" ref="D272:K272" si="197">D$13</f>
        <v>2023</v>
      </c>
      <c r="E272" s="52">
        <f t="shared" si="197"/>
        <v>2024</v>
      </c>
      <c r="F272" s="52">
        <f t="shared" si="197"/>
        <v>2025</v>
      </c>
      <c r="G272" s="53">
        <f t="shared" si="197"/>
        <v>2026</v>
      </c>
      <c r="H272" s="53">
        <f t="shared" si="197"/>
        <v>2027</v>
      </c>
      <c r="I272" s="53">
        <f t="shared" si="197"/>
        <v>2028</v>
      </c>
      <c r="J272" s="53">
        <f t="shared" si="197"/>
        <v>2029</v>
      </c>
      <c r="K272" s="53">
        <f t="shared" si="197"/>
        <v>2030</v>
      </c>
    </row>
    <row r="273" spans="3:11">
      <c r="C273" s="45" t="s">
        <v>46</v>
      </c>
      <c r="D273" s="46">
        <f t="shared" ref="D273:K273" si="198">D$14</f>
        <v>45291</v>
      </c>
      <c r="E273" s="46">
        <f t="shared" si="198"/>
        <v>45657</v>
      </c>
      <c r="F273" s="46">
        <f t="shared" si="198"/>
        <v>46022</v>
      </c>
      <c r="G273" s="46">
        <f t="shared" si="198"/>
        <v>46387</v>
      </c>
      <c r="H273" s="46">
        <f t="shared" si="198"/>
        <v>46752</v>
      </c>
      <c r="I273" s="46">
        <f t="shared" si="198"/>
        <v>47118</v>
      </c>
      <c r="J273" s="46">
        <f t="shared" si="198"/>
        <v>47483</v>
      </c>
      <c r="K273" s="46">
        <f t="shared" si="198"/>
        <v>47848</v>
      </c>
    </row>
    <row r="275" spans="3:11">
      <c r="C275" s="13" t="s">
        <v>182</v>
      </c>
    </row>
    <row r="276" spans="3:11">
      <c r="C276" s="17" t="s">
        <v>33</v>
      </c>
      <c r="D276" s="193">
        <v>23289323</v>
      </c>
      <c r="E276" s="193">
        <f>D280</f>
        <v>27224185</v>
      </c>
      <c r="F276" s="193">
        <f t="shared" ref="F276:K276" si="199">E280</f>
        <v>20889691</v>
      </c>
      <c r="G276" s="193">
        <f t="shared" si="199"/>
        <v>38489540</v>
      </c>
      <c r="H276" s="193">
        <f t="shared" si="199"/>
        <v>58524667.596013218</v>
      </c>
      <c r="I276" s="193">
        <f t="shared" si="199"/>
        <v>82489010.903445244</v>
      </c>
      <c r="J276" s="193">
        <f t="shared" si="199"/>
        <v>110549143.47252311</v>
      </c>
      <c r="K276" s="193">
        <f t="shared" si="199"/>
        <v>141955910.76744607</v>
      </c>
    </row>
    <row r="277" spans="3:11">
      <c r="C277" s="17" t="s">
        <v>183</v>
      </c>
      <c r="D277" s="193">
        <f t="shared" ref="D277:K277" si="200">D34</f>
        <v>11713179</v>
      </c>
      <c r="E277" s="193">
        <f t="shared" si="200"/>
        <v>10098140</v>
      </c>
      <c r="F277" s="193">
        <f t="shared" si="200"/>
        <v>22554632</v>
      </c>
      <c r="G277" s="193">
        <f t="shared" si="200"/>
        <v>29778188.509678647</v>
      </c>
      <c r="H277" s="193">
        <f t="shared" si="200"/>
        <v>35618177.578333415</v>
      </c>
      <c r="I277" s="193">
        <f t="shared" si="200"/>
        <v>41705744.734804973</v>
      </c>
      <c r="J277" s="193">
        <f t="shared" si="200"/>
        <v>46679844.313740648</v>
      </c>
      <c r="K277" s="193">
        <f t="shared" si="200"/>
        <v>52896325.719003089</v>
      </c>
    </row>
    <row r="278" spans="3:11">
      <c r="C278" s="17" t="s">
        <v>184</v>
      </c>
      <c r="D278" s="196">
        <f>2137632+1306375+225274</f>
        <v>3669281</v>
      </c>
      <c r="E278" s="196">
        <f>2560607+1731391+318952</f>
        <v>4610950</v>
      </c>
      <c r="F278" s="196">
        <f>2560607+1929571+284385</f>
        <v>4774563</v>
      </c>
      <c r="G278" s="193">
        <f>G277*G288</f>
        <v>9743060.9136654288</v>
      </c>
      <c r="H278" s="193">
        <f t="shared" ref="H278:K278" si="201">H277*H288</f>
        <v>11653834.270901378</v>
      </c>
      <c r="I278" s="193">
        <f t="shared" si="201"/>
        <v>13645612.165727107</v>
      </c>
      <c r="J278" s="193">
        <f t="shared" si="201"/>
        <v>15273077.018817691</v>
      </c>
      <c r="K278" s="193">
        <f t="shared" si="201"/>
        <v>17307034.087107942</v>
      </c>
    </row>
    <row r="279" spans="3:11">
      <c r="C279" s="17" t="s">
        <v>185</v>
      </c>
      <c r="D279" s="193">
        <f>D280-D276-D277+D278</f>
        <v>-4109036</v>
      </c>
      <c r="E279" s="193">
        <f t="shared" ref="E279:F279" si="202">E280-E276-E277+E278</f>
        <v>-11821684</v>
      </c>
      <c r="F279" s="193">
        <f t="shared" si="202"/>
        <v>-180220</v>
      </c>
      <c r="G279" s="193">
        <v>0</v>
      </c>
      <c r="H279" s="193">
        <v>0</v>
      </c>
      <c r="I279" s="193">
        <v>0</v>
      </c>
      <c r="J279" s="193">
        <v>0</v>
      </c>
      <c r="K279" s="193">
        <v>0</v>
      </c>
    </row>
    <row r="280" spans="3:11">
      <c r="C280" s="17" t="s">
        <v>186</v>
      </c>
      <c r="D280" s="193">
        <f>D105</f>
        <v>27224185</v>
      </c>
      <c r="E280" s="193">
        <f>E105</f>
        <v>20889691</v>
      </c>
      <c r="F280" s="193">
        <f>F105</f>
        <v>38489540</v>
      </c>
      <c r="G280" s="193">
        <f t="shared" ref="G280:K280" si="203">G276+G277-G278+G279</f>
        <v>58524667.596013218</v>
      </c>
      <c r="H280" s="193">
        <f t="shared" si="203"/>
        <v>82489010.903445244</v>
      </c>
      <c r="I280" s="193">
        <f t="shared" si="203"/>
        <v>110549143.47252311</v>
      </c>
      <c r="J280" s="193">
        <f t="shared" si="203"/>
        <v>141955910.76744607</v>
      </c>
      <c r="K280" s="193">
        <f t="shared" si="203"/>
        <v>177545202.39934123</v>
      </c>
    </row>
    <row r="281" spans="3:11">
      <c r="D281" s="193"/>
      <c r="E281" s="193"/>
      <c r="F281" s="193"/>
      <c r="G281" s="193"/>
      <c r="H281" s="193"/>
      <c r="I281" s="193"/>
      <c r="J281" s="193"/>
      <c r="K281" s="193"/>
    </row>
    <row r="282" spans="3:11">
      <c r="C282" s="13" t="s">
        <v>187</v>
      </c>
      <c r="D282" s="193"/>
      <c r="E282" s="193"/>
      <c r="F282" s="193"/>
      <c r="G282" s="193"/>
      <c r="H282" s="193"/>
      <c r="I282" s="193"/>
      <c r="J282" s="193"/>
      <c r="K282" s="193"/>
    </row>
    <row r="283" spans="3:11">
      <c r="C283" s="17" t="s">
        <v>33</v>
      </c>
      <c r="D283" s="193"/>
      <c r="E283" s="193">
        <f>D286</f>
        <v>17970</v>
      </c>
      <c r="F283" s="193">
        <f t="shared" ref="F283:K283" si="204">E286</f>
        <v>23679</v>
      </c>
      <c r="G283" s="193">
        <f t="shared" si="204"/>
        <v>40779</v>
      </c>
      <c r="H283" s="193">
        <f t="shared" si="204"/>
        <v>60682.597742652812</v>
      </c>
      <c r="I283" s="193">
        <f t="shared" si="204"/>
        <v>84489.616044491559</v>
      </c>
      <c r="J283" s="193">
        <f t="shared" si="204"/>
        <v>112365.53490669897</v>
      </c>
      <c r="K283" s="193">
        <f t="shared" si="204"/>
        <v>143566.11796460976</v>
      </c>
    </row>
    <row r="284" spans="3:11">
      <c r="C284" s="17" t="s">
        <v>188</v>
      </c>
      <c r="D284" s="193">
        <f t="shared" ref="D284:K284" si="205">D35</f>
        <v>7446</v>
      </c>
      <c r="E284" s="193">
        <f t="shared" si="205"/>
        <v>13188</v>
      </c>
      <c r="F284" s="193">
        <f t="shared" si="205"/>
        <v>23431</v>
      </c>
      <c r="G284" s="193">
        <f t="shared" si="205"/>
        <v>29582.695830670407</v>
      </c>
      <c r="H284" s="193">
        <f t="shared" si="205"/>
        <v>35384.345592418074</v>
      </c>
      <c r="I284" s="193">
        <f t="shared" si="205"/>
        <v>41431.948101218928</v>
      </c>
      <c r="J284" s="193">
        <f t="shared" si="205"/>
        <v>46373.392904931323</v>
      </c>
      <c r="K284" s="193">
        <f t="shared" si="205"/>
        <v>52549.063345365445</v>
      </c>
    </row>
    <row r="285" spans="3:11">
      <c r="C285" s="17" t="s">
        <v>189</v>
      </c>
      <c r="D285" s="193">
        <f>D286-D283-D284</f>
        <v>10524</v>
      </c>
      <c r="E285" s="193">
        <f t="shared" ref="E285:F285" si="206">E286-E283-E284</f>
        <v>-7479</v>
      </c>
      <c r="F285" s="193">
        <f t="shared" si="206"/>
        <v>-6331</v>
      </c>
      <c r="G285" s="193">
        <f>-G284*G288</f>
        <v>-9679.0980880175957</v>
      </c>
      <c r="H285" s="193">
        <f t="shared" ref="H285:K285" si="207">-H284*H288</f>
        <v>-11577.32729057932</v>
      </c>
      <c r="I285" s="193">
        <f t="shared" si="207"/>
        <v>-13556.029239011525</v>
      </c>
      <c r="J285" s="193">
        <f t="shared" si="207"/>
        <v>-15172.809847020542</v>
      </c>
      <c r="K285" s="193">
        <f t="shared" si="207"/>
        <v>-17193.414064242013</v>
      </c>
    </row>
    <row r="286" spans="3:11">
      <c r="C286" s="17" t="s">
        <v>186</v>
      </c>
      <c r="D286" s="193">
        <f>D108</f>
        <v>17970</v>
      </c>
      <c r="E286" s="193">
        <f>E108</f>
        <v>23679</v>
      </c>
      <c r="F286" s="193">
        <f>F108</f>
        <v>40779</v>
      </c>
      <c r="G286" s="193">
        <f>G283+G284+G285</f>
        <v>60682.597742652812</v>
      </c>
      <c r="H286" s="193">
        <f t="shared" ref="H286:K286" si="208">H283+H284+H285</f>
        <v>84489.616044491559</v>
      </c>
      <c r="I286" s="193">
        <f t="shared" si="208"/>
        <v>112365.53490669897</v>
      </c>
      <c r="J286" s="193">
        <f t="shared" si="208"/>
        <v>143566.11796460976</v>
      </c>
      <c r="K286" s="193">
        <f t="shared" si="208"/>
        <v>178921.76724573321</v>
      </c>
    </row>
    <row r="287" spans="3:11">
      <c r="D287" s="193"/>
      <c r="E287" s="193"/>
      <c r="F287" s="193"/>
      <c r="G287" s="193"/>
      <c r="H287" s="193"/>
      <c r="I287" s="193"/>
      <c r="J287" s="193"/>
      <c r="K287" s="193"/>
    </row>
    <row r="288" spans="3:11">
      <c r="C288" s="6" t="s">
        <v>41</v>
      </c>
      <c r="D288" s="1">
        <f>D278/D277</f>
        <v>0.31326090039262611</v>
      </c>
      <c r="E288" s="1">
        <f t="shared" ref="E288:F288" si="209">E278/E277</f>
        <v>0.45661379224292792</v>
      </c>
      <c r="F288" s="1">
        <f t="shared" si="209"/>
        <v>0.21168880077493615</v>
      </c>
      <c r="G288" s="1">
        <f>AVERAGE(D288:F288)</f>
        <v>0.32718783113683003</v>
      </c>
      <c r="H288" s="1">
        <f>G288</f>
        <v>0.32718783113683003</v>
      </c>
      <c r="I288" s="1">
        <f t="shared" ref="I288:K289" si="210">H288</f>
        <v>0.32718783113683003</v>
      </c>
      <c r="J288" s="1">
        <f t="shared" si="210"/>
        <v>0.32718783113683003</v>
      </c>
      <c r="K288" s="1">
        <f t="shared" si="210"/>
        <v>0.32718783113683003</v>
      </c>
    </row>
    <row r="289" spans="3:11">
      <c r="C289" s="6" t="s">
        <v>190</v>
      </c>
      <c r="D289" s="1">
        <f>D35/D33</f>
        <v>6.3529035354343308E-4</v>
      </c>
      <c r="E289" s="1">
        <f>E35/E33</f>
        <v>1.3042797147911729E-3</v>
      </c>
      <c r="F289" s="1">
        <f>F35/F33</f>
        <v>1.037777244221526E-3</v>
      </c>
      <c r="G289" s="1">
        <f>AVERAGE(D289:F289)</f>
        <v>9.924491041853774E-4</v>
      </c>
      <c r="H289" s="1">
        <f>G289</f>
        <v>9.924491041853774E-4</v>
      </c>
      <c r="I289" s="1">
        <f t="shared" si="210"/>
        <v>9.924491041853774E-4</v>
      </c>
      <c r="J289" s="1">
        <f t="shared" si="210"/>
        <v>9.924491041853774E-4</v>
      </c>
      <c r="K289" s="1">
        <f t="shared" si="210"/>
        <v>9.924491041853774E-4</v>
      </c>
    </row>
    <row r="291" spans="3:11">
      <c r="C291" s="13" t="s">
        <v>283</v>
      </c>
    </row>
    <row r="292" spans="3:11">
      <c r="C292" s="51" t="s">
        <v>45</v>
      </c>
      <c r="D292" s="52">
        <f t="shared" ref="D292:K292" si="211">D$13</f>
        <v>2023</v>
      </c>
      <c r="E292" s="52">
        <f t="shared" si="211"/>
        <v>2024</v>
      </c>
      <c r="F292" s="52">
        <f t="shared" si="211"/>
        <v>2025</v>
      </c>
      <c r="G292" s="53">
        <f t="shared" si="211"/>
        <v>2026</v>
      </c>
      <c r="H292" s="53">
        <f t="shared" si="211"/>
        <v>2027</v>
      </c>
      <c r="I292" s="53">
        <f t="shared" si="211"/>
        <v>2028</v>
      </c>
      <c r="J292" s="53">
        <f t="shared" si="211"/>
        <v>2029</v>
      </c>
      <c r="K292" s="53">
        <f t="shared" si="211"/>
        <v>2030</v>
      </c>
    </row>
    <row r="293" spans="3:11">
      <c r="C293" s="45" t="s">
        <v>46</v>
      </c>
      <c r="D293" s="46">
        <f t="shared" ref="D293:K293" si="212">D$14</f>
        <v>45291</v>
      </c>
      <c r="E293" s="46">
        <f t="shared" si="212"/>
        <v>45657</v>
      </c>
      <c r="F293" s="46">
        <f t="shared" si="212"/>
        <v>46022</v>
      </c>
      <c r="G293" s="46">
        <f t="shared" si="212"/>
        <v>46387</v>
      </c>
      <c r="H293" s="46">
        <f t="shared" si="212"/>
        <v>46752</v>
      </c>
      <c r="I293" s="46">
        <f t="shared" si="212"/>
        <v>47118</v>
      </c>
      <c r="J293" s="46">
        <f t="shared" si="212"/>
        <v>47483</v>
      </c>
      <c r="K293" s="46">
        <f t="shared" si="212"/>
        <v>47848</v>
      </c>
    </row>
    <row r="295" spans="3:11">
      <c r="C295" s="6" t="s">
        <v>33</v>
      </c>
      <c r="D295" s="193"/>
      <c r="E295" s="193">
        <f>D299</f>
        <v>14884865</v>
      </c>
      <c r="F295" s="193">
        <f t="shared" ref="F295:K295" si="213">E299</f>
        <v>18727605</v>
      </c>
      <c r="G295" s="193">
        <f t="shared" si="213"/>
        <v>30738330</v>
      </c>
      <c r="H295" s="193">
        <f t="shared" si="213"/>
        <v>42370438.591580003</v>
      </c>
      <c r="I295" s="193">
        <f t="shared" si="213"/>
        <v>56096326.729644395</v>
      </c>
      <c r="J295" s="193">
        <f t="shared" si="213"/>
        <v>71881098.088418454</v>
      </c>
      <c r="K295" s="193">
        <f t="shared" si="213"/>
        <v>89560042.010245398</v>
      </c>
    </row>
    <row r="296" spans="3:11">
      <c r="C296" s="6" t="s">
        <v>284</v>
      </c>
      <c r="D296" s="193">
        <f>D28</f>
        <v>5280319</v>
      </c>
      <c r="E296" s="193">
        <f>E28</f>
        <v>8662526</v>
      </c>
      <c r="F296" s="193">
        <f>F28</f>
        <v>14828173</v>
      </c>
      <c r="G296" s="193">
        <f>F296*(1+G301)</f>
        <v>18090371.059999999</v>
      </c>
      <c r="H296" s="193">
        <f t="shared" ref="H296:K296" si="214">G296*(1+H301)</f>
        <v>21346637.850799996</v>
      </c>
      <c r="I296" s="193">
        <f t="shared" si="214"/>
        <v>24548633.528419994</v>
      </c>
      <c r="J296" s="193">
        <f t="shared" si="214"/>
        <v>27494469.551830396</v>
      </c>
      <c r="K296" s="193">
        <f t="shared" si="214"/>
        <v>30243916.507013436</v>
      </c>
    </row>
    <row r="297" spans="3:11">
      <c r="C297" s="6" t="s">
        <v>285</v>
      </c>
      <c r="D297" s="193">
        <f>2107410+225274</f>
        <v>2332684</v>
      </c>
      <c r="E297" s="193">
        <f>3472323+310904+25926+8048</f>
        <v>3817201</v>
      </c>
      <c r="F297" s="193">
        <f>2477474+275453+51848+8931+3742</f>
        <v>2817448</v>
      </c>
      <c r="G297" s="193">
        <f t="shared" ref="G297:K297" si="215">G296*G302</f>
        <v>6458262.4684199989</v>
      </c>
      <c r="H297" s="193">
        <f t="shared" si="215"/>
        <v>7620749.712735598</v>
      </c>
      <c r="I297" s="193">
        <f t="shared" si="215"/>
        <v>8763862.1696459372</v>
      </c>
      <c r="J297" s="193">
        <f t="shared" si="215"/>
        <v>9815525.6300034504</v>
      </c>
      <c r="K297" s="193">
        <f t="shared" si="215"/>
        <v>10797078.193003796</v>
      </c>
    </row>
    <row r="298" spans="3:11">
      <c r="C298" s="6" t="s">
        <v>286</v>
      </c>
      <c r="D298" s="193">
        <v>0</v>
      </c>
      <c r="E298" s="193">
        <v>0</v>
      </c>
      <c r="F298" s="193">
        <v>0</v>
      </c>
      <c r="G298" s="193">
        <v>0</v>
      </c>
      <c r="H298" s="193">
        <v>0</v>
      </c>
      <c r="I298" s="193">
        <v>0</v>
      </c>
      <c r="J298" s="193">
        <v>0</v>
      </c>
      <c r="K298" s="193">
        <v>0</v>
      </c>
    </row>
    <row r="299" spans="3:11">
      <c r="C299" s="6" t="s">
        <v>186</v>
      </c>
      <c r="D299" s="193">
        <f>D73</f>
        <v>14884865</v>
      </c>
      <c r="E299" s="193">
        <f>E73</f>
        <v>18727605</v>
      </c>
      <c r="F299" s="193">
        <f>F73</f>
        <v>30738330</v>
      </c>
      <c r="G299" s="193">
        <f>G295+G296-G297+G298</f>
        <v>42370438.591580003</v>
      </c>
      <c r="H299" s="193">
        <f t="shared" ref="H299:K299" si="216">H295+H296-H297+H298</f>
        <v>56096326.729644395</v>
      </c>
      <c r="I299" s="193">
        <f t="shared" si="216"/>
        <v>71881098.088418454</v>
      </c>
      <c r="J299" s="193">
        <f t="shared" si="216"/>
        <v>89560042.010245398</v>
      </c>
      <c r="K299" s="193">
        <f t="shared" si="216"/>
        <v>109006880.32425505</v>
      </c>
    </row>
    <row r="301" spans="3:11">
      <c r="C301" s="6" t="s">
        <v>287</v>
      </c>
      <c r="D301" s="1"/>
      <c r="E301" s="1">
        <f>E296/D296-1</f>
        <v>0.64053080883939018</v>
      </c>
      <c r="F301" s="1">
        <f>F296/E296-1</f>
        <v>0.71176086513333403</v>
      </c>
      <c r="G301" s="224">
        <v>0.22</v>
      </c>
      <c r="H301" s="224">
        <v>0.18</v>
      </c>
      <c r="I301" s="224">
        <v>0.15</v>
      </c>
      <c r="J301" s="224">
        <v>0.12</v>
      </c>
      <c r="K301" s="224">
        <v>0.1</v>
      </c>
    </row>
    <row r="302" spans="3:11">
      <c r="C302" s="6" t="s">
        <v>288</v>
      </c>
      <c r="D302" s="225">
        <f>D297/D296</f>
        <v>0.44176952187926527</v>
      </c>
      <c r="E302" s="225">
        <f>E297/E296</f>
        <v>0.44065680149185121</v>
      </c>
      <c r="F302" s="225">
        <f>F297/F296</f>
        <v>0.19000641549029676</v>
      </c>
      <c r="G302" s="224">
        <v>0.35699999999999998</v>
      </c>
      <c r="H302" s="224">
        <f>G302</f>
        <v>0.35699999999999998</v>
      </c>
      <c r="I302" s="224">
        <f t="shared" ref="I302" si="217">H302</f>
        <v>0.35699999999999998</v>
      </c>
      <c r="J302" s="224">
        <f>I302</f>
        <v>0.35699999999999998</v>
      </c>
      <c r="K302" s="224">
        <f>J302</f>
        <v>0.35699999999999998</v>
      </c>
    </row>
  </sheetData>
  <conditionalFormatting sqref="C49:C50">
    <cfRule type="expression" dxfId="2" priority="1">
      <formula>#REF!=$C49</formula>
    </cfRule>
  </conditionalFormatting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topLeftCell="A54" zoomScaleNormal="100" workbookViewId="0">
      <selection activeCell="C42" sqref="C42"/>
    </sheetView>
  </sheetViews>
  <sheetFormatPr defaultColWidth="9.140625" defaultRowHeight="15"/>
  <cols>
    <col min="1" max="1" width="1.42578125" style="54" customWidth="1"/>
    <col min="2" max="2" width="54.42578125" style="54" customWidth="1"/>
    <col min="3" max="3" width="16.7109375" style="54" customWidth="1"/>
    <col min="4" max="4" width="15.5703125" style="54" bestFit="1" customWidth="1"/>
    <col min="5" max="9" width="16.42578125" style="54" customWidth="1"/>
    <col min="10" max="10" width="1.7109375" style="54" customWidth="1"/>
    <col min="11" max="11" width="12.140625" style="54" bestFit="1" customWidth="1"/>
    <col min="12" max="16" width="9.42578125" style="54" customWidth="1"/>
    <col min="17" max="16384" width="9.140625" style="54"/>
  </cols>
  <sheetData>
    <row r="1" spans="2:10" ht="15.75" thickBot="1"/>
    <row r="2" spans="2:10" ht="15.75" thickBot="1">
      <c r="B2" s="55" t="s">
        <v>49</v>
      </c>
      <c r="C2" s="56"/>
      <c r="D2" s="56"/>
      <c r="E2" s="56"/>
      <c r="F2" s="56"/>
      <c r="G2" s="56"/>
      <c r="H2" s="56"/>
      <c r="I2" s="56"/>
    </row>
    <row r="3" spans="2:10">
      <c r="B3" s="192" t="str">
        <f>FSM!C3</f>
        <v>All amounts are shown in Egyptian pounds (000), except per-share data, ratios, and shares outstanding</v>
      </c>
    </row>
    <row r="4" spans="2:10">
      <c r="B4" s="54" t="s">
        <v>50</v>
      </c>
      <c r="C4" s="58"/>
      <c r="D4" s="58">
        <v>46022</v>
      </c>
      <c r="F4" s="54" t="s">
        <v>51</v>
      </c>
      <c r="H4" s="59">
        <f>+WACC!E21</f>
        <v>0.2010716678311214</v>
      </c>
      <c r="I4" s="54" t="s">
        <v>52</v>
      </c>
    </row>
    <row r="5" spans="2:10">
      <c r="B5" s="54" t="s">
        <v>53</v>
      </c>
      <c r="C5" s="60"/>
      <c r="D5" s="60">
        <f>EOMONTH(D4,12)</f>
        <v>46387</v>
      </c>
      <c r="F5" s="54" t="s">
        <v>54</v>
      </c>
      <c r="H5" s="161">
        <f>FSM!D7</f>
        <v>94.05</v>
      </c>
    </row>
    <row r="6" spans="2:10">
      <c r="B6" s="54" t="s">
        <v>55</v>
      </c>
      <c r="C6" s="58"/>
      <c r="D6" s="58">
        <v>46022</v>
      </c>
      <c r="F6" s="54" t="s">
        <v>56</v>
      </c>
      <c r="H6" s="61">
        <v>46182</v>
      </c>
      <c r="J6" s="62"/>
    </row>
    <row r="7" spans="2:10">
      <c r="B7" s="54" t="s">
        <v>57</v>
      </c>
      <c r="C7" s="58"/>
      <c r="D7" s="58">
        <v>46182</v>
      </c>
      <c r="E7" s="62"/>
      <c r="F7" s="227" t="s">
        <v>153</v>
      </c>
      <c r="G7" s="62"/>
      <c r="H7" s="161">
        <f ca="1">C73</f>
        <v>66.338338043648534</v>
      </c>
    </row>
    <row r="8" spans="2:10">
      <c r="B8" s="54" t="s">
        <v>58</v>
      </c>
      <c r="C8" s="141"/>
      <c r="D8" s="141">
        <f>YEARFRAC(D7,D5)</f>
        <v>0.56111111111111112</v>
      </c>
      <c r="F8" s="227" t="s">
        <v>154</v>
      </c>
      <c r="H8" s="219">
        <f ca="1">(H7-H5)/H5</f>
        <v>-0.29464818667040366</v>
      </c>
    </row>
    <row r="9" spans="2:10">
      <c r="D9" s="64"/>
      <c r="F9" t="s">
        <v>298</v>
      </c>
      <c r="G9"/>
      <c r="H9" s="268">
        <v>1</v>
      </c>
    </row>
    <row r="10" spans="2:10">
      <c r="B10" s="65" t="s">
        <v>59</v>
      </c>
      <c r="C10" s="66"/>
      <c r="D10" s="67"/>
      <c r="F10" s="66"/>
      <c r="G10" s="66"/>
      <c r="H10" s="66"/>
      <c r="I10" s="66"/>
    </row>
    <row r="11" spans="2:10" ht="17.25" customHeight="1">
      <c r="C11" s="68" t="s">
        <v>60</v>
      </c>
      <c r="D11" s="68" t="s">
        <v>61</v>
      </c>
      <c r="E11" s="69" t="s">
        <v>62</v>
      </c>
      <c r="F11" s="68"/>
      <c r="G11" s="68"/>
      <c r="H11" s="68"/>
      <c r="I11" s="68"/>
    </row>
    <row r="12" spans="2:10">
      <c r="B12" s="70" t="s">
        <v>63</v>
      </c>
      <c r="C12" s="71">
        <f>D7</f>
        <v>46182</v>
      </c>
      <c r="D12" s="251">
        <f>D4</f>
        <v>46022</v>
      </c>
      <c r="E12" s="251">
        <f>EOMONTH(D12,12)</f>
        <v>46387</v>
      </c>
      <c r="F12" s="251">
        <f>EOMONTH(E12,12)</f>
        <v>46752</v>
      </c>
      <c r="G12" s="251">
        <f t="shared" ref="G12:I12" si="0">EOMONTH(F12,12)</f>
        <v>47118</v>
      </c>
      <c r="H12" s="251">
        <f t="shared" si="0"/>
        <v>47483</v>
      </c>
      <c r="I12" s="251">
        <f t="shared" si="0"/>
        <v>47848</v>
      </c>
    </row>
    <row r="13" spans="2:10">
      <c r="B13" s="70"/>
      <c r="D13" s="184"/>
      <c r="E13" s="191"/>
      <c r="F13" s="191"/>
      <c r="G13" s="191"/>
      <c r="H13" s="191"/>
      <c r="I13" s="190"/>
    </row>
    <row r="14" spans="2:10">
      <c r="B14" s="54" t="s">
        <v>64</v>
      </c>
      <c r="C14" s="162">
        <f>+E14*(1-$D$8)+D14*$D$8</f>
        <v>110813204.01897368</v>
      </c>
      <c r="D14" s="185">
        <f>FSM!F16</f>
        <v>106672946</v>
      </c>
      <c r="E14" s="185">
        <f>FSM!G16</f>
        <v>116106445.28373751</v>
      </c>
      <c r="F14" s="185">
        <f>FSM!H16</f>
        <v>125758999.7592832</v>
      </c>
      <c r="G14" s="185">
        <f>FSM!I16</f>
        <v>135503462.83043283</v>
      </c>
      <c r="H14" s="185">
        <f>FSM!J16</f>
        <v>145699781.70618427</v>
      </c>
      <c r="I14" s="185">
        <f>FSM!K16</f>
        <v>156239160.89816689</v>
      </c>
    </row>
    <row r="15" spans="2:10">
      <c r="B15" s="74" t="s">
        <v>42</v>
      </c>
      <c r="C15"/>
      <c r="D15" s="186"/>
      <c r="E15" s="186">
        <f>E14/D14-1</f>
        <v>8.8433849794844033E-2</v>
      </c>
      <c r="F15" s="186">
        <f t="shared" ref="F15:I15" si="1">F14/E14-1</f>
        <v>8.3135388840447799E-2</v>
      </c>
      <c r="G15" s="186">
        <f t="shared" si="1"/>
        <v>7.7485214495993437E-2</v>
      </c>
      <c r="H15" s="186">
        <f t="shared" si="1"/>
        <v>7.5247662773836099E-2</v>
      </c>
      <c r="I15" s="186">
        <f t="shared" si="1"/>
        <v>7.233627304422563E-2</v>
      </c>
    </row>
    <row r="16" spans="2:10">
      <c r="B16" s="54" t="s">
        <v>25</v>
      </c>
      <c r="C16" s="162">
        <f>+E16*(1-$D$8)+D16*$D$8</f>
        <v>46617292.921237871</v>
      </c>
      <c r="D16" s="185">
        <f>FSM!F37</f>
        <v>45433780</v>
      </c>
      <c r="E16" s="185">
        <f>FSM!G37</f>
        <v>48130391.71927616</v>
      </c>
      <c r="F16" s="185">
        <f>FSM!H37</f>
        <v>52131730.549901262</v>
      </c>
      <c r="G16" s="185">
        <f>FSM!I37</f>
        <v>56171168.87360768</v>
      </c>
      <c r="H16" s="185">
        <f>FSM!J37</f>
        <v>60397918.046621099</v>
      </c>
      <c r="I16" s="185">
        <f>FSM!K37</f>
        <v>64766878.337744251</v>
      </c>
    </row>
    <row r="17" spans="2:13">
      <c r="B17" s="74" t="s">
        <v>65</v>
      </c>
      <c r="C17"/>
      <c r="D17" s="186">
        <f>D16/D14</f>
        <v>0.42591661432131067</v>
      </c>
      <c r="E17" s="186">
        <f t="shared" ref="E17:I17" si="2">E16/E14</f>
        <v>0.41453677788219706</v>
      </c>
      <c r="F17" s="186">
        <f t="shared" si="2"/>
        <v>0.41453677788219712</v>
      </c>
      <c r="G17" s="186">
        <f t="shared" si="2"/>
        <v>0.41453677788219706</v>
      </c>
      <c r="H17" s="186">
        <f t="shared" si="2"/>
        <v>0.41453677788219701</v>
      </c>
      <c r="I17" s="186">
        <f t="shared" si="2"/>
        <v>0.41453677788219701</v>
      </c>
    </row>
    <row r="18" spans="2:13">
      <c r="B18" s="54" t="s">
        <v>66</v>
      </c>
      <c r="C18" s="162">
        <f>+E18*(1-$D$8)+D18*$D$8</f>
        <v>27964763.028977506</v>
      </c>
      <c r="D18" s="185">
        <f>FSM!F24</f>
        <v>28042356</v>
      </c>
      <c r="E18" s="185">
        <f>FSM!G24</f>
        <v>27865561.888809513</v>
      </c>
      <c r="F18" s="185">
        <f>FSM!H24</f>
        <v>30182176.211693265</v>
      </c>
      <c r="G18" s="185">
        <f>FSM!I24</f>
        <v>32520848.609412171</v>
      </c>
      <c r="H18" s="185">
        <f>FSM!J24</f>
        <v>34967966.458692186</v>
      </c>
      <c r="I18" s="185">
        <f>FSM!K24</f>
        <v>37497418.828249477</v>
      </c>
    </row>
    <row r="19" spans="2:13">
      <c r="B19" s="74" t="s">
        <v>65</v>
      </c>
      <c r="D19" s="186">
        <f>D18/D14</f>
        <v>0.26288161198810428</v>
      </c>
      <c r="E19" s="186">
        <f t="shared" ref="E19:I19" si="3">E18/E14</f>
        <v>0.24000012937018678</v>
      </c>
      <c r="F19" s="186">
        <f t="shared" si="3"/>
        <v>0.24000012937018686</v>
      </c>
      <c r="G19" s="186">
        <f t="shared" si="3"/>
        <v>0.24000012937018675</v>
      </c>
      <c r="H19" s="186">
        <f t="shared" si="3"/>
        <v>0.24000012937018669</v>
      </c>
      <c r="I19" s="186">
        <f t="shared" si="3"/>
        <v>0.24000012937018675</v>
      </c>
    </row>
    <row r="20" spans="2:13">
      <c r="B20" s="74"/>
      <c r="D20" s="185"/>
      <c r="E20" s="185"/>
      <c r="F20" s="185"/>
      <c r="G20" s="185"/>
      <c r="H20" s="185"/>
      <c r="I20" s="185"/>
    </row>
    <row r="21" spans="2:13">
      <c r="B21" s="54" t="s">
        <v>67</v>
      </c>
      <c r="D21" s="187">
        <f>D18*D22</f>
        <v>7774197.2683428032</v>
      </c>
      <c r="E21" s="187">
        <f t="shared" ref="E21:I21" si="4">E18*E22</f>
        <v>6269751.4249821408</v>
      </c>
      <c r="F21" s="187">
        <f t="shared" si="4"/>
        <v>6790989.6476309849</v>
      </c>
      <c r="G21" s="187">
        <f t="shared" si="4"/>
        <v>7317190.9371177386</v>
      </c>
      <c r="H21" s="187">
        <f t="shared" si="4"/>
        <v>7867792.4532057419</v>
      </c>
      <c r="I21" s="187">
        <f t="shared" si="4"/>
        <v>8436919.2363561317</v>
      </c>
    </row>
    <row r="22" spans="2:13" ht="15" customHeight="1">
      <c r="B22" s="74" t="s">
        <v>27</v>
      </c>
      <c r="D22" s="188">
        <f>FSM!F51</f>
        <v>0.27723053185484142</v>
      </c>
      <c r="E22" s="188">
        <f>FSM!G51</f>
        <v>0.22500000000000001</v>
      </c>
      <c r="F22" s="188">
        <f>FSM!H51</f>
        <v>0.22500000000000001</v>
      </c>
      <c r="G22" s="188">
        <f>FSM!I51</f>
        <v>0.22500000000000001</v>
      </c>
      <c r="H22" s="188">
        <f>FSM!J51</f>
        <v>0.22500000000000001</v>
      </c>
      <c r="I22" s="188">
        <f>FSM!K51</f>
        <v>0.22500000000000001</v>
      </c>
    </row>
    <row r="23" spans="2:13">
      <c r="B23" s="75" t="s">
        <v>68</v>
      </c>
      <c r="C23" s="75"/>
      <c r="D23" s="189">
        <f>D18*(1-D22)</f>
        <v>20268158.7316572</v>
      </c>
      <c r="E23" s="189">
        <f t="shared" ref="E23:I23" si="5">E18*(1-E22)</f>
        <v>21595810.463827372</v>
      </c>
      <c r="F23" s="189">
        <f t="shared" si="5"/>
        <v>23391186.564062282</v>
      </c>
      <c r="G23" s="189">
        <f t="shared" si="5"/>
        <v>25203657.672294434</v>
      </c>
      <c r="H23" s="189">
        <f t="shared" si="5"/>
        <v>27100174.005486444</v>
      </c>
      <c r="I23" s="189">
        <f t="shared" si="5"/>
        <v>29060499.591893345</v>
      </c>
    </row>
    <row r="24" spans="2:13">
      <c r="D24" s="72"/>
      <c r="E24" s="72"/>
      <c r="F24" s="72"/>
      <c r="G24" s="72"/>
      <c r="H24" s="72"/>
      <c r="I24" s="72"/>
    </row>
    <row r="25" spans="2:13">
      <c r="B25" s="54" t="s">
        <v>24</v>
      </c>
      <c r="D25" s="73">
        <f>FSM!F172</f>
        <v>17391424</v>
      </c>
      <c r="E25" s="73">
        <f>FSM!G172</f>
        <v>20264829.83046665</v>
      </c>
      <c r="F25" s="73">
        <f>FSM!H172</f>
        <v>21949554.338207997</v>
      </c>
      <c r="G25" s="73">
        <f>FSM!I172</f>
        <v>23650320.264195506</v>
      </c>
      <c r="H25" s="73">
        <f>FSM!J172</f>
        <v>25429951.58792891</v>
      </c>
      <c r="I25" s="73">
        <f>FSM!K172</f>
        <v>27269459.509494778</v>
      </c>
      <c r="M25" s="77"/>
    </row>
    <row r="26" spans="2:13">
      <c r="B26" s="54" t="s">
        <v>69</v>
      </c>
      <c r="D26" s="72"/>
      <c r="E26" s="72">
        <f>D32-E32</f>
        <v>1740443.6050113812</v>
      </c>
      <c r="F26" s="72">
        <f t="shared" ref="F26:I26" si="6">E32-F32</f>
        <v>1780858.428425245</v>
      </c>
      <c r="G26" s="72">
        <f t="shared" si="6"/>
        <v>1797815.2037058994</v>
      </c>
      <c r="H26" s="72">
        <f t="shared" si="6"/>
        <v>1881180.8267745376</v>
      </c>
      <c r="I26" s="72">
        <f t="shared" si="6"/>
        <v>1944474.1091037318</v>
      </c>
      <c r="M26" s="77"/>
    </row>
    <row r="27" spans="2:13">
      <c r="B27" s="54" t="s">
        <v>70</v>
      </c>
      <c r="D27" s="73">
        <f>FSM!F133-FSM!F161</f>
        <v>-29813990</v>
      </c>
      <c r="E27" s="73">
        <f>FSM!G133-FSM!G161</f>
        <v>-36178275.197257243</v>
      </c>
      <c r="F27" s="73">
        <f>FSM!H133-FSM!H161</f>
        <v>-36520560.450947955</v>
      </c>
      <c r="G27" s="73">
        <f>FSM!I133-FSM!I161</f>
        <v>-36465925.352456063</v>
      </c>
      <c r="H27" s="73">
        <f>FSM!J133-FSM!J161</f>
        <v>-36221111.845811784</v>
      </c>
      <c r="I27" s="73">
        <f>FSM!K133-FSM!K161</f>
        <v>-35611570.617843986</v>
      </c>
      <c r="M27" s="77"/>
    </row>
    <row r="28" spans="2:13">
      <c r="B28" s="74" t="s">
        <v>39</v>
      </c>
      <c r="D28" s="1">
        <f>D27/D14</f>
        <v>-0.27948970304054416</v>
      </c>
      <c r="E28" s="1">
        <f t="shared" ref="E28:I28" si="7">E27/E14</f>
        <v>-0.31159575257726513</v>
      </c>
      <c r="F28" s="1">
        <f t="shared" si="7"/>
        <v>-0.29040116827306511</v>
      </c>
      <c r="G28" s="1">
        <f t="shared" si="7"/>
        <v>-0.26911434284221225</v>
      </c>
      <c r="H28" s="1">
        <f t="shared" si="7"/>
        <v>-0.24860100284058537</v>
      </c>
      <c r="I28" s="1">
        <f t="shared" si="7"/>
        <v>-0.22792986350621014</v>
      </c>
      <c r="M28" s="77"/>
    </row>
    <row r="29" spans="2:13">
      <c r="B29" s="227"/>
      <c r="D29" s="73"/>
      <c r="E29" s="73"/>
      <c r="F29" s="73"/>
      <c r="G29" s="73"/>
      <c r="H29" s="73"/>
      <c r="I29" s="73"/>
      <c r="M29" s="77"/>
    </row>
    <row r="30" spans="2:13">
      <c r="B30" s="75" t="s">
        <v>71</v>
      </c>
      <c r="C30" s="75"/>
      <c r="D30" s="76">
        <f>D23+D25+D26+D27</f>
        <v>7845592.7316571996</v>
      </c>
      <c r="E30" s="76">
        <f t="shared" ref="E30:I30" si="8">E23+E25+E26+E27</f>
        <v>7422808.7020481601</v>
      </c>
      <c r="F30" s="76">
        <f t="shared" si="8"/>
        <v>10601038.87974757</v>
      </c>
      <c r="G30" s="76">
        <f t="shared" si="8"/>
        <v>14185867.787739776</v>
      </c>
      <c r="H30" s="76">
        <f t="shared" si="8"/>
        <v>18190194.574378103</v>
      </c>
      <c r="I30" s="76">
        <f t="shared" si="8"/>
        <v>22662862.592647873</v>
      </c>
      <c r="M30" s="76"/>
    </row>
    <row r="31" spans="2:13">
      <c r="D31" s="73"/>
      <c r="E31" s="73"/>
      <c r="F31" s="73"/>
      <c r="G31" s="73"/>
      <c r="H31" s="73"/>
      <c r="I31" s="73"/>
      <c r="M31" s="77"/>
    </row>
    <row r="32" spans="2:13">
      <c r="B32" s="54" t="s">
        <v>72</v>
      </c>
      <c r="C32" s="73"/>
      <c r="D32" s="73">
        <f>FSM!F248</f>
        <v>-19680740</v>
      </c>
      <c r="E32" s="73">
        <f>FSM!G248</f>
        <v>-21421183.605011381</v>
      </c>
      <c r="F32" s="73">
        <f>FSM!H248</f>
        <v>-23202042.033436626</v>
      </c>
      <c r="G32" s="73">
        <f>FSM!I248</f>
        <v>-24999857.237142526</v>
      </c>
      <c r="H32" s="73">
        <f>FSM!J248</f>
        <v>-26881038.063917063</v>
      </c>
      <c r="I32" s="73">
        <f>FSM!K248</f>
        <v>-28825512.173020795</v>
      </c>
    </row>
    <row r="33" spans="2:13">
      <c r="B33" s="74" t="s">
        <v>39</v>
      </c>
      <c r="D33" s="63">
        <f>-D32/D14</f>
        <v>0.18449607644659968</v>
      </c>
      <c r="E33" s="63">
        <f t="shared" ref="E33:I33" si="9">-E32/E14</f>
        <v>0.18449607644659971</v>
      </c>
      <c r="F33" s="63">
        <f t="shared" si="9"/>
        <v>0.18449607644659971</v>
      </c>
      <c r="G33" s="63">
        <f t="shared" si="9"/>
        <v>0.18449607644659977</v>
      </c>
      <c r="H33" s="63">
        <f t="shared" si="9"/>
        <v>0.18449607644659971</v>
      </c>
      <c r="I33" s="63">
        <f t="shared" si="9"/>
        <v>0.18449607644659974</v>
      </c>
      <c r="J33" s="73"/>
    </row>
    <row r="34" spans="2:13">
      <c r="D34"/>
      <c r="E34" s="63"/>
      <c r="F34" s="63"/>
      <c r="G34" s="63"/>
      <c r="H34" s="63"/>
      <c r="I34" s="63"/>
      <c r="J34" s="73"/>
      <c r="K34" s="78"/>
      <c r="M34" s="63"/>
    </row>
    <row r="35" spans="2:13">
      <c r="B35" s="65" t="str">
        <f>"Present value of UFCF on "&amp;TEXT(D7,"mmm dd, yyyy")&amp;" valuation date"</f>
        <v>Present value of UFCF on Jun 09, 2026 valuation date</v>
      </c>
      <c r="C35" s="66"/>
      <c r="D35" s="79"/>
      <c r="E35" s="66"/>
      <c r="F35" s="79"/>
      <c r="G35" s="79"/>
      <c r="H35" s="79"/>
      <c r="I35" s="79"/>
      <c r="J35" s="73"/>
    </row>
    <row r="36" spans="2:13" ht="17.25">
      <c r="B36" s="75"/>
      <c r="D36" s="80" t="s">
        <v>73</v>
      </c>
      <c r="E36" s="80" t="s">
        <v>74</v>
      </c>
      <c r="F36" s="81" t="s">
        <v>75</v>
      </c>
      <c r="G36" s="81" t="s">
        <v>76</v>
      </c>
      <c r="H36" s="81" t="s">
        <v>77</v>
      </c>
      <c r="I36" s="81" t="s">
        <v>78</v>
      </c>
      <c r="J36" s="73"/>
    </row>
    <row r="37" spans="2:13">
      <c r="B37" s="54" t="s">
        <v>79</v>
      </c>
      <c r="D37" s="82">
        <f>D7</f>
        <v>46182</v>
      </c>
      <c r="E37" s="163">
        <f ca="1">IF($H$7=1,AVERAGE(E12,D37),E12)</f>
        <v>46387</v>
      </c>
      <c r="F37" s="163">
        <f ca="1">IF($H$7=1,AVERAGE(F12,E12),F12)</f>
        <v>46752</v>
      </c>
      <c r="G37" s="163">
        <f ca="1">IF($H$7=1,AVERAGE(G12,F12),G12)</f>
        <v>47118</v>
      </c>
      <c r="H37" s="163">
        <f ca="1">IF($H$7=1,AVERAGE(H12,G12),H12)</f>
        <v>47483</v>
      </c>
      <c r="I37" s="163">
        <f ca="1">IF($H$7=1,AVERAGE(I12,H12),I12)</f>
        <v>47848</v>
      </c>
      <c r="J37" s="73"/>
    </row>
    <row r="38" spans="2:13">
      <c r="B38" s="54" t="s">
        <v>80</v>
      </c>
      <c r="C38" s="83">
        <f>D8</f>
        <v>0.56111111111111112</v>
      </c>
      <c r="D38" s="77"/>
      <c r="E38" s="84">
        <f>E30*C38</f>
        <v>4165020.4383714679</v>
      </c>
      <c r="F38" s="84">
        <f>F30</f>
        <v>10601038.87974757</v>
      </c>
      <c r="G38" s="84">
        <f t="shared" ref="G38:I38" si="10">G30</f>
        <v>14185867.787739776</v>
      </c>
      <c r="H38" s="84">
        <f t="shared" si="10"/>
        <v>18190194.574378103</v>
      </c>
      <c r="I38" s="84">
        <f t="shared" si="10"/>
        <v>22662862.592647873</v>
      </c>
      <c r="J38" s="72"/>
    </row>
    <row r="39" spans="2:13" ht="15" customHeight="1">
      <c r="B39" s="75" t="s">
        <v>81</v>
      </c>
      <c r="C39" s="85"/>
      <c r="D39" s="76"/>
      <c r="E39" s="76">
        <f ca="1">E38/(1+$H$4)^((E37-$D$37)/365)</f>
        <v>3757748.7765439749</v>
      </c>
      <c r="F39" s="76">
        <f t="shared" ref="F39:I39" ca="1" si="11">F38/(1+$H$4)^((F37-$D$37)/365)</f>
        <v>7963245.5942676188</v>
      </c>
      <c r="G39" s="76">
        <f t="shared" ca="1" si="11"/>
        <v>8867693.4423017204</v>
      </c>
      <c r="H39" s="76">
        <f t="shared" ca="1" si="11"/>
        <v>9467235.6050769482</v>
      </c>
      <c r="I39" s="76">
        <f t="shared" ca="1" si="11"/>
        <v>9820456.6705786716</v>
      </c>
      <c r="J39" s="72"/>
    </row>
    <row r="41" spans="2:13">
      <c r="B41" s="65" t="s">
        <v>82</v>
      </c>
      <c r="C41" s="65"/>
      <c r="E41" s="65" t="s">
        <v>83</v>
      </c>
      <c r="F41" s="66"/>
      <c r="G41" s="66"/>
      <c r="H41" s="66"/>
      <c r="I41" s="66"/>
    </row>
    <row r="42" spans="2:13">
      <c r="B42" s="54" t="s">
        <v>84</v>
      </c>
      <c r="C42" s="86">
        <v>0.1</v>
      </c>
      <c r="E42" s="54" t="s">
        <v>85</v>
      </c>
      <c r="I42" s="77">
        <f>I16</f>
        <v>64766878.337744251</v>
      </c>
      <c r="J42" s="77"/>
    </row>
    <row r="43" spans="2:13">
      <c r="B43" s="87" t="str">
        <f>YEAR(I12)&amp;" FCF x (1+g)"</f>
        <v>2030 FCF x (1+g)</v>
      </c>
      <c r="C43" s="77">
        <f>I38*(1+C42)</f>
        <v>24929148.851912662</v>
      </c>
      <c r="E43" s="54" t="s">
        <v>86</v>
      </c>
      <c r="I43" s="88">
        <v>4.3</v>
      </c>
      <c r="J43" s="88"/>
    </row>
    <row r="44" spans="2:13">
      <c r="B44" s="54" t="str">
        <f>"Terminal value in "&amp;YEAR(I12)</f>
        <v>Terminal value in 2030</v>
      </c>
      <c r="C44" s="77">
        <f>C43/(H4-C42)</f>
        <v>246648238.68906835</v>
      </c>
      <c r="E44" s="54" t="str">
        <f>"Terminal value in "&amp;YEAR(I12)</f>
        <v>Terminal value in 2030</v>
      </c>
      <c r="I44" s="77">
        <f>I42*I43</f>
        <v>278497576.85230029</v>
      </c>
      <c r="J44" s="77"/>
    </row>
    <row r="45" spans="2:13">
      <c r="B45" s="54" t="s">
        <v>87</v>
      </c>
      <c r="C45" s="77">
        <f ca="1">C44/(1+H4)^((I37-D37)/365)</f>
        <v>106879628.77674305</v>
      </c>
      <c r="E45" s="54" t="s">
        <v>87</v>
      </c>
      <c r="I45" s="77">
        <f ca="1">I44/(1+H4)^((I37-D37)/365)</f>
        <v>120680844.05305573</v>
      </c>
      <c r="J45" s="77"/>
    </row>
    <row r="46" spans="2:13">
      <c r="B46" s="54" t="s">
        <v>88</v>
      </c>
      <c r="C46" s="72">
        <f ca="1">SUM(E39:I39)</f>
        <v>39876380.088768937</v>
      </c>
      <c r="E46" s="54" t="s">
        <v>88</v>
      </c>
      <c r="I46" s="77">
        <f ca="1">C46</f>
        <v>39876380.088768937</v>
      </c>
      <c r="J46" s="77"/>
    </row>
    <row r="47" spans="2:13">
      <c r="B47" s="75" t="s">
        <v>89</v>
      </c>
      <c r="C47" s="89">
        <f ca="1">C45+C46</f>
        <v>146756008.86551198</v>
      </c>
      <c r="E47" s="75" t="s">
        <v>90</v>
      </c>
      <c r="I47" s="89">
        <f ca="1">I45+I46</f>
        <v>160557224.14182466</v>
      </c>
      <c r="J47" s="89"/>
    </row>
    <row r="49" spans="2:10">
      <c r="B49" s="90" t="s">
        <v>91</v>
      </c>
      <c r="C49" s="91">
        <f ca="1">C45/C47</f>
        <v>0.72828110823515335</v>
      </c>
      <c r="E49" s="90" t="s">
        <v>91</v>
      </c>
      <c r="I49" s="91">
        <f ca="1">I45/I47</f>
        <v>0.75163758403331005</v>
      </c>
      <c r="J49" s="91"/>
    </row>
    <row r="50" spans="2:10">
      <c r="B50" s="90" t="s">
        <v>92</v>
      </c>
      <c r="C50" s="91">
        <f ca="1">1-C49</f>
        <v>0.27171889176484665</v>
      </c>
      <c r="E50" s="90" t="s">
        <v>93</v>
      </c>
      <c r="G50" s="92"/>
      <c r="I50" s="93">
        <f ca="1">1-I49</f>
        <v>0.24836241596668995</v>
      </c>
      <c r="J50" s="93"/>
    </row>
    <row r="51" spans="2:10">
      <c r="B51" s="90" t="s">
        <v>94</v>
      </c>
      <c r="C51" s="94">
        <f>C44/I16</f>
        <v>3.8082465145665192</v>
      </c>
      <c r="E51" s="54" t="s">
        <v>95</v>
      </c>
      <c r="I51" s="232">
        <f>(H4-I38/I44)/(1+I38/I44)</f>
        <v>0.11068887312493007</v>
      </c>
      <c r="J51" s="95"/>
    </row>
    <row r="52" spans="2:10">
      <c r="B52" s="90"/>
      <c r="C52" s="70"/>
      <c r="D52" s="94"/>
      <c r="I52" s="95"/>
      <c r="J52" s="95"/>
    </row>
    <row r="53" spans="2:10">
      <c r="B53" s="65" t="s">
        <v>96</v>
      </c>
      <c r="C53" s="66"/>
      <c r="E53" s="65" t="s">
        <v>31</v>
      </c>
      <c r="F53" s="66"/>
      <c r="G53" s="65"/>
      <c r="H53" s="66"/>
      <c r="I53" s="66"/>
    </row>
    <row r="54" spans="2:10">
      <c r="B54" s="54" t="s">
        <v>97</v>
      </c>
      <c r="C54" s="199" t="s">
        <v>201</v>
      </c>
    </row>
    <row r="55" spans="2:10">
      <c r="B55" s="96" t="s">
        <v>98</v>
      </c>
      <c r="C55" s="61" t="s">
        <v>202</v>
      </c>
      <c r="G55" s="97" t="s">
        <v>97</v>
      </c>
      <c r="H55" s="98" t="s">
        <v>99</v>
      </c>
      <c r="I55" s="98" t="s">
        <v>100</v>
      </c>
    </row>
    <row r="56" spans="2:10">
      <c r="B56" s="99" t="s">
        <v>101</v>
      </c>
      <c r="C56" s="100"/>
      <c r="E56" s="54" t="s">
        <v>102</v>
      </c>
      <c r="G56" s="200" t="s">
        <v>215</v>
      </c>
      <c r="H56" s="61" t="s">
        <v>202</v>
      </c>
      <c r="I56" s="197">
        <f>FSM!D10</f>
        <v>1707071600</v>
      </c>
      <c r="J56" s="101"/>
    </row>
    <row r="57" spans="2:10">
      <c r="B57" s="74" t="s">
        <v>103</v>
      </c>
      <c r="C57" s="103">
        <f>FSM!F258</f>
        <v>75106313</v>
      </c>
      <c r="E57" s="96" t="s">
        <v>104</v>
      </c>
      <c r="G57" s="200"/>
      <c r="H57" s="61"/>
      <c r="I57" s="197"/>
      <c r="J57" s="102"/>
    </row>
    <row r="58" spans="2:10">
      <c r="B58" s="74" t="s">
        <v>105</v>
      </c>
      <c r="C58" s="103"/>
      <c r="E58" s="96" t="s">
        <v>106</v>
      </c>
      <c r="G58" s="61"/>
      <c r="H58" s="61"/>
      <c r="I58" s="104"/>
    </row>
    <row r="59" spans="2:10" ht="15" customHeight="1">
      <c r="B59" s="74" t="s">
        <v>107</v>
      </c>
      <c r="C59" s="103"/>
      <c r="E59" s="54" t="s">
        <v>105</v>
      </c>
      <c r="G59" s="61"/>
      <c r="H59" s="61"/>
      <c r="I59" s="104"/>
    </row>
    <row r="60" spans="2:10">
      <c r="B60" s="105" t="s">
        <v>108</v>
      </c>
      <c r="C60" s="103">
        <f>FSM!F108</f>
        <v>40779</v>
      </c>
      <c r="E60" s="54" t="s">
        <v>109</v>
      </c>
      <c r="G60" s="61"/>
      <c r="H60" s="61"/>
      <c r="I60" s="104"/>
    </row>
    <row r="61" spans="2:10" ht="15" customHeight="1">
      <c r="B61" s="99" t="s">
        <v>110</v>
      </c>
      <c r="C61" s="103"/>
      <c r="E61" s="106" t="s">
        <v>111</v>
      </c>
      <c r="I61" s="198">
        <f>SUM(I56:I60)</f>
        <v>1707071600</v>
      </c>
      <c r="J61" s="107"/>
    </row>
    <row r="62" spans="2:10">
      <c r="B62" s="108" t="s">
        <v>112</v>
      </c>
      <c r="C62" s="103">
        <f>FSM!F64</f>
        <v>8312470</v>
      </c>
      <c r="J62" s="109"/>
    </row>
    <row r="63" spans="2:10">
      <c r="B63" s="108" t="s">
        <v>113</v>
      </c>
      <c r="C63" s="103">
        <f>FSM!F73</f>
        <v>30738330</v>
      </c>
      <c r="J63" s="109"/>
    </row>
    <row r="64" spans="2:10">
      <c r="B64" s="108" t="s">
        <v>191</v>
      </c>
      <c r="C64" s="103">
        <f>FSM!F63</f>
        <v>2584576</v>
      </c>
      <c r="J64" s="110"/>
    </row>
    <row r="65" spans="2:6">
      <c r="B65" s="111" t="s">
        <v>96</v>
      </c>
      <c r="C65" s="14">
        <f>SUM(C57:C60)-SUM(C62:C64)</f>
        <v>33511716</v>
      </c>
    </row>
    <row r="67" spans="2:6">
      <c r="B67" s="65" t="s">
        <v>114</v>
      </c>
      <c r="C67" s="66"/>
      <c r="D67" s="66"/>
    </row>
    <row r="68" spans="2:6" ht="17.25">
      <c r="C68" s="112" t="s">
        <v>115</v>
      </c>
      <c r="D68" s="112" t="s">
        <v>25</v>
      </c>
    </row>
    <row r="69" spans="2:6">
      <c r="B69" s="54" t="s">
        <v>116</v>
      </c>
      <c r="C69" s="113">
        <f ca="1">C47</f>
        <v>146756008.86551198</v>
      </c>
      <c r="D69" s="113">
        <f ca="1">I47</f>
        <v>160557224.14182466</v>
      </c>
    </row>
    <row r="70" spans="2:6">
      <c r="B70" s="54" t="s">
        <v>96</v>
      </c>
      <c r="C70" s="114">
        <f>C65</f>
        <v>33511716</v>
      </c>
      <c r="D70" s="114">
        <f>C65</f>
        <v>33511716</v>
      </c>
    </row>
    <row r="71" spans="2:6">
      <c r="B71" s="54" t="s">
        <v>117</v>
      </c>
      <c r="C71" s="115">
        <f ca="1">C69-C70</f>
        <v>113244292.86551198</v>
      </c>
      <c r="D71" s="115">
        <f t="shared" ref="D71" ca="1" si="12">D69-D70</f>
        <v>127045508.14182466</v>
      </c>
    </row>
    <row r="72" spans="2:6">
      <c r="B72" s="54" t="s">
        <v>31</v>
      </c>
      <c r="C72" s="228">
        <f>$I$61</f>
        <v>1707071600</v>
      </c>
      <c r="D72" s="228">
        <f t="shared" ref="D72" si="13">$I$61</f>
        <v>1707071600</v>
      </c>
    </row>
    <row r="73" spans="2:6">
      <c r="B73" s="75" t="s">
        <v>118</v>
      </c>
      <c r="C73" s="233">
        <f ca="1">C71*1000/C72</f>
        <v>66.338338043648534</v>
      </c>
      <c r="D73" s="233">
        <f ca="1">D71*1000/D72</f>
        <v>74.423069390776973</v>
      </c>
    </row>
    <row r="75" spans="2:6" ht="17.25">
      <c r="C75" s="68" t="s">
        <v>119</v>
      </c>
      <c r="D75" s="68"/>
    </row>
    <row r="76" spans="2:6">
      <c r="B76" s="97"/>
      <c r="C76" s="98" t="s">
        <v>115</v>
      </c>
      <c r="D76" s="98" t="s">
        <v>25</v>
      </c>
    </row>
    <row r="77" spans="2:6">
      <c r="B77" s="54" t="s">
        <v>120</v>
      </c>
      <c r="C77" s="258">
        <f ca="1">C69/$C$14</f>
        <v>1.3243548922237109</v>
      </c>
      <c r="D77" s="258">
        <f ca="1">D69/$C$14</f>
        <v>1.4488997548914271</v>
      </c>
    </row>
    <row r="78" spans="2:6">
      <c r="B78" s="54" t="s">
        <v>121</v>
      </c>
      <c r="C78" s="259">
        <f ca="1">C69/$C$16</f>
        <v>3.1481023386206322</v>
      </c>
      <c r="D78" s="259">
        <f ca="1">D69/$C$16</f>
        <v>3.444155893245318</v>
      </c>
    </row>
    <row r="79" spans="2:6">
      <c r="B79" s="72" t="s">
        <v>122</v>
      </c>
      <c r="C79" s="259">
        <f ca="1">C69/$C$18</f>
        <v>5.2478903080080173</v>
      </c>
      <c r="D79" s="259">
        <f ca="1">D69/$C$18</f>
        <v>5.7414119324184103</v>
      </c>
    </row>
    <row r="80" spans="2:6" ht="17.25">
      <c r="B80" s="72"/>
      <c r="C80" s="68" t="s">
        <v>123</v>
      </c>
      <c r="D80" s="68"/>
      <c r="E80" s="116"/>
      <c r="F80" s="116"/>
    </row>
    <row r="81" spans="2:17">
      <c r="B81" s="97"/>
      <c r="C81" s="98" t="s">
        <v>115</v>
      </c>
      <c r="D81" s="98" t="s">
        <v>25</v>
      </c>
      <c r="E81" s="116"/>
      <c r="F81" s="116"/>
    </row>
    <row r="82" spans="2:17">
      <c r="B82" s="54" t="s">
        <v>120</v>
      </c>
      <c r="C82" s="258">
        <f ca="1">C69/$E$14</f>
        <v>1.263978140979805</v>
      </c>
      <c r="D82" s="258">
        <f ca="1">D69/$E$14</f>
        <v>1.3828450586826566</v>
      </c>
      <c r="E82" s="116"/>
      <c r="F82" s="116"/>
    </row>
    <row r="83" spans="2:17">
      <c r="B83" s="54" t="s">
        <v>121</v>
      </c>
      <c r="C83" s="259">
        <f ca="1">C69/$E$16</f>
        <v>3.0491338969663193</v>
      </c>
      <c r="D83" s="259">
        <f ca="1">D69/$E$16</f>
        <v>3.3358802703764763</v>
      </c>
      <c r="E83" s="116"/>
      <c r="F83" s="116"/>
    </row>
    <row r="84" spans="2:17">
      <c r="B84" s="72" t="s">
        <v>122</v>
      </c>
      <c r="C84" s="259">
        <f ca="1">C69/$E$18</f>
        <v>5.2665727485096037</v>
      </c>
      <c r="D84" s="259">
        <f ca="1">D69/$E$18</f>
        <v>5.7618513052953215</v>
      </c>
      <c r="E84" s="116"/>
      <c r="F84" s="116"/>
    </row>
    <row r="86" spans="2:17">
      <c r="B86" s="65" t="s">
        <v>124</v>
      </c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</row>
    <row r="87" spans="2:17">
      <c r="B87" s="75"/>
    </row>
    <row r="88" spans="2:17" ht="17.25" customHeight="1">
      <c r="B88" s="117"/>
      <c r="C88" s="75"/>
      <c r="D88" s="118" t="s">
        <v>118</v>
      </c>
      <c r="E88" s="68"/>
      <c r="F88" s="68"/>
      <c r="G88" s="68"/>
      <c r="H88" s="68"/>
      <c r="I88" s="68"/>
      <c r="J88" s="119"/>
      <c r="L88" s="118" t="s">
        <v>125</v>
      </c>
      <c r="M88" s="68"/>
      <c r="N88" s="68"/>
      <c r="O88" s="68"/>
      <c r="P88" s="68"/>
      <c r="Q88" s="68"/>
    </row>
    <row r="89" spans="2:17" ht="15" customHeight="1">
      <c r="B89" s="117"/>
      <c r="D89" s="96"/>
      <c r="E89" s="120" t="s">
        <v>126</v>
      </c>
      <c r="F89" s="120"/>
      <c r="G89" s="120"/>
      <c r="H89" s="120"/>
      <c r="I89" s="120"/>
      <c r="J89" s="121"/>
      <c r="L89" s="120" t="s">
        <v>126</v>
      </c>
      <c r="M89" s="120"/>
      <c r="N89" s="120"/>
      <c r="O89" s="120"/>
      <c r="P89" s="120"/>
      <c r="Q89" s="120"/>
    </row>
    <row r="90" spans="2:17" ht="15" customHeight="1">
      <c r="B90" s="117"/>
      <c r="C90" s="122"/>
      <c r="D90" s="168">
        <f ca="1">C73</f>
        <v>66.338338043648534</v>
      </c>
      <c r="E90" s="203">
        <f>F90-0.005</f>
        <v>0.09</v>
      </c>
      <c r="F90" s="204">
        <f>G90-0.005</f>
        <v>9.5000000000000001E-2</v>
      </c>
      <c r="G90" s="123">
        <f>$C$42</f>
        <v>0.1</v>
      </c>
      <c r="H90" s="204">
        <f>G90+0.005</f>
        <v>0.10500000000000001</v>
      </c>
      <c r="I90" s="234">
        <f>H90+0.005</f>
        <v>0.11000000000000001</v>
      </c>
      <c r="K90" s="127"/>
      <c r="L90" s="124">
        <f ca="1">C78</f>
        <v>3.1481023386206322</v>
      </c>
      <c r="M90" s="203">
        <f>N90-0.005</f>
        <v>0.09</v>
      </c>
      <c r="N90" s="204">
        <f>O90-0.005</f>
        <v>9.5000000000000001E-2</v>
      </c>
      <c r="O90" s="123">
        <f>$C$42</f>
        <v>0.1</v>
      </c>
      <c r="P90" s="204">
        <f>O90+0.005</f>
        <v>0.10500000000000001</v>
      </c>
      <c r="Q90" s="234">
        <f>P90+0.005</f>
        <v>0.11000000000000001</v>
      </c>
    </row>
    <row r="91" spans="2:17" ht="15" customHeight="1">
      <c r="B91" s="117"/>
      <c r="D91" s="201">
        <f>D92+0.01</f>
        <v>0.22107166783112142</v>
      </c>
      <c r="E91" s="125">
        <f t="dataTable" ref="E91:I95" dt2D="1" dtr="1" r1="C42" r2="H4" ca="1"/>
        <v>47.006256434010218</v>
      </c>
      <c r="F91" s="125">
        <v>45.179932739137016</v>
      </c>
      <c r="G91" s="125">
        <v>45.179932739137016</v>
      </c>
      <c r="H91" s="125">
        <v>47.006256434010218</v>
      </c>
      <c r="I91" s="125">
        <v>51.111443314024648</v>
      </c>
      <c r="J91" s="126"/>
      <c r="L91" s="201">
        <f>L92+0.01</f>
        <v>0.22107166783112142</v>
      </c>
      <c r="M91" s="127">
        <f t="dataTable" ref="M91:Q95" dt2D="1" dtr="1" r1="C42" r2="H4" ca="1"/>
        <v>2.4401837655612089</v>
      </c>
      <c r="N91" s="127">
        <v>2.373305894355934</v>
      </c>
      <c r="O91" s="127">
        <v>2.373305894355934</v>
      </c>
      <c r="P91" s="127">
        <v>2.4401837655612089</v>
      </c>
      <c r="Q91" s="127">
        <v>2.5905109831327082</v>
      </c>
    </row>
    <row r="92" spans="2:17" ht="15" customHeight="1">
      <c r="B92" s="117"/>
      <c r="D92" s="201">
        <f>D93+0.01</f>
        <v>0.21107166783112141</v>
      </c>
      <c r="E92" s="125">
        <v>53.042420064899915</v>
      </c>
      <c r="F92" s="125">
        <v>50.84494587015886</v>
      </c>
      <c r="G92" s="125">
        <v>50.84494587015886</v>
      </c>
      <c r="H92" s="125">
        <v>53.042420064899915</v>
      </c>
      <c r="I92" s="125">
        <v>58.0308971834407</v>
      </c>
      <c r="J92" s="126"/>
      <c r="L92" s="201">
        <f>L93+0.01</f>
        <v>0.21107166783112141</v>
      </c>
      <c r="M92" s="127">
        <v>2.6612211287700522</v>
      </c>
      <c r="N92" s="127">
        <v>2.5807521535356206</v>
      </c>
      <c r="O92" s="127">
        <v>2.5807521535356206</v>
      </c>
      <c r="P92" s="127">
        <v>2.6612211287700522</v>
      </c>
      <c r="Q92" s="127">
        <v>2.8438934180146993</v>
      </c>
    </row>
    <row r="93" spans="2:17" ht="15" customHeight="1">
      <c r="B93" s="117"/>
      <c r="C93" s="122" t="s">
        <v>127</v>
      </c>
      <c r="D93" s="128">
        <f>WACC!$E$21</f>
        <v>0.2010716678311214</v>
      </c>
      <c r="E93" s="125">
        <v>60.183506886039268</v>
      </c>
      <c r="F93" s="125">
        <v>57.503787269949939</v>
      </c>
      <c r="G93" s="125">
        <v>57.503787269949939</v>
      </c>
      <c r="H93" s="125">
        <v>60.183506886039268</v>
      </c>
      <c r="I93" s="125">
        <v>66.338338043648534</v>
      </c>
      <c r="J93" s="126"/>
      <c r="K93" s="122" t="s">
        <v>127</v>
      </c>
      <c r="L93" s="128">
        <f>WACC!$E$21</f>
        <v>0.2010716678311214</v>
      </c>
      <c r="M93" s="127">
        <v>2.9227195071957888</v>
      </c>
      <c r="N93" s="127">
        <v>2.8245912598023204</v>
      </c>
      <c r="O93" s="127">
        <v>2.8245912598023204</v>
      </c>
      <c r="P93" s="127">
        <v>2.9227195071957888</v>
      </c>
      <c r="Q93" s="127">
        <v>3.1481023386206322</v>
      </c>
    </row>
    <row r="94" spans="2:17" ht="15" customHeight="1">
      <c r="B94" s="117"/>
      <c r="D94" s="201">
        <f t="shared" ref="D94:D95" si="14">D93-0.01</f>
        <v>0.19107166783112139</v>
      </c>
      <c r="E94" s="125">
        <v>68.758275583217099</v>
      </c>
      <c r="F94" s="125">
        <v>65.438318869592919</v>
      </c>
      <c r="G94" s="125">
        <v>65.438318869592919</v>
      </c>
      <c r="H94" s="125">
        <v>68.758275583217099</v>
      </c>
      <c r="I94" s="125">
        <v>76.491818937100945</v>
      </c>
      <c r="J94" s="126"/>
      <c r="L94" s="201">
        <f t="shared" ref="L94:L95" si="15">L93-0.01</f>
        <v>0.19107166783112139</v>
      </c>
      <c r="M94" s="127">
        <v>3.2367176654383196</v>
      </c>
      <c r="N94" s="127">
        <v>3.1151446725870935</v>
      </c>
      <c r="O94" s="127">
        <v>3.1151446725870935</v>
      </c>
      <c r="P94" s="127">
        <v>3.2367176654383196</v>
      </c>
      <c r="Q94" s="127">
        <v>3.5199111200451494</v>
      </c>
    </row>
    <row r="95" spans="2:17" ht="15" customHeight="1">
      <c r="B95" s="129" t="s">
        <v>128</v>
      </c>
      <c r="D95" s="202">
        <f t="shared" si="14"/>
        <v>0.18107166783112139</v>
      </c>
      <c r="E95" s="125">
        <v>79.239925070486919</v>
      </c>
      <c r="F95" s="125">
        <v>75.047800981016223</v>
      </c>
      <c r="G95" s="125">
        <v>75.047800981016223</v>
      </c>
      <c r="H95" s="125">
        <v>79.239925070486919</v>
      </c>
      <c r="I95" s="125">
        <v>89.175439259473862</v>
      </c>
      <c r="J95" s="126"/>
      <c r="L95" s="202">
        <f t="shared" si="15"/>
        <v>0.18107166783112139</v>
      </c>
      <c r="M95" s="127">
        <v>3.6205436029740712</v>
      </c>
      <c r="N95" s="127">
        <v>3.4670328448761669</v>
      </c>
      <c r="O95" s="127">
        <v>3.4670328448761669</v>
      </c>
      <c r="P95" s="127">
        <v>3.6205436029740712</v>
      </c>
      <c r="Q95" s="127">
        <v>3.9843706946087663</v>
      </c>
    </row>
    <row r="96" spans="2:17" ht="15" customHeight="1">
      <c r="B96" s="129" t="s">
        <v>129</v>
      </c>
      <c r="E96" s="130"/>
      <c r="F96" s="130"/>
      <c r="G96" s="130"/>
      <c r="H96" s="130"/>
      <c r="I96" s="130"/>
      <c r="J96" s="130"/>
    </row>
    <row r="97" spans="2:17" ht="17.25" customHeight="1">
      <c r="B97" s="117"/>
      <c r="D97" s="118" t="s">
        <v>118</v>
      </c>
      <c r="E97" s="68"/>
      <c r="F97" s="68"/>
      <c r="G97" s="68"/>
      <c r="H97" s="68"/>
      <c r="I97" s="68"/>
      <c r="J97" s="119"/>
      <c r="L97" s="118" t="s">
        <v>125</v>
      </c>
      <c r="M97" s="68"/>
      <c r="N97" s="68"/>
      <c r="O97" s="68"/>
      <c r="P97" s="68"/>
      <c r="Q97" s="68"/>
    </row>
    <row r="98" spans="2:17" ht="15" customHeight="1">
      <c r="B98" s="117"/>
      <c r="E98" s="120" t="s">
        <v>130</v>
      </c>
      <c r="F98" s="120"/>
      <c r="G98" s="120"/>
      <c r="H98" s="120"/>
      <c r="I98" s="120"/>
      <c r="J98" s="121"/>
      <c r="M98" s="120" t="s">
        <v>130</v>
      </c>
      <c r="N98" s="120"/>
      <c r="O98" s="120"/>
      <c r="P98" s="120"/>
      <c r="Q98" s="120"/>
    </row>
    <row r="99" spans="2:17" ht="15" customHeight="1">
      <c r="B99" s="117"/>
      <c r="D99" s="169">
        <f ca="1">D73</f>
        <v>74.423069390776973</v>
      </c>
      <c r="E99" s="170">
        <f>+F99-0.5</f>
        <v>3.3</v>
      </c>
      <c r="F99" s="170">
        <f>+G99-0.5</f>
        <v>3.8</v>
      </c>
      <c r="G99" s="131">
        <f>$I$43</f>
        <v>4.3</v>
      </c>
      <c r="H99" s="170">
        <f>+G99+0.5</f>
        <v>4.8</v>
      </c>
      <c r="I99" s="236">
        <f>+H99+0.5</f>
        <v>5.3</v>
      </c>
      <c r="J99" s="235"/>
      <c r="L99" s="124">
        <f ca="1">D78</f>
        <v>3.444155893245318</v>
      </c>
      <c r="M99" s="170">
        <f>+N99-0.5</f>
        <v>3.3</v>
      </c>
      <c r="N99" s="170">
        <f>+O99-0.5</f>
        <v>3.8</v>
      </c>
      <c r="O99" s="131">
        <f>$I$43</f>
        <v>4.3</v>
      </c>
      <c r="P99" s="170">
        <f>+O99+0.5</f>
        <v>4.8</v>
      </c>
      <c r="Q99" s="236">
        <f>+P99+0.5</f>
        <v>5.3</v>
      </c>
    </row>
    <row r="100" spans="2:17" ht="15" customHeight="1">
      <c r="B100" s="117"/>
      <c r="D100" s="201">
        <f>D101+0.01</f>
        <v>0.22107166783112142</v>
      </c>
      <c r="E100" s="125">
        <f t="dataTable" ref="E100:I104" dt2D="1" dtr="1" r1="I43" r2="H4" ca="1"/>
        <v>52.953925207405902</v>
      </c>
      <c r="F100" s="125">
        <v>45.330479135714697</v>
      </c>
      <c r="G100" s="125">
        <v>45.330479135714697</v>
      </c>
      <c r="H100" s="125">
        <v>52.953925207405902</v>
      </c>
      <c r="I100" s="125">
        <v>68.200817350788341</v>
      </c>
      <c r="J100" s="126"/>
      <c r="L100" s="201">
        <f>L101+0.01</f>
        <v>0.22107166783112142</v>
      </c>
      <c r="M100" s="127">
        <f t="dataTable" ref="M100:Q104" dt2D="1" dtr="1" r1="I43" r2="H4" ca="1"/>
        <v>2.6579805489657011</v>
      </c>
      <c r="N100" s="127">
        <v>2.3788187300865351</v>
      </c>
      <c r="O100" s="127">
        <v>2.3788187300865351</v>
      </c>
      <c r="P100" s="127">
        <v>2.6579805489657011</v>
      </c>
      <c r="Q100" s="127">
        <v>3.2163041867240336</v>
      </c>
    </row>
    <row r="101" spans="2:17" ht="15" customHeight="1">
      <c r="B101" s="117"/>
      <c r="D101" s="201">
        <f>D102+0.01</f>
        <v>0.21107166783112141</v>
      </c>
      <c r="E101" s="125">
        <v>55.412882890271348</v>
      </c>
      <c r="F101" s="125">
        <v>47.49786023034585</v>
      </c>
      <c r="G101" s="125">
        <v>47.49786023034585</v>
      </c>
      <c r="H101" s="125">
        <v>55.412882890271348</v>
      </c>
      <c r="I101" s="125">
        <v>71.242928210122344</v>
      </c>
      <c r="J101" s="126"/>
      <c r="L101" s="201">
        <f>L102+0.01</f>
        <v>0.21107166783112141</v>
      </c>
      <c r="M101" s="127">
        <v>2.7480247485101379</v>
      </c>
      <c r="N101" s="127">
        <v>2.4581857306387307</v>
      </c>
      <c r="O101" s="127">
        <v>2.4581857306387307</v>
      </c>
      <c r="P101" s="127">
        <v>2.7480247485101379</v>
      </c>
      <c r="Q101" s="127">
        <v>3.3277027842529519</v>
      </c>
    </row>
    <row r="102" spans="2:17" ht="15" customHeight="1">
      <c r="B102" s="117"/>
      <c r="C102" s="122" t="s">
        <v>127</v>
      </c>
      <c r="D102" s="128">
        <f>WACC!$E$21</f>
        <v>0.2010716678311214</v>
      </c>
      <c r="E102" s="125">
        <v>57.9824511000866</v>
      </c>
      <c r="F102" s="125">
        <v>49.762141954741409</v>
      </c>
      <c r="G102" s="125">
        <v>49.762141954741409</v>
      </c>
      <c r="H102" s="125">
        <v>57.9824511000866</v>
      </c>
      <c r="I102" s="125">
        <v>74.423069390776973</v>
      </c>
      <c r="J102" s="126"/>
      <c r="K102" s="122" t="s">
        <v>127</v>
      </c>
      <c r="L102" s="128">
        <f>WACC!$E$21</f>
        <v>0.2010716678311214</v>
      </c>
      <c r="M102" s="127">
        <v>2.8421193782143881</v>
      </c>
      <c r="N102" s="127">
        <v>2.5411011206989231</v>
      </c>
      <c r="O102" s="127">
        <v>2.5411011206989231</v>
      </c>
      <c r="P102" s="127">
        <v>2.8421193782143881</v>
      </c>
      <c r="Q102" s="127">
        <v>3.444155893245318</v>
      </c>
    </row>
    <row r="103" spans="2:17" ht="15" customHeight="1">
      <c r="B103" s="117"/>
      <c r="D103" s="201">
        <f t="shared" ref="D103:D104" si="16">D102-0.01</f>
        <v>0.19107166783112139</v>
      </c>
      <c r="E103" s="125">
        <v>60.668673279179686</v>
      </c>
      <c r="F103" s="125">
        <v>52.128600798285966</v>
      </c>
      <c r="G103" s="125">
        <v>52.128600798285966</v>
      </c>
      <c r="H103" s="125">
        <v>60.668673279179686</v>
      </c>
      <c r="I103" s="125">
        <v>77.74881824096714</v>
      </c>
      <c r="J103" s="126"/>
      <c r="L103" s="201">
        <f t="shared" ref="L103:L104" si="17">L102-0.01</f>
        <v>0.19107166783112139</v>
      </c>
      <c r="M103" s="127">
        <v>2.9404857419791712</v>
      </c>
      <c r="N103" s="127">
        <v>2.6277581192339747</v>
      </c>
      <c r="O103" s="127">
        <v>2.6277581192339747</v>
      </c>
      <c r="P103" s="127">
        <v>2.9404857419791712</v>
      </c>
      <c r="Q103" s="127">
        <v>3.5659409874695656</v>
      </c>
    </row>
    <row r="104" spans="2:17" ht="15" customHeight="1">
      <c r="B104" s="117"/>
      <c r="D104" s="202">
        <f t="shared" si="16"/>
        <v>0.18107166783112139</v>
      </c>
      <c r="E104" s="125">
        <v>63.477980060499803</v>
      </c>
      <c r="F104" s="125">
        <v>54.602850576628903</v>
      </c>
      <c r="G104" s="125">
        <v>54.602850576628903</v>
      </c>
      <c r="H104" s="125">
        <v>63.477980060499803</v>
      </c>
      <c r="I104" s="125">
        <v>81.228239028241561</v>
      </c>
      <c r="J104" s="126"/>
      <c r="L104" s="202">
        <f t="shared" si="17"/>
        <v>0.18107166783112139</v>
      </c>
      <c r="M104" s="127">
        <v>3.0433593221800104</v>
      </c>
      <c r="N104" s="127">
        <v>2.7183622977102258</v>
      </c>
      <c r="O104" s="127">
        <v>2.7183622977102258</v>
      </c>
      <c r="P104" s="127">
        <v>3.0433593221800104</v>
      </c>
      <c r="Q104" s="127">
        <v>3.6933533711195792</v>
      </c>
    </row>
    <row r="105" spans="2:17">
      <c r="J105" s="132"/>
    </row>
    <row r="106" spans="2:17">
      <c r="B106" s="133" t="s">
        <v>131</v>
      </c>
      <c r="C106" s="133"/>
      <c r="D106" s="133"/>
      <c r="E106" s="133"/>
      <c r="G106" s="133" t="s">
        <v>132</v>
      </c>
      <c r="H106" s="133"/>
      <c r="I106" s="133"/>
      <c r="J106" s="134"/>
      <c r="K106" s="133"/>
      <c r="L106" s="133"/>
      <c r="M106" s="133"/>
      <c r="N106" s="133"/>
      <c r="O106" s="133"/>
      <c r="P106" s="133"/>
    </row>
    <row r="107" spans="2:17">
      <c r="J107" s="132"/>
    </row>
    <row r="108" spans="2:17">
      <c r="J108" s="132"/>
    </row>
    <row r="109" spans="2:17">
      <c r="J109" s="132"/>
    </row>
    <row r="110" spans="2:17">
      <c r="J110" s="132"/>
    </row>
    <row r="111" spans="2:17">
      <c r="J111" s="132"/>
    </row>
    <row r="112" spans="2:17">
      <c r="J112" s="132"/>
    </row>
    <row r="113" spans="2:17">
      <c r="J113" s="132"/>
    </row>
    <row r="114" spans="2:17">
      <c r="J114" s="132"/>
    </row>
    <row r="115" spans="2:17">
      <c r="J115" s="132"/>
    </row>
    <row r="116" spans="2:17">
      <c r="J116" s="132"/>
    </row>
    <row r="117" spans="2:17">
      <c r="J117" s="132"/>
    </row>
    <row r="118" spans="2:17">
      <c r="J118" s="132"/>
    </row>
    <row r="119" spans="2:17">
      <c r="J119" s="132"/>
    </row>
    <row r="120" spans="2:17">
      <c r="J120" s="132"/>
      <c r="M120" s="135"/>
    </row>
    <row r="121" spans="2:17">
      <c r="J121" s="132"/>
    </row>
    <row r="122" spans="2:17">
      <c r="J122" s="132"/>
    </row>
    <row r="123" spans="2:17">
      <c r="J123" s="132"/>
    </row>
    <row r="124" spans="2:17">
      <c r="J124" s="132"/>
    </row>
    <row r="125" spans="2:17">
      <c r="J125" s="132"/>
    </row>
    <row r="126" spans="2:17">
      <c r="J126" s="132"/>
    </row>
    <row r="127" spans="2:17">
      <c r="B127" s="136"/>
      <c r="C127" s="137" t="s">
        <v>133</v>
      </c>
      <c r="D127" s="137" t="s">
        <v>134</v>
      </c>
      <c r="E127" s="138" t="s">
        <v>135</v>
      </c>
      <c r="G127" s="136"/>
      <c r="H127" s="139"/>
      <c r="I127" s="139"/>
      <c r="J127" s="140"/>
      <c r="K127" s="139"/>
      <c r="L127" s="139"/>
      <c r="M127" s="139"/>
      <c r="N127" s="139"/>
      <c r="O127" s="137" t="s">
        <v>133</v>
      </c>
      <c r="P127" s="137" t="s">
        <v>134</v>
      </c>
      <c r="Q127" s="138" t="s">
        <v>135</v>
      </c>
    </row>
    <row r="128" spans="2:17">
      <c r="B128" s="171" t="str">
        <f>"DCF Value at "&amp;TEXT(E99,"0.0x")&amp;"-"&amp;TEXT(I99,"0.0x")&amp;" Exit EBITDA Range at "&amp;TEXT(D102,"0.0%")&amp;" WACC"</f>
        <v>DCF Value at 3.3x-5.3x Exit EBITDA Range at 20.1% WACC</v>
      </c>
      <c r="C128" s="172">
        <f>E102</f>
        <v>57.9824511000866</v>
      </c>
      <c r="D128" s="172">
        <f>E128-C128</f>
        <v>16.440618290690374</v>
      </c>
      <c r="E128" s="173">
        <f>I102</f>
        <v>74.423069390776973</v>
      </c>
      <c r="G128" s="171" t="str">
        <f>"LTM EBITDA Purchase Multiple at "&amp;TEXT(M90,"0.0%")&amp;"-"&amp;TEXT(Q90,"0.0%")&amp;" Perpetuity Growth at "&amp;TEXT(L93,"0.0%")&amp;" WACC"</f>
        <v>LTM EBITDA Purchase Multiple at 9.0%-11.0% Perpetuity Growth at 20.1% WACC</v>
      </c>
      <c r="H128"/>
      <c r="I128"/>
      <c r="J128" s="179"/>
      <c r="K128"/>
      <c r="L128"/>
      <c r="M128"/>
      <c r="N128"/>
      <c r="O128" s="180">
        <f>M93</f>
        <v>2.9227195071957888</v>
      </c>
      <c r="P128" s="180">
        <f>Q128-O128</f>
        <v>0.22538283142484339</v>
      </c>
      <c r="Q128" s="181">
        <f>Q93</f>
        <v>3.1481023386206322</v>
      </c>
    </row>
    <row r="129" spans="2:17">
      <c r="B129" s="174" t="str">
        <f>"DCF Value at "&amp;TEXT(E90,"0.0%")&amp;"-"&amp;TEXT(I90,"0.0%")&amp;" Perpetuity Range at "&amp;TEXT(D102,"0.0%")&amp;" WACC"</f>
        <v>DCF Value at 9.0%-11.0% Perpetuity Range at 20.1% WACC</v>
      </c>
      <c r="C129" s="172">
        <f>E93</f>
        <v>60.183506886039268</v>
      </c>
      <c r="D129" s="172">
        <f>E129-C129</f>
        <v>6.1548311576092658</v>
      </c>
      <c r="E129" s="173">
        <f>I93</f>
        <v>66.338338043648534</v>
      </c>
      <c r="G129" s="174" t="str">
        <f>"LTM EBITDA Purchase Multiple at "&amp;TEXT(M102,"0.0x")&amp;"-"&amp;TEXT(Q102,"0.0x")&amp;" Exit EBITDA Multiple at "&amp;TEXT(L102,"0.0%")&amp;" WACC"</f>
        <v>LTM EBITDA Purchase Multiple at 2.8x-3.4x Exit EBITDA Multiple at 20.1% WACC</v>
      </c>
      <c r="H129"/>
      <c r="I129"/>
      <c r="J129" s="179"/>
      <c r="K129"/>
      <c r="L129"/>
      <c r="M129"/>
      <c r="N129"/>
      <c r="O129" s="180">
        <f>M102</f>
        <v>2.8421193782143881</v>
      </c>
      <c r="P129" s="180">
        <f>Q129-O129</f>
        <v>0.60203651503092992</v>
      </c>
      <c r="Q129" s="181">
        <f>Q102</f>
        <v>3.444155893245318</v>
      </c>
    </row>
    <row r="130" spans="2:17">
      <c r="B130" s="175" t="s">
        <v>136</v>
      </c>
      <c r="C130" s="176">
        <v>33.659999999999997</v>
      </c>
      <c r="D130" s="177">
        <f>E130-C130</f>
        <v>79.320000000000007</v>
      </c>
      <c r="E130" s="178">
        <v>112.98</v>
      </c>
      <c r="G130" s="175" t="str">
        <f>"LTM EBITDA Purchase Multiple at "&amp;TEXT(L104,"0.0%")&amp;"-"&amp;TEXT(L100,"0.0%")&amp;" WACC at "&amp;TEXT(O99,"0.0x")&amp;" Exit EBITDA"</f>
        <v>LTM EBITDA Purchase Multiple at 18.1%-22.1% WACC at 4.3x Exit EBITDA</v>
      </c>
      <c r="H130" s="42"/>
      <c r="I130" s="42"/>
      <c r="J130" s="182"/>
      <c r="K130" s="42"/>
      <c r="L130" s="42"/>
      <c r="M130" s="42"/>
      <c r="N130" s="42"/>
      <c r="O130" s="177">
        <f>O100</f>
        <v>2.3788187300865351</v>
      </c>
      <c r="P130" s="177">
        <f>Q130-O130</f>
        <v>0.33954356762369065</v>
      </c>
      <c r="Q130" s="183">
        <f>O104</f>
        <v>2.7183622977102258</v>
      </c>
    </row>
    <row r="131" spans="2:17">
      <c r="J131" s="132"/>
    </row>
    <row r="132" spans="2:17">
      <c r="J132" s="132"/>
    </row>
  </sheetData>
  <conditionalFormatting sqref="E91:J95 E100:J104">
    <cfRule type="cellIs" dxfId="1" priority="2" operator="lessThan">
      <formula>#REF!</formula>
    </cfRule>
  </conditionalFormatting>
  <dataValidations count="1">
    <dataValidation type="list" allowBlank="1" showInputMessage="1" showErrorMessage="1" sqref="H9" xr:uid="{CB45C56C-AFB1-4E43-A477-1FC1C59EBD22}">
      <formula1>"0,1"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C18" sqref="C18"/>
    </sheetView>
  </sheetViews>
  <sheetFormatPr defaultColWidth="9.140625" defaultRowHeight="15"/>
  <cols>
    <col min="1" max="1" width="1.42578125" style="54" customWidth="1"/>
    <col min="2" max="2" width="50.28515625" style="54" customWidth="1"/>
    <col min="3" max="3" width="15.5703125" style="54" bestFit="1" customWidth="1"/>
    <col min="4" max="9" width="12.7109375" style="54" customWidth="1"/>
    <col min="10" max="10" width="1.7109375" style="54" customWidth="1"/>
    <col min="11" max="11" width="11" style="54" bestFit="1" customWidth="1"/>
    <col min="12" max="16" width="9.42578125" style="54" customWidth="1"/>
    <col min="17" max="16384" width="9.140625" style="54"/>
  </cols>
  <sheetData>
    <row r="1" spans="2:9" ht="15.75" thickBot="1"/>
    <row r="2" spans="2:9" ht="15.75" thickBot="1">
      <c r="B2" s="55" t="s">
        <v>137</v>
      </c>
      <c r="C2" s="56"/>
      <c r="D2" s="56"/>
      <c r="E2" s="56"/>
      <c r="F2" s="56"/>
      <c r="G2" s="56"/>
      <c r="H2" s="56"/>
      <c r="I2" s="56"/>
    </row>
    <row r="3" spans="2:9">
      <c r="B3" s="57" t="str">
        <f>DCF!B3</f>
        <v>All amounts are shown in Egyptian pounds (000), except per-share data, ratios, and shares outstanding</v>
      </c>
    </row>
    <row r="4" spans="2:9" ht="15" customHeight="1">
      <c r="B4" s="142" t="s">
        <v>138</v>
      </c>
      <c r="C4" s="143"/>
      <c r="D4" s="143"/>
      <c r="E4" s="144"/>
      <c r="F4" s="145"/>
    </row>
    <row r="5" spans="2:9">
      <c r="E5" s="97"/>
    </row>
    <row r="6" spans="2:9" ht="15" customHeight="1">
      <c r="B6" s="54" t="s">
        <v>139</v>
      </c>
      <c r="C6" s="149">
        <f>FSM!F260</f>
        <v>0.17390411373616627</v>
      </c>
    </row>
    <row r="7" spans="2:9" ht="15" customHeight="1">
      <c r="B7" s="54" t="s">
        <v>27</v>
      </c>
      <c r="C7" s="257">
        <v>0.22500000000000001</v>
      </c>
    </row>
    <row r="8" spans="2:9" ht="15" customHeight="1">
      <c r="B8" s="54" t="s">
        <v>140</v>
      </c>
      <c r="C8" s="150">
        <f>C6*(1-C7)</f>
        <v>0.13477568814552887</v>
      </c>
    </row>
    <row r="10" spans="2:9">
      <c r="B10" s="54" t="s">
        <v>141</v>
      </c>
      <c r="C10" s="148">
        <v>0.19700000000000001</v>
      </c>
    </row>
    <row r="11" spans="2:9">
      <c r="B11" s="54" t="s">
        <v>142</v>
      </c>
      <c r="C11" s="164">
        <f>(2/3*0.68)+1/3</f>
        <v>0.78666666666666663</v>
      </c>
    </row>
    <row r="12" spans="2:9" ht="15" customHeight="1">
      <c r="B12" s="54" t="s">
        <v>143</v>
      </c>
      <c r="C12" s="151">
        <v>4.4600000000000001E-2</v>
      </c>
    </row>
    <row r="13" spans="2:9">
      <c r="B13" s="54" t="s">
        <v>144</v>
      </c>
      <c r="C13" s="152">
        <f>C10+C11*C12</f>
        <v>0.23208533333333334</v>
      </c>
    </row>
    <row r="14" spans="2:9">
      <c r="C14" s="153"/>
    </row>
    <row r="15" spans="2:9">
      <c r="B15" s="146" t="s">
        <v>145</v>
      </c>
      <c r="C15" s="154"/>
      <c r="D15" s="154"/>
      <c r="E15" s="154"/>
    </row>
    <row r="16" spans="2:9">
      <c r="B16" s="75"/>
      <c r="C16" s="122"/>
      <c r="D16" s="122" t="s">
        <v>146</v>
      </c>
    </row>
    <row r="17" spans="2:5" ht="17.25">
      <c r="C17" s="155" t="s">
        <v>147</v>
      </c>
      <c r="D17" s="155" t="s">
        <v>148</v>
      </c>
      <c r="E17" s="155" t="s">
        <v>149</v>
      </c>
    </row>
    <row r="18" spans="2:5">
      <c r="B18" s="54" t="s">
        <v>15</v>
      </c>
      <c r="C18" s="73">
        <f>DCF!I61*DCF!H5/1000</f>
        <v>160550083.97999999</v>
      </c>
      <c r="D18" s="156"/>
      <c r="E18" s="157">
        <f>C18/(C18+C19)</f>
        <v>0.68128888516285757</v>
      </c>
    </row>
    <row r="19" spans="2:5">
      <c r="B19" s="54" t="s">
        <v>103</v>
      </c>
      <c r="C19" s="73">
        <f>DCF!C57</f>
        <v>75106313</v>
      </c>
      <c r="D19" s="158"/>
      <c r="E19" s="157">
        <f>C19/(C19+C18)</f>
        <v>0.31871111483714243</v>
      </c>
    </row>
    <row r="21" spans="2:5">
      <c r="B21" s="147" t="s">
        <v>150</v>
      </c>
      <c r="C21" s="159"/>
      <c r="D21" s="139"/>
      <c r="E21" s="160">
        <f>C13*E18+C8*E19</f>
        <v>0.2010716678311214</v>
      </c>
    </row>
    <row r="22" spans="2:5">
      <c r="B22" s="74"/>
      <c r="C22" s="102"/>
    </row>
    <row r="23" spans="2:5">
      <c r="B23" s="74"/>
      <c r="C23" s="102"/>
    </row>
    <row r="24" spans="2:5">
      <c r="B24" s="74"/>
      <c r="C24" s="102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2026-06-10T02:34:49Z</dcterms:modified>
  <dc:language>en-US</dc:language>
</cp:coreProperties>
</file>